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JJ Laurent\Boisement JJL_Hugleville-en-Caux (76)\Dossier d'instruction\"/>
    </mc:Choice>
  </mc:AlternateContent>
  <xr:revisionPtr revIDLastSave="0" documentId="13_ncr:1_{B7B055E0-1067-4467-8A62-79C30D40366C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34" i="2" l="1" a="1"/>
  <c r="CS134" i="2" s="1"/>
  <c r="CS185" i="2" a="1"/>
  <c r="CS185" i="2" s="1"/>
  <c r="CS161" i="2" a="1"/>
  <c r="CS161" i="2" s="1"/>
  <c r="CS77" i="2" a="1"/>
  <c r="CS77" i="2" s="1"/>
  <c r="CS52" i="2" a="1"/>
  <c r="CS52" i="2" s="1"/>
  <c r="CS24" i="2" a="1"/>
  <c r="CS24" i="2" s="1"/>
  <c r="CS114" i="2" a="1"/>
  <c r="CS114" i="2" s="1"/>
  <c r="CS120" i="2" a="1"/>
  <c r="CS120" i="2" s="1"/>
  <c r="CS72" i="2" a="1"/>
  <c r="CS72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<sst xmlns="http://schemas.openxmlformats.org/spreadsheetml/2006/main" count="1179" uniqueCount="325">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</sst>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274.15159613622387</c:v>
                </c:pt>
                <c:pt idx="32">
                  <c:v>304.95175006239322</c:v>
                </c:pt>
                <c:pt idx="33">
                  <c:v>335.68272446221619</c:v>
                </c:pt>
                <c:pt idx="34">
                  <c:v>366.35173714465219</c:v>
                </c:pt>
                <c:pt idx="35">
                  <c:v>396.96469882146312</c:v>
                </c:pt>
                <c:pt idx="36">
                  <c:v>287.36027167965722</c:v>
                </c:pt>
                <c:pt idx="37">
                  <c:v>312.28499675107349</c:v>
                </c:pt>
                <c:pt idx="38">
                  <c:v>337.16559898912197</c:v>
                </c:pt>
                <c:pt idx="39">
                  <c:v>362.00578971990859</c:v>
                </c:pt>
                <c:pt idx="40">
                  <c:v>386.8087295122084</c:v>
                </c:pt>
                <c:pt idx="41">
                  <c:v>411.57714071757056</c:v>
                </c:pt>
                <c:pt idx="42">
                  <c:v>345.34910174995292</c:v>
                </c:pt>
                <c:pt idx="43">
                  <c:v>370.55926373756284</c:v>
                </c:pt>
                <c:pt idx="44">
                  <c:v>395.73202966467738</c:v>
                </c:pt>
                <c:pt idx="45">
                  <c:v>420.87011059114275</c:v>
                </c:pt>
                <c:pt idx="46">
                  <c:v>445.97586750283381</c:v>
                </c:pt>
                <c:pt idx="47">
                  <c:v>471.05137407996995</c:v>
                </c:pt>
                <c:pt idx="48">
                  <c:v>496.09846540196463</c:v>
                </c:pt>
                <c:pt idx="49">
                  <c:v>402.26313463210448</c:v>
                </c:pt>
                <c:pt idx="50">
                  <c:v>425.87619549343572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496.55301706749265</c:v>
                </c:pt>
                <c:pt idx="54">
                  <c:v>520.06287264987645</c:v>
                </c:pt>
                <c:pt idx="55">
                  <c:v>543.55032717690449</c:v>
                </c:pt>
                <c:pt idx="56">
                  <c:v>454.24481650463161</c:v>
                </c:pt>
                <c:pt idx="57">
                  <c:v>476.59634202129263</c:v>
                </c:pt>
                <c:pt idx="58">
                  <c:v>498.92557909267936</c:v>
                </c:pt>
                <c:pt idx="59">
                  <c:v>521.233664652828</c:v>
                </c:pt>
                <c:pt idx="60">
                  <c:v>543.52163046495309</c:v>
                </c:pt>
                <c:pt idx="61">
                  <c:v>565.79041685083462</c:v>
                </c:pt>
                <c:pt idx="62">
                  <c:v>588.04088414741102</c:v>
                </c:pt>
                <c:pt idx="63">
                  <c:v>610.27382234025083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571.42160804713808</c:v>
                </c:pt>
                <c:pt idx="67">
                  <c:v>592.98726902778128</c:v>
                </c:pt>
                <c:pt idx="68">
                  <c:v>614.53661422900689</c:v>
                </c:pt>
                <c:pt idx="69">
                  <c:v>636.07029571344913</c:v>
                </c:pt>
                <c:pt idx="70">
                  <c:v>657.58891783971956</c:v>
                </c:pt>
                <c:pt idx="71">
                  <c:v>679.09304223054426</c:v>
                </c:pt>
                <c:pt idx="72">
                  <c:v>600.80615581089239</c:v>
                </c:pt>
                <c:pt idx="73">
                  <c:v>621.81796471134885</c:v>
                </c:pt>
                <c:pt idx="74">
                  <c:v>642.81507325128075</c:v>
                </c:pt>
                <c:pt idx="75">
                  <c:v>663.79802870135347</c:v>
                </c:pt>
                <c:pt idx="76">
                  <c:v>684.76734094880157</c:v>
                </c:pt>
                <c:pt idx="77">
                  <c:v>705.7234861406215</c:v>
                </c:pt>
                <c:pt idx="78">
                  <c:v>726.66690987194772</c:v>
                </c:pt>
                <c:pt idx="79">
                  <c:v>747.59802998811347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714.6464205142546</c:v>
                </c:pt>
                <c:pt idx="84">
                  <c:v>734.44382712262222</c:v>
                </c:pt>
                <c:pt idx="85">
                  <c:v>754.23036766119492</c:v>
                </c:pt>
                <c:pt idx="86">
                  <c:v>774.00636701258611</c:v>
                </c:pt>
                <c:pt idx="87">
                  <c:v>793.77213212336176</c:v>
                </c:pt>
                <c:pt idx="88">
                  <c:v>813.52795342520051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748.59390688021494</c:v>
                </c:pt>
                <c:pt idx="92">
                  <c:v>767.49340042346319</c:v>
                </c:pt>
                <c:pt idx="93">
                  <c:v>786.38345937215036</c:v>
                </c:pt>
                <c:pt idx="94">
                  <c:v>805.26434202452185</c:v>
                </c:pt>
                <c:pt idx="95">
                  <c:v>824.13629359258368</c:v>
                </c:pt>
                <c:pt idx="96">
                  <c:v>842.99954715561842</c:v>
                </c:pt>
                <c:pt idx="97">
                  <c:v>861.85432452401585</c:v>
                </c:pt>
                <c:pt idx="98">
                  <c:v>880.70083702367674</c:v>
                </c:pt>
                <c:pt idx="99">
                  <c:v>899.53928620986301</c:v>
                </c:pt>
                <c:pt idx="100">
                  <c:v>798.6332412457042</c:v>
                </c:pt>
                <c:pt idx="101">
                  <c:v>817.06058045885254</c:v>
                </c:pt>
                <c:pt idx="102">
                  <c:v>835.47954754465525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890.6882712536576</c:v>
                </c:pt>
                <c:pt idx="106">
                  <c:v>909.07575862089141</c:v>
                </c:pt>
                <c:pt idx="107">
                  <c:v>927.45583393990819</c:v>
                </c:pt>
                <c:pt idx="108">
                  <c:v>945.82866460402113</c:v>
                </c:pt>
                <c:pt idx="109">
                  <c:v>964.1944109815671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868.73013257971536</c:v>
                </c:pt>
                <c:pt idx="112">
                  <c:v>881.30589346877969</c:v>
                </c:pt>
                <c:pt idx="113">
                  <c:v>893.87806652905931</c:v>
                </c:pt>
                <c:pt idx="114">
                  <c:v>906.44670928963967</c:v>
                </c:pt>
                <c:pt idx="115">
                  <c:v>919.01187755558783</c:v>
                </c:pt>
                <c:pt idx="116">
                  <c:v>872.32357664941446</c:v>
                </c:pt>
                <c:pt idx="117">
                  <c:v>872.32357664941446</c:v>
                </c:pt>
                <c:pt idx="118">
                  <c:v>872.32357664941446</c:v>
                </c:pt>
                <c:pt idx="119">
                  <c:v>872.32357664941446</c:v>
                </c:pt>
                <c:pt idx="120">
                  <c:v>872.32357664941446</c:v>
                </c:pt>
                <c:pt idx="121">
                  <c:v>872.32357664941446</c:v>
                </c:pt>
                <c:pt idx="122">
                  <c:v>872.32357664941446</c:v>
                </c:pt>
                <c:pt idx="123">
                  <c:v>872.32357664941446</c:v>
                </c:pt>
                <c:pt idx="124">
                  <c:v>872.32357664941446</c:v>
                </c:pt>
                <c:pt idx="125">
                  <c:v>872.32357664941446</c:v>
                </c:pt>
                <c:pt idx="126">
                  <c:v>872.32357664941446</c:v>
                </c:pt>
                <c:pt idx="127">
                  <c:v>872.32357664941446</c:v>
                </c:pt>
                <c:pt idx="128">
                  <c:v>872.32357664941446</c:v>
                </c:pt>
                <c:pt idx="129">
                  <c:v>872.32357664941446</c:v>
                </c:pt>
                <c:pt idx="130">
                  <c:v>872.32357664941446</c:v>
                </c:pt>
                <c:pt idx="131">
                  <c:v>872.32357664941446</c:v>
                </c:pt>
                <c:pt idx="132">
                  <c:v>872.32357664941446</c:v>
                </c:pt>
                <c:pt idx="133">
                  <c:v>872.32357664941446</c:v>
                </c:pt>
                <c:pt idx="134">
                  <c:v>872.32357664941446</c:v>
                </c:pt>
                <c:pt idx="135">
                  <c:v>872.32357664941446</c:v>
                </c:pt>
                <c:pt idx="136">
                  <c:v>872.32357664941446</c:v>
                </c:pt>
                <c:pt idx="137">
                  <c:v>872.32357664941446</c:v>
                </c:pt>
                <c:pt idx="138">
                  <c:v>872.32357664941446</c:v>
                </c:pt>
                <c:pt idx="139">
                  <c:v>872.32357664941446</c:v>
                </c:pt>
                <c:pt idx="140">
                  <c:v>872.32357664941446</c:v>
                </c:pt>
                <c:pt idx="141">
                  <c:v>872.32357664941446</c:v>
                </c:pt>
                <c:pt idx="142">
                  <c:v>872.32357664941446</c:v>
                </c:pt>
                <c:pt idx="143">
                  <c:v>872.32357664941446</c:v>
                </c:pt>
                <c:pt idx="144">
                  <c:v>872.32357664941446</c:v>
                </c:pt>
                <c:pt idx="145">
                  <c:v>872.32357664941446</c:v>
                </c:pt>
                <c:pt idx="146">
                  <c:v>872.32357664941446</c:v>
                </c:pt>
                <c:pt idx="147">
                  <c:v>872.32357664941446</c:v>
                </c:pt>
                <c:pt idx="148">
                  <c:v>872.32357664941446</c:v>
                </c:pt>
                <c:pt idx="149">
                  <c:v>872.32357664941446</c:v>
                </c:pt>
                <c:pt idx="150">
                  <c:v>872.32357664941446</c:v>
                </c:pt>
                <c:pt idx="151">
                  <c:v>872.32357664941446</c:v>
                </c:pt>
                <c:pt idx="152">
                  <c:v>872.32357664941446</c:v>
                </c:pt>
                <c:pt idx="153">
                  <c:v>872.32357664941446</c:v>
                </c:pt>
                <c:pt idx="154">
                  <c:v>872.32357664941446</c:v>
                </c:pt>
                <c:pt idx="155">
                  <c:v>872.32357664941446</c:v>
                </c:pt>
                <c:pt idx="156">
                  <c:v>872.32357664941446</c:v>
                </c:pt>
                <c:pt idx="157">
                  <c:v>872.32357664941446</c:v>
                </c:pt>
                <c:pt idx="158">
                  <c:v>872.32357664941446</c:v>
                </c:pt>
                <c:pt idx="159">
                  <c:v>872.32357664941446</c:v>
                </c:pt>
                <c:pt idx="160">
                  <c:v>872.32357664941446</c:v>
                </c:pt>
                <c:pt idx="161">
                  <c:v>872.32357664941446</c:v>
                </c:pt>
                <c:pt idx="162">
                  <c:v>872.32357664941446</c:v>
                </c:pt>
                <c:pt idx="163">
                  <c:v>872.32357664941446</c:v>
                </c:pt>
                <c:pt idx="164">
                  <c:v>872.32357664941446</c:v>
                </c:pt>
                <c:pt idx="165">
                  <c:v>872.32357664941446</c:v>
                </c:pt>
                <c:pt idx="166">
                  <c:v>872.32357664941446</c:v>
                </c:pt>
                <c:pt idx="167">
                  <c:v>872.32357664941446</c:v>
                </c:pt>
                <c:pt idx="168">
                  <c:v>872.32357664941446</c:v>
                </c:pt>
                <c:pt idx="169">
                  <c:v>872.32357664941446</c:v>
                </c:pt>
                <c:pt idx="170">
                  <c:v>872.32357664941446</c:v>
                </c:pt>
                <c:pt idx="171">
                  <c:v>872.32357664941446</c:v>
                </c:pt>
                <c:pt idx="172">
                  <c:v>872.32357664941446</c:v>
                </c:pt>
                <c:pt idx="173">
                  <c:v>872.32357664941446</c:v>
                </c:pt>
                <c:pt idx="174">
                  <c:v>872.32357664941446</c:v>
                </c:pt>
                <c:pt idx="175">
                  <c:v>872.32357664941446</c:v>
                </c:pt>
                <c:pt idx="176">
                  <c:v>872.32357664941446</c:v>
                </c:pt>
                <c:pt idx="177">
                  <c:v>872.32357664941446</c:v>
                </c:pt>
                <c:pt idx="178">
                  <c:v>872.32357664941446</c:v>
                </c:pt>
                <c:pt idx="179">
                  <c:v>872.32357664941446</c:v>
                </c:pt>
                <c:pt idx="180">
                  <c:v>872.32357664941446</c:v>
                </c:pt>
                <c:pt idx="181">
                  <c:v>872.32357664941446</c:v>
                </c:pt>
                <c:pt idx="182">
                  <c:v>872.32357664941446</c:v>
                </c:pt>
                <c:pt idx="183">
                  <c:v>872.32357664941446</c:v>
                </c:pt>
                <c:pt idx="184">
                  <c:v>872.32357664941446</c:v>
                </c:pt>
                <c:pt idx="185">
                  <c:v>872.32357664941446</c:v>
                </c:pt>
                <c:pt idx="186">
                  <c:v>872.32357664941446</c:v>
                </c:pt>
                <c:pt idx="187">
                  <c:v>872.32357664941446</c:v>
                </c:pt>
                <c:pt idx="188">
                  <c:v>872.32357664941446</c:v>
                </c:pt>
                <c:pt idx="189">
                  <c:v>872.32357664941446</c:v>
                </c:pt>
                <c:pt idx="190">
                  <c:v>872.32357664941446</c:v>
                </c:pt>
                <c:pt idx="191">
                  <c:v>872.32357664941446</c:v>
                </c:pt>
                <c:pt idx="192">
                  <c:v>872.32357664941446</c:v>
                </c:pt>
                <c:pt idx="193">
                  <c:v>872.32357664941446</c:v>
                </c:pt>
                <c:pt idx="194">
                  <c:v>872.32357664941446</c:v>
                </c:pt>
                <c:pt idx="195">
                  <c:v>872.32357664941446</c:v>
                </c:pt>
                <c:pt idx="196">
                  <c:v>872.32357664941446</c:v>
                </c:pt>
                <c:pt idx="197">
                  <c:v>872.32357664941446</c:v>
                </c:pt>
                <c:pt idx="198">
                  <c:v>872.32357664941446</c:v>
                </c:pt>
                <c:pt idx="199">
                  <c:v>872.32357664941446</c:v>
                </c:pt>
                <c:pt idx="200">
                  <c:v>872.32357664941446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2.5147186587462147</c:v>
                </c:pt>
                <c:pt idx="2">
                  <c:v>2.9320458204300039</c:v>
                </c:pt>
                <c:pt idx="3">
                  <c:v>3.4188824234421809</c:v>
                </c:pt>
                <c:pt idx="4">
                  <c:v>3.9868455957673476</c:v>
                </c:pt>
                <c:pt idx="5">
                  <c:v>4.6495002696677679</c:v>
                </c:pt>
                <c:pt idx="6">
                  <c:v>5.422686737318287</c:v>
                </c:pt>
                <c:pt idx="7">
                  <c:v>6.324903442097848</c:v>
                </c:pt>
                <c:pt idx="8">
                  <c:v>7.3777543434881103</c:v>
                </c:pt>
                <c:pt idx="9">
                  <c:v>8.6064717758229676</c:v>
                </c:pt>
                <c:pt idx="10">
                  <c:v>10.040527572105615</c:v>
                </c:pt>
                <c:pt idx="11">
                  <c:v>11.714347389472957</c:v>
                </c:pt>
                <c:pt idx="12">
                  <c:v>13.668145706139628</c:v>
                </c:pt>
                <c:pt idx="13">
                  <c:v>15.94890192341582</c:v>
                </c:pt>
                <c:pt idx="14">
                  <c:v>18.611501473959652</c:v>
                </c:pt>
                <c:pt idx="15">
                  <c:v>21.720069894591763</c:v>
                </c:pt>
                <c:pt idx="16">
                  <c:v>25.349532569195986</c:v>
                </c:pt>
                <c:pt idx="17">
                  <c:v>29.587438402019249</c:v>
                </c:pt>
                <c:pt idx="18">
                  <c:v>34.53609218169084</c:v>
                </c:pt>
                <c:pt idx="19">
                  <c:v>40.315048002619221</c:v>
                </c:pt>
                <c:pt idx="20">
                  <c:v>47.064025011713824</c:v>
                </c:pt>
                <c:pt idx="21">
                  <c:v>54.946317165442274</c:v>
                </c:pt>
                <c:pt idx="22">
                  <c:v>64.152780873607881</c:v>
                </c:pt>
                <c:pt idx="23">
                  <c:v>74.906498674616856</c:v>
                </c:pt>
                <c:pt idx="24">
                  <c:v>87.46823378681114</c:v>
                </c:pt>
                <c:pt idx="25">
                  <c:v>102.1428099266476</c:v>
                </c:pt>
                <c:pt idx="26">
                  <c:v>119.28657366300263</c:v>
                </c:pt>
                <c:pt idx="27">
                  <c:v>139.31612335663408</c:v>
                </c:pt>
                <c:pt idx="28">
                  <c:v>162.71852008106734</c:v>
                </c:pt>
                <c:pt idx="29">
                  <c:v>190.06323261605641</c:v>
                </c:pt>
                <c:pt idx="30">
                  <c:v>222.01611156088691</c:v>
                </c:pt>
                <c:pt idx="31">
                  <c:v>281.92195353046623</c:v>
                </c:pt>
                <c:pt idx="32">
                  <c:v>189.48680735842365</c:v>
                </c:pt>
                <c:pt idx="33">
                  <c:v>212.48890906626988</c:v>
                </c:pt>
                <c:pt idx="34">
                  <c:v>235.43361754001435</c:v>
                </c:pt>
                <c:pt idx="35">
                  <c:v>258.32731247116993</c:v>
                </c:pt>
                <c:pt idx="36">
                  <c:v>281.17514934741024</c:v>
                </c:pt>
                <c:pt idx="37">
                  <c:v>303.9813769502631</c:v>
                </c:pt>
                <c:pt idx="38">
                  <c:v>254.1387370465701</c:v>
                </c:pt>
                <c:pt idx="39">
                  <c:v>278.74170389407175</c:v>
                </c:pt>
                <c:pt idx="40">
                  <c:v>303.29595629959118</c:v>
                </c:pt>
                <c:pt idx="41">
                  <c:v>327.80599026121445</c:v>
                </c:pt>
                <c:pt idx="42">
                  <c:v>352.27557454354252</c:v>
                </c:pt>
                <c:pt idx="43">
                  <c:v>376.70791171830462</c:v>
                </c:pt>
                <c:pt idx="44">
                  <c:v>401.10575519534763</c:v>
                </c:pt>
                <c:pt idx="45">
                  <c:v>331.98040853554852</c:v>
                </c:pt>
                <c:pt idx="46">
                  <c:v>356.440862370655</c:v>
                </c:pt>
                <c:pt idx="47">
                  <c:v>380.86457497199081</c:v>
                </c:pt>
                <c:pt idx="48">
                  <c:v>405.25423174440584</c:v>
                </c:pt>
                <c:pt idx="49">
                  <c:v>429.61216866264232</c:v>
                </c:pt>
                <c:pt idx="50">
                  <c:v>453.94043537897068</c:v>
                </c:pt>
                <c:pt idx="51">
                  <c:v>478.24084409423403</c:v>
                </c:pt>
                <c:pt idx="52">
                  <c:v>411.72863330997967</c:v>
                </c:pt>
                <c:pt idx="53">
                  <c:v>435.80751120287476</c:v>
                </c:pt>
                <c:pt idx="54">
                  <c:v>459.85784786782165</c:v>
                </c:pt>
                <c:pt idx="55">
                  <c:v>483.88134448149884</c:v>
                </c:pt>
                <c:pt idx="56">
                  <c:v>507.87951966706237</c:v>
                </c:pt>
                <c:pt idx="57">
                  <c:v>531.85373695820283</c:v>
                </c:pt>
                <c:pt idx="58">
                  <c:v>555.8052270551816</c:v>
                </c:pt>
                <c:pt idx="59">
                  <c:v>492.15461753504678</c:v>
                </c:pt>
                <c:pt idx="60">
                  <c:v>515.53048050714631</c:v>
                </c:pt>
                <c:pt idx="61">
                  <c:v>538.88398275204452</c:v>
                </c:pt>
                <c:pt idx="62">
                  <c:v>562.21622862986351</c:v>
                </c:pt>
                <c:pt idx="63">
                  <c:v>585.5282234549619</c:v>
                </c:pt>
                <c:pt idx="64">
                  <c:v>608.82088604769058</c:v>
                </c:pt>
                <c:pt idx="65">
                  <c:v>632.09505926670761</c:v>
                </c:pt>
                <c:pt idx="66">
                  <c:v>563.97828589030587</c:v>
                </c:pt>
                <c:pt idx="67">
                  <c:v>586.30817010771511</c:v>
                </c:pt>
                <c:pt idx="68">
                  <c:v>608.62034247275642</c:v>
                </c:pt>
                <c:pt idx="69">
                  <c:v>630.91554298740778</c:v>
                </c:pt>
                <c:pt idx="70">
                  <c:v>653.19445514535653</c:v>
                </c:pt>
                <c:pt idx="71">
                  <c:v>675.45771206588552</c:v>
                </c:pt>
                <c:pt idx="72">
                  <c:v>697.70590177773647</c:v>
                </c:pt>
                <c:pt idx="73">
                  <c:v>614.23335388511839</c:v>
                </c:pt>
                <c:pt idx="74">
                  <c:v>635.39154504453484</c:v>
                </c:pt>
                <c:pt idx="75">
                  <c:v>656.53518030495661</c:v>
                </c:pt>
                <c:pt idx="76">
                  <c:v>677.66479392431336</c:v>
                </c:pt>
                <c:pt idx="77">
                  <c:v>698.78088416394974</c:v>
                </c:pt>
                <c:pt idx="78">
                  <c:v>719.88391675026003</c:v>
                </c:pt>
                <c:pt idx="79">
                  <c:v>740.97432790971845</c:v>
                </c:pt>
                <c:pt idx="80">
                  <c:v>762.05252704075747</c:v>
                </c:pt>
                <c:pt idx="81">
                  <c:v>783.11889907498062</c:v>
                </c:pt>
                <c:pt idx="82">
                  <c:v>665.11914671205125</c:v>
                </c:pt>
                <c:pt idx="83">
                  <c:v>684.26771059401108</c:v>
                </c:pt>
                <c:pt idx="84">
                  <c:v>703.40528563700525</c:v>
                </c:pt>
                <c:pt idx="85">
                  <c:v>722.53221261370061</c:v>
                </c:pt>
                <c:pt idx="86">
                  <c:v>741.64881280252359</c:v>
                </c:pt>
                <c:pt idx="87">
                  <c:v>760.75538958673053</c:v>
                </c:pt>
                <c:pt idx="88">
                  <c:v>779.85222988464545</c:v>
                </c:pt>
                <c:pt idx="89">
                  <c:v>798.93960543266974</c:v>
                </c:pt>
                <c:pt idx="90">
                  <c:v>818.01777393944485</c:v>
                </c:pt>
                <c:pt idx="91">
                  <c:v>697.22746464887598</c:v>
                </c:pt>
                <c:pt idx="92">
                  <c:v>715.0491812220165</c:v>
                </c:pt>
                <c:pt idx="93">
                  <c:v>732.86182883316712</c:v>
                </c:pt>
                <c:pt idx="94">
                  <c:v>750.66565874172318</c:v>
                </c:pt>
                <c:pt idx="95">
                  <c:v>768.46090932877325</c:v>
                </c:pt>
                <c:pt idx="96">
                  <c:v>786.24780704616751</c:v>
                </c:pt>
                <c:pt idx="97">
                  <c:v>804.02656727532349</c:v>
                </c:pt>
                <c:pt idx="98">
                  <c:v>821.79739510620573</c:v>
                </c:pt>
                <c:pt idx="99">
                  <c:v>839.56048604549733</c:v>
                </c:pt>
                <c:pt idx="100">
                  <c:v>474.65069912253784</c:v>
                </c:pt>
                <c:pt idx="101">
                  <c:v>462.60785555115808</c:v>
                </c:pt>
                <c:pt idx="102">
                  <c:v>332.16299671401367</c:v>
                </c:pt>
                <c:pt idx="103">
                  <c:v>331.85696738542373</c:v>
                </c:pt>
                <c:pt idx="104">
                  <c:v>240.86847989331147</c:v>
                </c:pt>
                <c:pt idx="105">
                  <c:v>242.56667629567787</c:v>
                </c:pt>
                <c:pt idx="106">
                  <c:v>244.26460221870903</c:v>
                </c:pt>
                <c:pt idx="107">
                  <c:v>32.897588886077138</c:v>
                </c:pt>
                <c:pt idx="108">
                  <c:v>32.897588886077138</c:v>
                </c:pt>
                <c:pt idx="109">
                  <c:v>32.897588886077138</c:v>
                </c:pt>
                <c:pt idx="110">
                  <c:v>32.897588886077138</c:v>
                </c:pt>
                <c:pt idx="111">
                  <c:v>32.897588886077138</c:v>
                </c:pt>
                <c:pt idx="112">
                  <c:v>32.897588886077138</c:v>
                </c:pt>
                <c:pt idx="113">
                  <c:v>32.897588886077138</c:v>
                </c:pt>
                <c:pt idx="114">
                  <c:v>32.897588886077138</c:v>
                </c:pt>
                <c:pt idx="115">
                  <c:v>32.897588886077138</c:v>
                </c:pt>
                <c:pt idx="116">
                  <c:v>32.897588886077138</c:v>
                </c:pt>
                <c:pt idx="117">
                  <c:v>32.897588886077138</c:v>
                </c:pt>
                <c:pt idx="118">
                  <c:v>32.897588886077138</c:v>
                </c:pt>
                <c:pt idx="119">
                  <c:v>32.897588886077138</c:v>
                </c:pt>
                <c:pt idx="120">
                  <c:v>32.897588886077138</c:v>
                </c:pt>
                <c:pt idx="121">
                  <c:v>32.897588886077138</c:v>
                </c:pt>
                <c:pt idx="122">
                  <c:v>32.897588886077138</c:v>
                </c:pt>
                <c:pt idx="123">
                  <c:v>32.897588886077138</c:v>
                </c:pt>
                <c:pt idx="124">
                  <c:v>32.897588886077138</c:v>
                </c:pt>
                <c:pt idx="125">
                  <c:v>32.897588886077138</c:v>
                </c:pt>
                <c:pt idx="126">
                  <c:v>32.897588886077138</c:v>
                </c:pt>
                <c:pt idx="127">
                  <c:v>32.897588886077138</c:v>
                </c:pt>
                <c:pt idx="128">
                  <c:v>32.897588886077138</c:v>
                </c:pt>
                <c:pt idx="129">
                  <c:v>32.897588886077138</c:v>
                </c:pt>
                <c:pt idx="130">
                  <c:v>32.897588886077138</c:v>
                </c:pt>
                <c:pt idx="131">
                  <c:v>32.897588886077138</c:v>
                </c:pt>
                <c:pt idx="132">
                  <c:v>32.897588886077138</c:v>
                </c:pt>
                <c:pt idx="133">
                  <c:v>32.897588886077138</c:v>
                </c:pt>
                <c:pt idx="134">
                  <c:v>32.897588886077138</c:v>
                </c:pt>
                <c:pt idx="135">
                  <c:v>32.897588886077138</c:v>
                </c:pt>
                <c:pt idx="136">
                  <c:v>32.897588886077138</c:v>
                </c:pt>
                <c:pt idx="137">
                  <c:v>32.897588886077138</c:v>
                </c:pt>
                <c:pt idx="138">
                  <c:v>32.897588886077138</c:v>
                </c:pt>
                <c:pt idx="139">
                  <c:v>32.897588886077138</c:v>
                </c:pt>
                <c:pt idx="140">
                  <c:v>32.897588886077138</c:v>
                </c:pt>
                <c:pt idx="141">
                  <c:v>32.897588886077138</c:v>
                </c:pt>
                <c:pt idx="142">
                  <c:v>32.897588886077138</c:v>
                </c:pt>
                <c:pt idx="143">
                  <c:v>32.897588886077138</c:v>
                </c:pt>
                <c:pt idx="144">
                  <c:v>32.897588886077138</c:v>
                </c:pt>
                <c:pt idx="145">
                  <c:v>32.897588886077138</c:v>
                </c:pt>
                <c:pt idx="146">
                  <c:v>32.897588886077138</c:v>
                </c:pt>
                <c:pt idx="147">
                  <c:v>32.897588886077138</c:v>
                </c:pt>
                <c:pt idx="148">
                  <c:v>32.897588886077138</c:v>
                </c:pt>
                <c:pt idx="149">
                  <c:v>32.897588886077138</c:v>
                </c:pt>
                <c:pt idx="150">
                  <c:v>32.897588886077138</c:v>
                </c:pt>
                <c:pt idx="151">
                  <c:v>32.897588886077138</c:v>
                </c:pt>
                <c:pt idx="152">
                  <c:v>32.897588886077138</c:v>
                </c:pt>
                <c:pt idx="153">
                  <c:v>32.897588886077138</c:v>
                </c:pt>
                <c:pt idx="154">
                  <c:v>32.897588886077138</c:v>
                </c:pt>
                <c:pt idx="155">
                  <c:v>32.897588886077138</c:v>
                </c:pt>
                <c:pt idx="156">
                  <c:v>32.897588886077138</c:v>
                </c:pt>
                <c:pt idx="157">
                  <c:v>32.897588886077138</c:v>
                </c:pt>
                <c:pt idx="158">
                  <c:v>32.897588886077138</c:v>
                </c:pt>
                <c:pt idx="159">
                  <c:v>32.897588886077138</c:v>
                </c:pt>
                <c:pt idx="160">
                  <c:v>32.897588886077138</c:v>
                </c:pt>
                <c:pt idx="161">
                  <c:v>32.897588886077138</c:v>
                </c:pt>
                <c:pt idx="162">
                  <c:v>32.897588886077138</c:v>
                </c:pt>
                <c:pt idx="163">
                  <c:v>32.897588886077138</c:v>
                </c:pt>
                <c:pt idx="164">
                  <c:v>32.897588886077138</c:v>
                </c:pt>
                <c:pt idx="165">
                  <c:v>32.897588886077138</c:v>
                </c:pt>
                <c:pt idx="166">
                  <c:v>32.897588886077138</c:v>
                </c:pt>
                <c:pt idx="167">
                  <c:v>32.897588886077138</c:v>
                </c:pt>
                <c:pt idx="168">
                  <c:v>32.897588886077138</c:v>
                </c:pt>
                <c:pt idx="169">
                  <c:v>32.897588886077138</c:v>
                </c:pt>
                <c:pt idx="170">
                  <c:v>32.897588886077138</c:v>
                </c:pt>
                <c:pt idx="171">
                  <c:v>32.897588886077138</c:v>
                </c:pt>
                <c:pt idx="172">
                  <c:v>32.897588886077138</c:v>
                </c:pt>
                <c:pt idx="173">
                  <c:v>32.897588886077138</c:v>
                </c:pt>
                <c:pt idx="174">
                  <c:v>32.897588886077138</c:v>
                </c:pt>
                <c:pt idx="175">
                  <c:v>32.897588886077138</c:v>
                </c:pt>
                <c:pt idx="176">
                  <c:v>32.897588886077138</c:v>
                </c:pt>
                <c:pt idx="177">
                  <c:v>32.897588886077138</c:v>
                </c:pt>
                <c:pt idx="178">
                  <c:v>32.897588886077138</c:v>
                </c:pt>
                <c:pt idx="179">
                  <c:v>32.897588886077138</c:v>
                </c:pt>
                <c:pt idx="180">
                  <c:v>32.897588886077138</c:v>
                </c:pt>
                <c:pt idx="181">
                  <c:v>32.897588886077138</c:v>
                </c:pt>
                <c:pt idx="182">
                  <c:v>32.897588886077138</c:v>
                </c:pt>
                <c:pt idx="183">
                  <c:v>32.897588886077138</c:v>
                </c:pt>
                <c:pt idx="184">
                  <c:v>32.897588886077138</c:v>
                </c:pt>
                <c:pt idx="185">
                  <c:v>32.897588886077138</c:v>
                </c:pt>
                <c:pt idx="186">
                  <c:v>32.897588886077138</c:v>
                </c:pt>
                <c:pt idx="187">
                  <c:v>32.897588886077138</c:v>
                </c:pt>
                <c:pt idx="188">
                  <c:v>32.897588886077138</c:v>
                </c:pt>
                <c:pt idx="189">
                  <c:v>32.897588886077138</c:v>
                </c:pt>
                <c:pt idx="190">
                  <c:v>32.897588886077138</c:v>
                </c:pt>
                <c:pt idx="191">
                  <c:v>32.897588886077138</c:v>
                </c:pt>
                <c:pt idx="192">
                  <c:v>32.897588886077138</c:v>
                </c:pt>
                <c:pt idx="193">
                  <c:v>32.897588886077138</c:v>
                </c:pt>
                <c:pt idx="194">
                  <c:v>32.897588886077138</c:v>
                </c:pt>
                <c:pt idx="195">
                  <c:v>32.897588886077138</c:v>
                </c:pt>
                <c:pt idx="196">
                  <c:v>32.897588886077138</c:v>
                </c:pt>
                <c:pt idx="197">
                  <c:v>32.897588886077138</c:v>
                </c:pt>
                <c:pt idx="198">
                  <c:v>32.897588886077138</c:v>
                </c:pt>
                <c:pt idx="199">
                  <c:v>32.897588886077138</c:v>
                </c:pt>
                <c:pt idx="200">
                  <c:v>32.897588886077138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582.81070831118348</c:v>
                </c:pt>
                <c:pt idx="82">
                  <c:v>582.81070831118348</c:v>
                </c:pt>
                <c:pt idx="83">
                  <c:v>582.81070831118348</c:v>
                </c:pt>
                <c:pt idx="84">
                  <c:v>582.81070831118348</c:v>
                </c:pt>
                <c:pt idx="85">
                  <c:v>582.81070831118348</c:v>
                </c:pt>
                <c:pt idx="86">
                  <c:v>582.81070831118348</c:v>
                </c:pt>
                <c:pt idx="87">
                  <c:v>582.81070831118348</c:v>
                </c:pt>
                <c:pt idx="88">
                  <c:v>582.81070831118348</c:v>
                </c:pt>
                <c:pt idx="89">
                  <c:v>582.81070831118348</c:v>
                </c:pt>
                <c:pt idx="90">
                  <c:v>582.81070831118348</c:v>
                </c:pt>
                <c:pt idx="91">
                  <c:v>582.81070831118348</c:v>
                </c:pt>
                <c:pt idx="92">
                  <c:v>582.81070831118348</c:v>
                </c:pt>
                <c:pt idx="93">
                  <c:v>582.81070831118348</c:v>
                </c:pt>
                <c:pt idx="94">
                  <c:v>582.81070831118348</c:v>
                </c:pt>
                <c:pt idx="95">
                  <c:v>582.81070831118348</c:v>
                </c:pt>
                <c:pt idx="96">
                  <c:v>582.81070831118348</c:v>
                </c:pt>
                <c:pt idx="97">
                  <c:v>582.81070831118348</c:v>
                </c:pt>
                <c:pt idx="98">
                  <c:v>582.81070831118348</c:v>
                </c:pt>
                <c:pt idx="99">
                  <c:v>582.81070831118348</c:v>
                </c:pt>
                <c:pt idx="100">
                  <c:v>582.81070831118348</c:v>
                </c:pt>
                <c:pt idx="101">
                  <c:v>582.81070831118348</c:v>
                </c:pt>
                <c:pt idx="102">
                  <c:v>582.81070831118348</c:v>
                </c:pt>
                <c:pt idx="103">
                  <c:v>582.81070831118348</c:v>
                </c:pt>
                <c:pt idx="104">
                  <c:v>582.81070831118348</c:v>
                </c:pt>
                <c:pt idx="105">
                  <c:v>582.81070831118348</c:v>
                </c:pt>
                <c:pt idx="106">
                  <c:v>582.81070831118348</c:v>
                </c:pt>
                <c:pt idx="107">
                  <c:v>582.81070831118348</c:v>
                </c:pt>
                <c:pt idx="108">
                  <c:v>582.81070831118348</c:v>
                </c:pt>
                <c:pt idx="109">
                  <c:v>582.81070831118348</c:v>
                </c:pt>
                <c:pt idx="110">
                  <c:v>582.81070831118348</c:v>
                </c:pt>
                <c:pt idx="111">
                  <c:v>582.81070831118348</c:v>
                </c:pt>
                <c:pt idx="112">
                  <c:v>582.81070831118348</c:v>
                </c:pt>
                <c:pt idx="113">
                  <c:v>582.81070831118348</c:v>
                </c:pt>
                <c:pt idx="114">
                  <c:v>582.81070831118348</c:v>
                </c:pt>
                <c:pt idx="115">
                  <c:v>582.81070831118348</c:v>
                </c:pt>
                <c:pt idx="116">
                  <c:v>582.81070831118348</c:v>
                </c:pt>
                <c:pt idx="117">
                  <c:v>582.81070831118348</c:v>
                </c:pt>
                <c:pt idx="118">
                  <c:v>582.81070831118348</c:v>
                </c:pt>
                <c:pt idx="119">
                  <c:v>582.81070831118348</c:v>
                </c:pt>
                <c:pt idx="120">
                  <c:v>582.81070831118348</c:v>
                </c:pt>
                <c:pt idx="121">
                  <c:v>582.81070831118348</c:v>
                </c:pt>
                <c:pt idx="122">
                  <c:v>582.81070831118348</c:v>
                </c:pt>
                <c:pt idx="123">
                  <c:v>582.81070831118348</c:v>
                </c:pt>
                <c:pt idx="124">
                  <c:v>582.81070831118348</c:v>
                </c:pt>
                <c:pt idx="125">
                  <c:v>582.81070831118348</c:v>
                </c:pt>
                <c:pt idx="126">
                  <c:v>582.81070831118348</c:v>
                </c:pt>
                <c:pt idx="127">
                  <c:v>582.81070831118348</c:v>
                </c:pt>
                <c:pt idx="128">
                  <c:v>582.81070831118348</c:v>
                </c:pt>
                <c:pt idx="129">
                  <c:v>582.81070831118348</c:v>
                </c:pt>
                <c:pt idx="130">
                  <c:v>582.81070831118348</c:v>
                </c:pt>
                <c:pt idx="131">
                  <c:v>582.81070831118348</c:v>
                </c:pt>
                <c:pt idx="132">
                  <c:v>582.81070831118348</c:v>
                </c:pt>
                <c:pt idx="133">
                  <c:v>582.81070831118348</c:v>
                </c:pt>
                <c:pt idx="134">
                  <c:v>582.81070831118348</c:v>
                </c:pt>
                <c:pt idx="135">
                  <c:v>582.81070831118348</c:v>
                </c:pt>
                <c:pt idx="136">
                  <c:v>582.81070831118348</c:v>
                </c:pt>
                <c:pt idx="137">
                  <c:v>582.81070831118348</c:v>
                </c:pt>
                <c:pt idx="138">
                  <c:v>582.81070831118348</c:v>
                </c:pt>
                <c:pt idx="139">
                  <c:v>582.81070831118348</c:v>
                </c:pt>
                <c:pt idx="140">
                  <c:v>582.81070831118348</c:v>
                </c:pt>
                <c:pt idx="141">
                  <c:v>582.81070831118348</c:v>
                </c:pt>
                <c:pt idx="142">
                  <c:v>582.81070831118348</c:v>
                </c:pt>
                <c:pt idx="143">
                  <c:v>582.81070831118348</c:v>
                </c:pt>
                <c:pt idx="144">
                  <c:v>582.81070831118348</c:v>
                </c:pt>
                <c:pt idx="145">
                  <c:v>582.81070831118348</c:v>
                </c:pt>
                <c:pt idx="146">
                  <c:v>582.81070831118348</c:v>
                </c:pt>
                <c:pt idx="147">
                  <c:v>582.81070831118348</c:v>
                </c:pt>
                <c:pt idx="148">
                  <c:v>582.81070831118348</c:v>
                </c:pt>
                <c:pt idx="149">
                  <c:v>582.81070831118348</c:v>
                </c:pt>
                <c:pt idx="150">
                  <c:v>582.81070831118348</c:v>
                </c:pt>
                <c:pt idx="151">
                  <c:v>582.81070831118348</c:v>
                </c:pt>
                <c:pt idx="152">
                  <c:v>582.81070831118348</c:v>
                </c:pt>
                <c:pt idx="153">
                  <c:v>582.81070831118348</c:v>
                </c:pt>
                <c:pt idx="154">
                  <c:v>582.81070831118348</c:v>
                </c:pt>
                <c:pt idx="155">
                  <c:v>582.81070831118348</c:v>
                </c:pt>
                <c:pt idx="156">
                  <c:v>582.81070831118348</c:v>
                </c:pt>
                <c:pt idx="157">
                  <c:v>582.81070831118348</c:v>
                </c:pt>
                <c:pt idx="158">
                  <c:v>582.81070831118348</c:v>
                </c:pt>
                <c:pt idx="159">
                  <c:v>582.81070831118348</c:v>
                </c:pt>
                <c:pt idx="160">
                  <c:v>582.81070831118348</c:v>
                </c:pt>
                <c:pt idx="161">
                  <c:v>582.81070831118348</c:v>
                </c:pt>
                <c:pt idx="162">
                  <c:v>582.81070831118348</c:v>
                </c:pt>
                <c:pt idx="163">
                  <c:v>582.81070831118348</c:v>
                </c:pt>
                <c:pt idx="164">
                  <c:v>582.81070831118348</c:v>
                </c:pt>
                <c:pt idx="165">
                  <c:v>582.81070831118348</c:v>
                </c:pt>
                <c:pt idx="166">
                  <c:v>582.81070831118348</c:v>
                </c:pt>
                <c:pt idx="167">
                  <c:v>582.81070831118348</c:v>
                </c:pt>
                <c:pt idx="168">
                  <c:v>582.81070831118348</c:v>
                </c:pt>
                <c:pt idx="169">
                  <c:v>582.81070831118348</c:v>
                </c:pt>
                <c:pt idx="170">
                  <c:v>582.81070831118348</c:v>
                </c:pt>
                <c:pt idx="171">
                  <c:v>582.81070831118348</c:v>
                </c:pt>
                <c:pt idx="172">
                  <c:v>582.81070831118348</c:v>
                </c:pt>
                <c:pt idx="173">
                  <c:v>582.81070831118348</c:v>
                </c:pt>
                <c:pt idx="174">
                  <c:v>582.81070831118348</c:v>
                </c:pt>
                <c:pt idx="175">
                  <c:v>582.81070831118348</c:v>
                </c:pt>
                <c:pt idx="176">
                  <c:v>582.81070831118348</c:v>
                </c:pt>
                <c:pt idx="177">
                  <c:v>582.81070831118348</c:v>
                </c:pt>
                <c:pt idx="178">
                  <c:v>582.81070831118348</c:v>
                </c:pt>
                <c:pt idx="179">
                  <c:v>582.81070831118348</c:v>
                </c:pt>
                <c:pt idx="180">
                  <c:v>582.81070831118348</c:v>
                </c:pt>
                <c:pt idx="181">
                  <c:v>582.81070831118348</c:v>
                </c:pt>
                <c:pt idx="182">
                  <c:v>582.81070831118348</c:v>
                </c:pt>
                <c:pt idx="183">
                  <c:v>582.81070831118348</c:v>
                </c:pt>
                <c:pt idx="184">
                  <c:v>582.81070831118348</c:v>
                </c:pt>
                <c:pt idx="185">
                  <c:v>582.81070831118348</c:v>
                </c:pt>
                <c:pt idx="186">
                  <c:v>582.81070831118348</c:v>
                </c:pt>
                <c:pt idx="187">
                  <c:v>582.81070831118348</c:v>
                </c:pt>
                <c:pt idx="188">
                  <c:v>582.81070831118348</c:v>
                </c:pt>
                <c:pt idx="189">
                  <c:v>582.81070831118348</c:v>
                </c:pt>
                <c:pt idx="190">
                  <c:v>582.81070831118348</c:v>
                </c:pt>
                <c:pt idx="191">
                  <c:v>582.81070831118348</c:v>
                </c:pt>
                <c:pt idx="192">
                  <c:v>582.81070831118348</c:v>
                </c:pt>
                <c:pt idx="193">
                  <c:v>582.81070831118348</c:v>
                </c:pt>
                <c:pt idx="194">
                  <c:v>582.81070831118348</c:v>
                </c:pt>
                <c:pt idx="195">
                  <c:v>582.81070831118348</c:v>
                </c:pt>
                <c:pt idx="196">
                  <c:v>582.81070831118348</c:v>
                </c:pt>
                <c:pt idx="197">
                  <c:v>582.81070831118348</c:v>
                </c:pt>
                <c:pt idx="198">
                  <c:v>582.81070831118348</c:v>
                </c:pt>
                <c:pt idx="199">
                  <c:v>582.81070831118348</c:v>
                </c:pt>
                <c:pt idx="200">
                  <c:v>582.81070831118348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332.26233823070532</c:v>
                </c:pt>
                <c:pt idx="44">
                  <c:v>332.26233823070532</c:v>
                </c:pt>
                <c:pt idx="45">
                  <c:v>332.26233823070532</c:v>
                </c:pt>
                <c:pt idx="46">
                  <c:v>332.26233823070532</c:v>
                </c:pt>
                <c:pt idx="47">
                  <c:v>332.26233823070532</c:v>
                </c:pt>
                <c:pt idx="48">
                  <c:v>332.26233823070532</c:v>
                </c:pt>
                <c:pt idx="49">
                  <c:v>332.26233823070532</c:v>
                </c:pt>
                <c:pt idx="50">
                  <c:v>332.26233823070532</c:v>
                </c:pt>
                <c:pt idx="51">
                  <c:v>332.26233823070532</c:v>
                </c:pt>
                <c:pt idx="52">
                  <c:v>332.26233823070532</c:v>
                </c:pt>
                <c:pt idx="53">
                  <c:v>332.26233823070532</c:v>
                </c:pt>
                <c:pt idx="54">
                  <c:v>332.26233823070532</c:v>
                </c:pt>
                <c:pt idx="55">
                  <c:v>332.26233823070532</c:v>
                </c:pt>
                <c:pt idx="56">
                  <c:v>332.26233823070532</c:v>
                </c:pt>
                <c:pt idx="57">
                  <c:v>332.26233823070532</c:v>
                </c:pt>
                <c:pt idx="58">
                  <c:v>332.26233823070532</c:v>
                </c:pt>
                <c:pt idx="59">
                  <c:v>332.26233823070532</c:v>
                </c:pt>
                <c:pt idx="60">
                  <c:v>332.26233823070532</c:v>
                </c:pt>
                <c:pt idx="61">
                  <c:v>332.26233823070532</c:v>
                </c:pt>
                <c:pt idx="62">
                  <c:v>332.26233823070532</c:v>
                </c:pt>
                <c:pt idx="63">
                  <c:v>332.26233823070532</c:v>
                </c:pt>
                <c:pt idx="64">
                  <c:v>332.26233823070532</c:v>
                </c:pt>
                <c:pt idx="65">
                  <c:v>332.26233823070532</c:v>
                </c:pt>
                <c:pt idx="66">
                  <c:v>332.26233823070532</c:v>
                </c:pt>
                <c:pt idx="67">
                  <c:v>332.26233823070532</c:v>
                </c:pt>
                <c:pt idx="68">
                  <c:v>332.26233823070532</c:v>
                </c:pt>
                <c:pt idx="69">
                  <c:v>332.26233823070532</c:v>
                </c:pt>
                <c:pt idx="70">
                  <c:v>332.26233823070532</c:v>
                </c:pt>
                <c:pt idx="71">
                  <c:v>332.26233823070532</c:v>
                </c:pt>
                <c:pt idx="72">
                  <c:v>332.26233823070532</c:v>
                </c:pt>
                <c:pt idx="73">
                  <c:v>332.26233823070532</c:v>
                </c:pt>
                <c:pt idx="74">
                  <c:v>332.26233823070532</c:v>
                </c:pt>
                <c:pt idx="75">
                  <c:v>332.26233823070532</c:v>
                </c:pt>
                <c:pt idx="76">
                  <c:v>332.26233823070532</c:v>
                </c:pt>
                <c:pt idx="77">
                  <c:v>332.26233823070532</c:v>
                </c:pt>
                <c:pt idx="78">
                  <c:v>332.26233823070532</c:v>
                </c:pt>
                <c:pt idx="79">
                  <c:v>332.26233823070532</c:v>
                </c:pt>
                <c:pt idx="80">
                  <c:v>332.26233823070532</c:v>
                </c:pt>
                <c:pt idx="81">
                  <c:v>332.26233823070532</c:v>
                </c:pt>
                <c:pt idx="82">
                  <c:v>332.26233823070532</c:v>
                </c:pt>
                <c:pt idx="83">
                  <c:v>332.26233823070532</c:v>
                </c:pt>
                <c:pt idx="84">
                  <c:v>332.26233823070532</c:v>
                </c:pt>
                <c:pt idx="85">
                  <c:v>332.26233823070532</c:v>
                </c:pt>
                <c:pt idx="86">
                  <c:v>332.26233823070532</c:v>
                </c:pt>
                <c:pt idx="87">
                  <c:v>332.26233823070532</c:v>
                </c:pt>
                <c:pt idx="88">
                  <c:v>332.26233823070532</c:v>
                </c:pt>
                <c:pt idx="89">
                  <c:v>332.26233823070532</c:v>
                </c:pt>
                <c:pt idx="90">
                  <c:v>332.26233823070532</c:v>
                </c:pt>
                <c:pt idx="91">
                  <c:v>332.26233823070532</c:v>
                </c:pt>
                <c:pt idx="92">
                  <c:v>332.26233823070532</c:v>
                </c:pt>
                <c:pt idx="93">
                  <c:v>332.26233823070532</c:v>
                </c:pt>
                <c:pt idx="94">
                  <c:v>332.26233823070532</c:v>
                </c:pt>
                <c:pt idx="95">
                  <c:v>332.26233823070532</c:v>
                </c:pt>
                <c:pt idx="96">
                  <c:v>332.26233823070532</c:v>
                </c:pt>
                <c:pt idx="97">
                  <c:v>332.26233823070532</c:v>
                </c:pt>
                <c:pt idx="98">
                  <c:v>332.26233823070532</c:v>
                </c:pt>
                <c:pt idx="99">
                  <c:v>332.26233823070532</c:v>
                </c:pt>
                <c:pt idx="100">
                  <c:v>332.26233823070532</c:v>
                </c:pt>
                <c:pt idx="101">
                  <c:v>332.26233823070532</c:v>
                </c:pt>
                <c:pt idx="102">
                  <c:v>332.26233823070532</c:v>
                </c:pt>
                <c:pt idx="103">
                  <c:v>332.26233823070532</c:v>
                </c:pt>
                <c:pt idx="104">
                  <c:v>332.26233823070532</c:v>
                </c:pt>
                <c:pt idx="105">
                  <c:v>332.26233823070532</c:v>
                </c:pt>
                <c:pt idx="106">
                  <c:v>332.26233823070532</c:v>
                </c:pt>
                <c:pt idx="107">
                  <c:v>332.26233823070532</c:v>
                </c:pt>
                <c:pt idx="108">
                  <c:v>332.26233823070532</c:v>
                </c:pt>
                <c:pt idx="109">
                  <c:v>332.26233823070532</c:v>
                </c:pt>
                <c:pt idx="110">
                  <c:v>332.26233823070532</c:v>
                </c:pt>
                <c:pt idx="111">
                  <c:v>332.26233823070532</c:v>
                </c:pt>
                <c:pt idx="112">
                  <c:v>332.26233823070532</c:v>
                </c:pt>
                <c:pt idx="113">
                  <c:v>332.26233823070532</c:v>
                </c:pt>
                <c:pt idx="114">
                  <c:v>332.26233823070532</c:v>
                </c:pt>
                <c:pt idx="115">
                  <c:v>332.26233823070532</c:v>
                </c:pt>
                <c:pt idx="116">
                  <c:v>332.26233823070532</c:v>
                </c:pt>
                <c:pt idx="117">
                  <c:v>332.26233823070532</c:v>
                </c:pt>
                <c:pt idx="118">
                  <c:v>332.26233823070532</c:v>
                </c:pt>
                <c:pt idx="119">
                  <c:v>332.26233823070532</c:v>
                </c:pt>
                <c:pt idx="120">
                  <c:v>332.26233823070532</c:v>
                </c:pt>
                <c:pt idx="121">
                  <c:v>332.26233823070532</c:v>
                </c:pt>
                <c:pt idx="122">
                  <c:v>332.26233823070532</c:v>
                </c:pt>
                <c:pt idx="123">
                  <c:v>332.26233823070532</c:v>
                </c:pt>
                <c:pt idx="124">
                  <c:v>332.26233823070532</c:v>
                </c:pt>
                <c:pt idx="125">
                  <c:v>332.26233823070532</c:v>
                </c:pt>
                <c:pt idx="126">
                  <c:v>332.26233823070532</c:v>
                </c:pt>
                <c:pt idx="127">
                  <c:v>332.26233823070532</c:v>
                </c:pt>
                <c:pt idx="128">
                  <c:v>332.26233823070532</c:v>
                </c:pt>
                <c:pt idx="129">
                  <c:v>332.26233823070532</c:v>
                </c:pt>
                <c:pt idx="130">
                  <c:v>332.26233823070532</c:v>
                </c:pt>
                <c:pt idx="131">
                  <c:v>332.26233823070532</c:v>
                </c:pt>
                <c:pt idx="132">
                  <c:v>332.26233823070532</c:v>
                </c:pt>
                <c:pt idx="133">
                  <c:v>332.26233823070532</c:v>
                </c:pt>
                <c:pt idx="134">
                  <c:v>332.26233823070532</c:v>
                </c:pt>
                <c:pt idx="135">
                  <c:v>332.26233823070532</c:v>
                </c:pt>
                <c:pt idx="136">
                  <c:v>332.26233823070532</c:v>
                </c:pt>
                <c:pt idx="137">
                  <c:v>332.26233823070532</c:v>
                </c:pt>
                <c:pt idx="138">
                  <c:v>332.26233823070532</c:v>
                </c:pt>
                <c:pt idx="139">
                  <c:v>332.26233823070532</c:v>
                </c:pt>
                <c:pt idx="140">
                  <c:v>332.26233823070532</c:v>
                </c:pt>
                <c:pt idx="141">
                  <c:v>332.26233823070532</c:v>
                </c:pt>
                <c:pt idx="142">
                  <c:v>332.26233823070532</c:v>
                </c:pt>
                <c:pt idx="143">
                  <c:v>332.26233823070532</c:v>
                </c:pt>
                <c:pt idx="144">
                  <c:v>332.26233823070532</c:v>
                </c:pt>
                <c:pt idx="145">
                  <c:v>332.26233823070532</c:v>
                </c:pt>
                <c:pt idx="146">
                  <c:v>332.26233823070532</c:v>
                </c:pt>
                <c:pt idx="147">
                  <c:v>332.26233823070532</c:v>
                </c:pt>
                <c:pt idx="148">
                  <c:v>332.26233823070532</c:v>
                </c:pt>
                <c:pt idx="149">
                  <c:v>332.26233823070532</c:v>
                </c:pt>
                <c:pt idx="150">
                  <c:v>332.26233823070532</c:v>
                </c:pt>
                <c:pt idx="151">
                  <c:v>332.26233823070532</c:v>
                </c:pt>
                <c:pt idx="152">
                  <c:v>332.26233823070532</c:v>
                </c:pt>
                <c:pt idx="153">
                  <c:v>332.26233823070532</c:v>
                </c:pt>
                <c:pt idx="154">
                  <c:v>332.26233823070532</c:v>
                </c:pt>
                <c:pt idx="155">
                  <c:v>332.26233823070532</c:v>
                </c:pt>
                <c:pt idx="156">
                  <c:v>332.26233823070532</c:v>
                </c:pt>
                <c:pt idx="157">
                  <c:v>332.26233823070532</c:v>
                </c:pt>
                <c:pt idx="158">
                  <c:v>332.26233823070532</c:v>
                </c:pt>
                <c:pt idx="159">
                  <c:v>332.26233823070532</c:v>
                </c:pt>
                <c:pt idx="160">
                  <c:v>332.26233823070532</c:v>
                </c:pt>
                <c:pt idx="161">
                  <c:v>332.26233823070532</c:v>
                </c:pt>
                <c:pt idx="162">
                  <c:v>332.26233823070532</c:v>
                </c:pt>
                <c:pt idx="163">
                  <c:v>332.26233823070532</c:v>
                </c:pt>
                <c:pt idx="164">
                  <c:v>332.26233823070532</c:v>
                </c:pt>
                <c:pt idx="165">
                  <c:v>332.26233823070532</c:v>
                </c:pt>
                <c:pt idx="166">
                  <c:v>332.26233823070532</c:v>
                </c:pt>
                <c:pt idx="167">
                  <c:v>332.26233823070532</c:v>
                </c:pt>
                <c:pt idx="168">
                  <c:v>332.26233823070532</c:v>
                </c:pt>
                <c:pt idx="169">
                  <c:v>332.26233823070532</c:v>
                </c:pt>
                <c:pt idx="170">
                  <c:v>332.26233823070532</c:v>
                </c:pt>
                <c:pt idx="171">
                  <c:v>332.26233823070532</c:v>
                </c:pt>
                <c:pt idx="172">
                  <c:v>332.26233823070532</c:v>
                </c:pt>
                <c:pt idx="173">
                  <c:v>332.26233823070532</c:v>
                </c:pt>
                <c:pt idx="174">
                  <c:v>332.26233823070532</c:v>
                </c:pt>
                <c:pt idx="175">
                  <c:v>332.26233823070532</c:v>
                </c:pt>
                <c:pt idx="176">
                  <c:v>332.26233823070532</c:v>
                </c:pt>
                <c:pt idx="177">
                  <c:v>332.26233823070532</c:v>
                </c:pt>
                <c:pt idx="178">
                  <c:v>332.26233823070532</c:v>
                </c:pt>
                <c:pt idx="179">
                  <c:v>332.26233823070532</c:v>
                </c:pt>
                <c:pt idx="180">
                  <c:v>332.26233823070532</c:v>
                </c:pt>
                <c:pt idx="181">
                  <c:v>332.26233823070532</c:v>
                </c:pt>
                <c:pt idx="182">
                  <c:v>332.26233823070532</c:v>
                </c:pt>
                <c:pt idx="183">
                  <c:v>332.26233823070532</c:v>
                </c:pt>
                <c:pt idx="184">
                  <c:v>332.26233823070532</c:v>
                </c:pt>
                <c:pt idx="185">
                  <c:v>332.26233823070532</c:v>
                </c:pt>
                <c:pt idx="186">
                  <c:v>332.26233823070532</c:v>
                </c:pt>
                <c:pt idx="187">
                  <c:v>332.26233823070532</c:v>
                </c:pt>
                <c:pt idx="188">
                  <c:v>332.26233823070532</c:v>
                </c:pt>
                <c:pt idx="189">
                  <c:v>332.26233823070532</c:v>
                </c:pt>
                <c:pt idx="190">
                  <c:v>332.26233823070532</c:v>
                </c:pt>
                <c:pt idx="191">
                  <c:v>332.26233823070532</c:v>
                </c:pt>
                <c:pt idx="192">
                  <c:v>332.26233823070532</c:v>
                </c:pt>
                <c:pt idx="193">
                  <c:v>332.26233823070532</c:v>
                </c:pt>
                <c:pt idx="194">
                  <c:v>332.26233823070532</c:v>
                </c:pt>
                <c:pt idx="195">
                  <c:v>332.26233823070532</c:v>
                </c:pt>
                <c:pt idx="196">
                  <c:v>332.26233823070532</c:v>
                </c:pt>
                <c:pt idx="197">
                  <c:v>332.26233823070532</c:v>
                </c:pt>
                <c:pt idx="198">
                  <c:v>332.26233823070532</c:v>
                </c:pt>
                <c:pt idx="199">
                  <c:v>332.26233823070532</c:v>
                </c:pt>
                <c:pt idx="200">
                  <c:v>332.26233823070532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I18" sqref="I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0.35</v>
      </c>
      <c r="D9" s="33">
        <f t="shared" ref="D9:D18" si="0">C9*$C$5</f>
        <v>1.75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25</v>
      </c>
      <c r="C10" s="264">
        <v>0.2</v>
      </c>
      <c r="D10" s="33">
        <f t="shared" si="0"/>
        <v>1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11</v>
      </c>
      <c r="C11" s="264">
        <v>0.15</v>
      </c>
      <c r="D11" s="33">
        <f t="shared" si="0"/>
        <v>0.75</v>
      </c>
      <c r="E11" s="265">
        <v>106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8</v>
      </c>
      <c r="C12" s="264">
        <v>0.15</v>
      </c>
      <c r="D12" s="33">
        <f t="shared" si="0"/>
        <v>0.75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81</v>
      </c>
      <c r="C13" s="32">
        <v>0.15</v>
      </c>
      <c r="D13" s="33">
        <f t="shared" si="0"/>
        <v>0.75</v>
      </c>
      <c r="E13" s="34">
        <v>42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121.88461538461537</v>
      </c>
      <c r="C36" s="259"/>
      <c r="D36" s="259"/>
      <c r="E36" s="260"/>
      <c r="F36" s="260"/>
      <c r="G36" s="260"/>
      <c r="H36" s="260"/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15.881076923076924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Hêtre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56</v>
      </c>
      <c r="C62" s="261"/>
      <c r="D62" s="261">
        <v>0</v>
      </c>
      <c r="E62" s="260"/>
      <c r="F62" s="260"/>
      <c r="G62" s="260"/>
      <c r="H62" s="260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111</v>
      </c>
      <c r="C63" s="261">
        <v>1</v>
      </c>
      <c r="D63" s="261">
        <v>26</v>
      </c>
      <c r="E63" s="260"/>
      <c r="F63" s="260"/>
      <c r="G63" s="260"/>
      <c r="H63" s="260">
        <v>1</v>
      </c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146</v>
      </c>
      <c r="C64" s="261">
        <v>2</v>
      </c>
      <c r="D64" s="261">
        <v>35</v>
      </c>
      <c r="E64" s="260"/>
      <c r="F64" s="260"/>
      <c r="G64" s="260"/>
      <c r="H64" s="260">
        <v>1</v>
      </c>
      <c r="I64" s="49">
        <f>IF(A64&lt;&gt;0,(B64-(B63-D63))/(A64-A63),"")</f>
        <v>12.2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175</v>
      </c>
      <c r="C65" s="261">
        <v>3</v>
      </c>
      <c r="D65" s="261">
        <v>35</v>
      </c>
      <c r="E65" s="260">
        <v>1</v>
      </c>
      <c r="F65" s="260"/>
      <c r="G65" s="260"/>
      <c r="H65" s="260"/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207</v>
      </c>
      <c r="C66" s="261">
        <v>4</v>
      </c>
      <c r="D66" s="261">
        <v>35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241</v>
      </c>
      <c r="C67" s="261">
        <v>5</v>
      </c>
      <c r="D67" s="261">
        <v>35</v>
      </c>
      <c r="E67" s="260">
        <v>1</v>
      </c>
      <c r="F67" s="260"/>
      <c r="G67" s="260"/>
      <c r="H67" s="260"/>
      <c r="I67" s="49">
        <f t="shared" si="2"/>
        <v>13.8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274</v>
      </c>
      <c r="C68" s="261">
        <v>6</v>
      </c>
      <c r="D68" s="261">
        <v>35</v>
      </c>
      <c r="E68" s="260">
        <v>1</v>
      </c>
      <c r="F68" s="260"/>
      <c r="G68" s="260"/>
      <c r="H68" s="260"/>
      <c r="I68" s="49">
        <f t="shared" si="2"/>
        <v>13.6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306</v>
      </c>
      <c r="C69" s="261">
        <v>7</v>
      </c>
      <c r="D69" s="261">
        <v>35</v>
      </c>
      <c r="E69" s="260">
        <v>1</v>
      </c>
      <c r="F69" s="260"/>
      <c r="G69" s="260"/>
      <c r="H69" s="260"/>
      <c r="I69" s="49">
        <f t="shared" si="2"/>
        <v>13.4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336</v>
      </c>
      <c r="C70" s="261">
        <v>8</v>
      </c>
      <c r="D70" s="261">
        <v>35</v>
      </c>
      <c r="E70" s="260">
        <v>1</v>
      </c>
      <c r="F70" s="260"/>
      <c r="G70" s="260"/>
      <c r="H70" s="260"/>
      <c r="I70" s="49">
        <f t="shared" si="2"/>
        <v>13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363</v>
      </c>
      <c r="C71" s="261">
        <v>9</v>
      </c>
      <c r="D71" s="261">
        <v>35</v>
      </c>
      <c r="E71" s="260">
        <v>1</v>
      </c>
      <c r="F71" s="260"/>
      <c r="G71" s="260"/>
      <c r="H71" s="260"/>
      <c r="I71" s="49">
        <f t="shared" si="2"/>
        <v>12.4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387</v>
      </c>
      <c r="C72" s="261">
        <v>10</v>
      </c>
      <c r="D72" s="261">
        <v>35</v>
      </c>
      <c r="E72" s="260">
        <v>1</v>
      </c>
      <c r="F72" s="260"/>
      <c r="G72" s="260"/>
      <c r="H72" s="260"/>
      <c r="I72" s="49">
        <f t="shared" si="2"/>
        <v>11.8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407</v>
      </c>
      <c r="C73" s="261">
        <v>11</v>
      </c>
      <c r="D73" s="261">
        <v>35</v>
      </c>
      <c r="E73" s="260">
        <v>1</v>
      </c>
      <c r="F73" s="260"/>
      <c r="G73" s="260"/>
      <c r="H73" s="260"/>
      <c r="I73" s="49">
        <f t="shared" si="2"/>
        <v>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424</v>
      </c>
      <c r="C74" s="261">
        <v>12</v>
      </c>
      <c r="D74" s="261">
        <v>34</v>
      </c>
      <c r="E74" s="260">
        <v>1</v>
      </c>
      <c r="F74" s="260"/>
      <c r="G74" s="260"/>
      <c r="H74" s="260"/>
      <c r="I74" s="49">
        <f t="shared" si="2"/>
        <v>10.4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85</v>
      </c>
      <c r="B75" s="261">
        <v>438</v>
      </c>
      <c r="C75" s="261">
        <v>13</v>
      </c>
      <c r="D75" s="261">
        <v>33</v>
      </c>
      <c r="E75" s="260">
        <v>1</v>
      </c>
      <c r="F75" s="260"/>
      <c r="G75" s="260"/>
      <c r="H75" s="260"/>
      <c r="I75" s="49">
        <f t="shared" si="2"/>
        <v>9.6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90</v>
      </c>
      <c r="B76" s="261">
        <v>451</v>
      </c>
      <c r="C76" s="261">
        <v>14</v>
      </c>
      <c r="D76" s="261">
        <v>31</v>
      </c>
      <c r="E76" s="260">
        <v>1</v>
      </c>
      <c r="F76" s="260"/>
      <c r="G76" s="260"/>
      <c r="H76" s="260"/>
      <c r="I76" s="49">
        <f t="shared" si="2"/>
        <v>9.1999999999999993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95</v>
      </c>
      <c r="B77" s="257">
        <v>463</v>
      </c>
      <c r="C77" s="256">
        <v>15</v>
      </c>
      <c r="D77" s="256">
        <v>30</v>
      </c>
      <c r="E77" s="255">
        <v>1</v>
      </c>
      <c r="F77" s="255"/>
      <c r="G77" s="255"/>
      <c r="H77" s="255"/>
      <c r="I77" s="49">
        <f t="shared" si="2"/>
        <v>8.6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100</v>
      </c>
      <c r="B78" s="257">
        <v>474</v>
      </c>
      <c r="C78" s="256">
        <v>16</v>
      </c>
      <c r="D78" s="256">
        <v>29</v>
      </c>
      <c r="E78" s="255">
        <v>1</v>
      </c>
      <c r="F78" s="255"/>
      <c r="G78" s="255"/>
      <c r="H78" s="255"/>
      <c r="I78" s="49">
        <f t="shared" si="2"/>
        <v>8.1999999999999993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105</v>
      </c>
      <c r="B79" s="257">
        <v>484</v>
      </c>
      <c r="C79" s="256">
        <v>17</v>
      </c>
      <c r="D79" s="256">
        <v>28</v>
      </c>
      <c r="E79" s="255">
        <v>1</v>
      </c>
      <c r="F79" s="255"/>
      <c r="G79" s="255"/>
      <c r="H79" s="255"/>
      <c r="I79" s="49">
        <f t="shared" si="2"/>
        <v>7.8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110</v>
      </c>
      <c r="B80" s="257">
        <v>493</v>
      </c>
      <c r="C80" s="256">
        <v>18</v>
      </c>
      <c r="D80" s="256">
        <v>27</v>
      </c>
      <c r="E80" s="255">
        <v>1</v>
      </c>
      <c r="F80" s="255"/>
      <c r="G80" s="255"/>
      <c r="H80" s="255"/>
      <c r="I80" s="49">
        <f t="shared" si="2"/>
        <v>7.4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115</v>
      </c>
      <c r="B81" s="257">
        <v>501</v>
      </c>
      <c r="C81" s="256">
        <v>19</v>
      </c>
      <c r="D81" s="258">
        <v>26</v>
      </c>
      <c r="E81" s="255">
        <v>1</v>
      </c>
      <c r="F81" s="255"/>
      <c r="G81" s="255"/>
      <c r="H81" s="255"/>
      <c r="I81" s="49">
        <f t="shared" si="2"/>
        <v>7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pédonculé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119.19871794871794</v>
      </c>
      <c r="C88" s="261"/>
      <c r="D88" s="261"/>
      <c r="E88" s="260"/>
      <c r="F88" s="260"/>
      <c r="G88" s="260"/>
      <c r="H88" s="260"/>
      <c r="I88" s="53">
        <f>IFERROR(B88/A88,"")</f>
        <v>3.9732905982905979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31</v>
      </c>
      <c r="B89" s="261">
        <v>152.27000000000001</v>
      </c>
      <c r="C89" s="261">
        <v>1</v>
      </c>
      <c r="D89" s="261">
        <v>63.58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33.071282051282068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37</v>
      </c>
      <c r="B90" s="261">
        <v>164.49</v>
      </c>
      <c r="C90" s="261">
        <v>2</v>
      </c>
      <c r="D90" s="261">
        <v>41.18</v>
      </c>
      <c r="E90" s="260">
        <v>1</v>
      </c>
      <c r="F90" s="260"/>
      <c r="G90" s="260"/>
      <c r="H90" s="260"/>
      <c r="I90" s="53">
        <f t="shared" si="3"/>
        <v>12.633333333333333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44</v>
      </c>
      <c r="B91" s="261">
        <v>218.51</v>
      </c>
      <c r="C91" s="261">
        <v>3</v>
      </c>
      <c r="D91" s="261">
        <v>52.08</v>
      </c>
      <c r="E91" s="260">
        <v>1</v>
      </c>
      <c r="F91" s="260"/>
      <c r="G91" s="260"/>
      <c r="H91" s="260"/>
      <c r="I91" s="53">
        <f t="shared" si="3"/>
        <v>13.599999999999998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51</v>
      </c>
      <c r="B92" s="261">
        <v>261.62</v>
      </c>
      <c r="C92" s="261">
        <v>4</v>
      </c>
      <c r="D92" s="261">
        <v>50.63</v>
      </c>
      <c r="E92" s="260">
        <v>1</v>
      </c>
      <c r="F92" s="260"/>
      <c r="G92" s="260"/>
      <c r="H92" s="260"/>
      <c r="I92" s="53">
        <f t="shared" si="3"/>
        <v>13.598571428571429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58</v>
      </c>
      <c r="B93" s="261">
        <v>305.12</v>
      </c>
      <c r="C93" s="261">
        <v>5</v>
      </c>
      <c r="D93" s="261">
        <v>48.81</v>
      </c>
      <c r="E93" s="260">
        <v>1</v>
      </c>
      <c r="F93" s="260"/>
      <c r="G93" s="260"/>
      <c r="H93" s="260"/>
      <c r="I93" s="53">
        <f t="shared" si="3"/>
        <v>13.447142857142856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65</v>
      </c>
      <c r="B94" s="261">
        <v>348.03</v>
      </c>
      <c r="C94" s="261">
        <v>6</v>
      </c>
      <c r="D94" s="261">
        <v>50.87</v>
      </c>
      <c r="E94" s="260">
        <v>1</v>
      </c>
      <c r="F94" s="260"/>
      <c r="G94" s="260"/>
      <c r="H94" s="260"/>
      <c r="I94" s="53">
        <f t="shared" si="3"/>
        <v>13.102857142857138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72</v>
      </c>
      <c r="B95" s="261">
        <v>385.02</v>
      </c>
      <c r="C95" s="261">
        <v>7</v>
      </c>
      <c r="D95" s="261">
        <v>58.96</v>
      </c>
      <c r="E95" s="260">
        <v>1</v>
      </c>
      <c r="F95" s="260"/>
      <c r="G95" s="260"/>
      <c r="H95" s="260"/>
      <c r="I95" s="53">
        <f t="shared" si="3"/>
        <v>12.551428571428573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81</v>
      </c>
      <c r="B96" s="261">
        <v>433.28</v>
      </c>
      <c r="C96" s="261">
        <v>8</v>
      </c>
      <c r="D96" s="261">
        <v>77.44</v>
      </c>
      <c r="E96" s="260">
        <v>1</v>
      </c>
      <c r="F96" s="260"/>
      <c r="G96" s="260"/>
      <c r="H96" s="260"/>
      <c r="I96" s="53">
        <f t="shared" si="3"/>
        <v>11.91333333333333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90</v>
      </c>
      <c r="B97" s="261">
        <v>453.03</v>
      </c>
      <c r="C97" s="261">
        <v>9</v>
      </c>
      <c r="D97" s="261">
        <v>78.34</v>
      </c>
      <c r="E97" s="260">
        <v>1</v>
      </c>
      <c r="F97" s="260"/>
      <c r="G97" s="260"/>
      <c r="H97" s="260"/>
      <c r="I97" s="53">
        <f t="shared" si="3"/>
        <v>10.798888888888889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99</v>
      </c>
      <c r="B98" s="261">
        <v>465.23</v>
      </c>
      <c r="C98" s="261">
        <v>10</v>
      </c>
      <c r="D98" s="261">
        <v>198.88</v>
      </c>
      <c r="E98" s="260">
        <v>1</v>
      </c>
      <c r="F98" s="260"/>
      <c r="G98" s="260"/>
      <c r="H98" s="260"/>
      <c r="I98" s="53">
        <f t="shared" si="3"/>
        <v>10.060000000000009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101</v>
      </c>
      <c r="B99" s="261">
        <v>252.87</v>
      </c>
      <c r="C99" s="261">
        <v>11</v>
      </c>
      <c r="D99" s="261">
        <v>72.569999999999993</v>
      </c>
      <c r="E99" s="260">
        <v>1</v>
      </c>
      <c r="F99" s="260"/>
      <c r="G99" s="260"/>
      <c r="H99" s="260"/>
      <c r="I99" s="53">
        <f t="shared" si="3"/>
        <v>-6.7400000000000091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103</v>
      </c>
      <c r="B100" s="261">
        <v>179.96</v>
      </c>
      <c r="C100" s="261">
        <v>12</v>
      </c>
      <c r="D100" s="261">
        <v>51.31</v>
      </c>
      <c r="E100" s="260">
        <v>1</v>
      </c>
      <c r="F100" s="260"/>
      <c r="G100" s="260"/>
      <c r="H100" s="260"/>
      <c r="I100" s="53">
        <f t="shared" si="3"/>
        <v>-0.17000000000000171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106</v>
      </c>
      <c r="B101" s="261">
        <v>131.46</v>
      </c>
      <c r="C101" s="261">
        <v>13</v>
      </c>
      <c r="D101" s="261">
        <v>114.71</v>
      </c>
      <c r="E101" s="260">
        <v>1</v>
      </c>
      <c r="F101" s="260"/>
      <c r="G101" s="260"/>
      <c r="H101" s="260"/>
      <c r="I101" s="53">
        <f t="shared" si="3"/>
        <v>0.93666666666666742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Châtaignier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19</v>
      </c>
      <c r="C114" s="261">
        <v>1</v>
      </c>
      <c r="D114" s="261">
        <v>7</v>
      </c>
      <c r="E114" s="260"/>
      <c r="F114" s="260"/>
      <c r="G114" s="260"/>
      <c r="H114" s="260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85</v>
      </c>
      <c r="C115" s="261">
        <v>2</v>
      </c>
      <c r="D115" s="261">
        <v>42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123</v>
      </c>
      <c r="C116" s="261">
        <v>3</v>
      </c>
      <c r="D116" s="261">
        <v>42</v>
      </c>
      <c r="E116" s="260"/>
      <c r="F116" s="260"/>
      <c r="G116" s="260"/>
      <c r="H116" s="260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165</v>
      </c>
      <c r="C117" s="261">
        <v>4</v>
      </c>
      <c r="D117" s="261">
        <v>42</v>
      </c>
      <c r="E117" s="260"/>
      <c r="F117" s="260"/>
      <c r="G117" s="260"/>
      <c r="H117" s="260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205</v>
      </c>
      <c r="C118" s="261">
        <v>5</v>
      </c>
      <c r="D118" s="261">
        <v>42</v>
      </c>
      <c r="E118" s="260"/>
      <c r="F118" s="260"/>
      <c r="G118" s="260"/>
      <c r="H118" s="260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239</v>
      </c>
      <c r="C119" s="261">
        <v>6</v>
      </c>
      <c r="D119" s="261">
        <v>42</v>
      </c>
      <c r="E119" s="260">
        <v>1</v>
      </c>
      <c r="F119" s="260"/>
      <c r="G119" s="260"/>
      <c r="H119" s="260"/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263</v>
      </c>
      <c r="C120" s="261">
        <v>7</v>
      </c>
      <c r="D120" s="261">
        <v>40</v>
      </c>
      <c r="E120" s="260">
        <v>1</v>
      </c>
      <c r="F120" s="260"/>
      <c r="G120" s="260"/>
      <c r="H120" s="260"/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280</v>
      </c>
      <c r="C121" s="261">
        <v>8</v>
      </c>
      <c r="D121" s="261">
        <v>26</v>
      </c>
      <c r="E121" s="260">
        <v>1</v>
      </c>
      <c r="F121" s="260"/>
      <c r="G121" s="260"/>
      <c r="H121" s="260"/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303</v>
      </c>
      <c r="C122" s="261">
        <v>9</v>
      </c>
      <c r="D122" s="261">
        <v>21</v>
      </c>
      <c r="E122" s="260">
        <v>1</v>
      </c>
      <c r="F122" s="260"/>
      <c r="G122" s="260"/>
      <c r="H122" s="260"/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324</v>
      </c>
      <c r="C123" s="261">
        <v>10</v>
      </c>
      <c r="D123" s="261">
        <v>18</v>
      </c>
      <c r="E123" s="260">
        <v>1</v>
      </c>
      <c r="F123" s="260"/>
      <c r="G123" s="260"/>
      <c r="H123" s="260"/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343</v>
      </c>
      <c r="C124" s="261">
        <v>11</v>
      </c>
      <c r="D124" s="261">
        <v>17</v>
      </c>
      <c r="E124" s="260">
        <v>1</v>
      </c>
      <c r="F124" s="260"/>
      <c r="G124" s="260"/>
      <c r="H124" s="260"/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356</v>
      </c>
      <c r="C125" s="261">
        <v>12</v>
      </c>
      <c r="D125" s="261">
        <v>16</v>
      </c>
      <c r="E125" s="260">
        <v>1</v>
      </c>
      <c r="F125" s="260"/>
      <c r="G125" s="260"/>
      <c r="H125" s="260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366</v>
      </c>
      <c r="C126" s="261">
        <v>13</v>
      </c>
      <c r="D126" s="261">
        <v>15</v>
      </c>
      <c r="E126" s="260">
        <v>1</v>
      </c>
      <c r="F126" s="260"/>
      <c r="G126" s="260"/>
      <c r="H126" s="260"/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375</v>
      </c>
      <c r="C127" s="261">
        <v>14</v>
      </c>
      <c r="D127" s="261">
        <v>14</v>
      </c>
      <c r="E127" s="260">
        <v>1</v>
      </c>
      <c r="F127" s="260"/>
      <c r="G127" s="260"/>
      <c r="H127" s="260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381</v>
      </c>
      <c r="C128" s="261">
        <v>15</v>
      </c>
      <c r="D128" s="261">
        <v>13</v>
      </c>
      <c r="E128" s="260">
        <v>1</v>
      </c>
      <c r="F128" s="260"/>
      <c r="G128" s="260"/>
      <c r="H128" s="260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Mélèze hybride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12</v>
      </c>
      <c r="B140" s="60">
        <v>116</v>
      </c>
      <c r="C140" s="50">
        <v>1</v>
      </c>
      <c r="D140" s="60">
        <v>21</v>
      </c>
      <c r="E140" s="51"/>
      <c r="F140" s="51"/>
      <c r="G140" s="51">
        <v>1</v>
      </c>
      <c r="H140" s="51"/>
      <c r="I140" s="57">
        <f>IFERROR(B140/A140,"")</f>
        <v>9.6666666666666661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168</v>
      </c>
      <c r="C141" s="50">
        <v>2</v>
      </c>
      <c r="D141" s="60">
        <v>47</v>
      </c>
      <c r="E141" s="51"/>
      <c r="F141" s="51">
        <v>1</v>
      </c>
      <c r="G141" s="51"/>
      <c r="H141" s="51"/>
      <c r="I141" s="57">
        <f t="shared" ref="I141:I159" si="5">IF(A141&lt;&gt;0,(B141-(B140-D140))/(A141-A140),"")</f>
        <v>24.333333333333332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18</v>
      </c>
      <c r="B142" s="60">
        <v>185</v>
      </c>
      <c r="C142" s="50">
        <v>3</v>
      </c>
      <c r="D142" s="60">
        <v>61</v>
      </c>
      <c r="E142" s="51"/>
      <c r="F142" s="51">
        <v>1</v>
      </c>
      <c r="G142" s="51"/>
      <c r="H142" s="51"/>
      <c r="I142" s="57">
        <f t="shared" si="5"/>
        <v>21.333333333333332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24</v>
      </c>
      <c r="B143" s="60">
        <v>239</v>
      </c>
      <c r="C143" s="50">
        <v>4</v>
      </c>
      <c r="D143" s="60">
        <v>84</v>
      </c>
      <c r="E143" s="51"/>
      <c r="F143" s="51">
        <v>1</v>
      </c>
      <c r="G143" s="51"/>
      <c r="H143" s="51"/>
      <c r="I143" s="57">
        <f t="shared" si="5"/>
        <v>19.166666666666668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255</v>
      </c>
      <c r="C144" s="50">
        <v>5</v>
      </c>
      <c r="D144" s="60">
        <v>76</v>
      </c>
      <c r="E144" s="51"/>
      <c r="F144" s="51">
        <v>1</v>
      </c>
      <c r="G144" s="51"/>
      <c r="H144" s="51"/>
      <c r="I144" s="57">
        <f t="shared" si="5"/>
        <v>16.666666666666668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36</v>
      </c>
      <c r="B145" s="60">
        <v>269</v>
      </c>
      <c r="C145" s="50">
        <v>6</v>
      </c>
      <c r="D145" s="60">
        <v>75</v>
      </c>
      <c r="E145" s="51">
        <v>1</v>
      </c>
      <c r="F145" s="51"/>
      <c r="G145" s="51"/>
      <c r="H145" s="51"/>
      <c r="I145" s="57">
        <f t="shared" si="5"/>
        <v>15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42</v>
      </c>
      <c r="B146" s="60">
        <v>278</v>
      </c>
      <c r="C146" s="50"/>
      <c r="D146" s="60"/>
      <c r="E146" s="51"/>
      <c r="F146" s="51"/>
      <c r="G146" s="51"/>
      <c r="H146" s="51"/>
      <c r="I146" s="57">
        <f t="shared" si="5"/>
        <v>14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Hêtre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pédonculé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Châtaignier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Mélèze hybride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567.42635821336114</v>
      </c>
      <c r="T3" s="59">
        <f>IF('Données projet'!E9&gt;30,$R$33-$H$33,LOOKUP('Données projet'!$E$9,$A$3:$A$203,R3:R203)-LOOKUP('Données projet'!$E$9,$A$3:$A$203,$H$3:$H$203))</f>
        <v>299.0473530693472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569.97793593332699</v>
      </c>
      <c r="AO3" s="59">
        <f>IF('Données projet'!E10&gt;30,$AM$33-$H$33,LOOKUP('Données projet'!$E$10,$A$3:$A$203,AM3:AM203)-LOOKUP('Données projet'!$E$10,$A$3:$A$203,$H$3:$H$203))</f>
        <v>331.25104323342907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458.88102603650725</v>
      </c>
      <c r="BJ3" s="59">
        <f>IF('Données projet'!E11&gt;30,$BH$33-$H$33,LOOKUP('Données projet'!$E$11,$A$3:$A$203,BH3:BH203)-LOOKUP('Données projet'!$E$11,$A$3:$A$203,$H$3:$H$203))</f>
        <v>277.79020316059552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400.48995908576177</v>
      </c>
      <c r="CE3" s="59">
        <f>IF('Données projet'!E12&gt;30,$CC$33-$H$33,LOOKUP('Données projet'!$E$12,$A$3:$A$203,CC3:CC203)-LOOKUP('Données projet'!$E$12,$A$3:$A$203,$H$3:$H$203))</f>
        <v>384.86917865380076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215.37314197175104</v>
      </c>
      <c r="CZ3" s="59">
        <f>IF('Données projet'!E13&gt;30,$CX$33-$H$33,LOOKUP('Données projet'!$E$13,$A$3:$A$203,CX3:CX203)-LOOKUP('Données projet'!$E$13,$A$3:$A$203,$H$3:$H$203))</f>
        <v>361.17630426655978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170.50829182017665</v>
      </c>
      <c r="S4" s="59">
        <f ca="1">AVERAGE(OFFSET($R$3,0,0,'Données projet'!$E$9+1,1))-AVERAGE(OFFSET($H$3,0,0,'Données projet'!$E$9+1,1))</f>
        <v>567.42635821336114</v>
      </c>
      <c r="T4" s="59">
        <f>$T$3</f>
        <v>299.0473530693472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1.2229519710813024</v>
      </c>
      <c r="AJ4" s="13">
        <f>AI4*VLOOKUP('Données projet'!$B$10,Paramètres!$A$1:$I$89,3,0)*VLOOKUP('Données projet'!$B$10,Paramètres!$A$1:$I$89,5,0)</f>
        <v>1.0492927911877574</v>
      </c>
      <c r="AK4" s="13">
        <f>EXP(-1.0587+0.8836*LN(AJ4)+0.284)</f>
        <v>0.48085748368030745</v>
      </c>
      <c r="AL4" s="20">
        <f t="shared" ref="AL4:AL67" si="4">(AJ4+AK4)*0.475*44/12</f>
        <v>2.6650117287285462</v>
      </c>
      <c r="AM4" s="59">
        <f t="shared" ref="AM4:AM67" si="5">AL4+(AD4+AE4)*44/12</f>
        <v>170.4774456816524</v>
      </c>
      <c r="AN4" s="59">
        <f ca="1">AVERAGE(OFFSET($AM$3,0,0,'Données projet'!$E$10+1,1))-AVERAGE(OFFSET($H$3,0,0,'Données projet'!$E$10+1,1))</f>
        <v>569.97793593332699</v>
      </c>
      <c r="AO4" s="59">
        <f>$AO$3</f>
        <v>331.25104323342907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3.9732905982905979</v>
      </c>
      <c r="BD4" s="12">
        <f>IF('Données projet'!$A$88&gt;35,BD3+BC4-BL3,IF(A4&lt;'Données projet'!$A$88,$BA$205^A4,IF(A4='Données projet'!$A$88,'Données projet'!$B$88,BD3+BC4-BL3)))</f>
        <v>1.1727597515473569</v>
      </c>
      <c r="BE4" s="13">
        <f>BD4*VLOOKUP('Données projet'!$B$11,Paramètres!$A$1:$I$89,3,0)*VLOOKUP('Données projet'!$B$11,Paramètres!$A$1:$I$89,5,0)</f>
        <v>0.98793281470349359</v>
      </c>
      <c r="BF4" s="13">
        <f>EXP(-1.0587+0.8836*LN(BE4)+0.284)</f>
        <v>0.45592478840438083</v>
      </c>
      <c r="BG4" s="20">
        <f t="shared" ref="BG4:BG67" si="7">(BE4+BF4)*0.475*44/12</f>
        <v>2.5147186587462147</v>
      </c>
      <c r="BH4" s="59">
        <f t="shared" ref="BH4:BH67" si="8">BG4+(AY4+AZ4)*44/12</f>
        <v>170.32715261167004</v>
      </c>
      <c r="BI4" s="59">
        <f ca="1">AVERAGE(OFFSET($BH$3,0,0,'Données projet'!$E$11+1,1))-AVERAGE(OFFSET($H$3,0,0,'Données projet'!$E$11+1,1))</f>
        <v>458.88102603650725</v>
      </c>
      <c r="BJ4" s="59">
        <f>$BJ$3</f>
        <v>277.79020316059552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0.98423276008541516</v>
      </c>
      <c r="CA4" s="13">
        <f>EXP(-1.0587+0.8836*LN(BZ4)+0.284)</f>
        <v>0.45441566615213064</v>
      </c>
      <c r="CB4" s="20">
        <f t="shared" ref="CB4:CB67" si="10">(BZ4+CA4)*0.475*44/12</f>
        <v>2.5056460090303925</v>
      </c>
      <c r="CC4" s="59">
        <f t="shared" ref="CC4:CC67" si="11">CB4+(BT4+BU4)*44/12</f>
        <v>170.31807996195423</v>
      </c>
      <c r="CD4" s="59">
        <f ca="1">AVERAGE(OFFSET($CC$3,0,0,'Données projet'!$E$12+1,1))-AVERAGE(OFFSET($H$3,0,0,'Données projet'!$E$12+1,1))</f>
        <v>400.48995908576177</v>
      </c>
      <c r="CE4" s="59">
        <f>$CE$3</f>
        <v>384.86917865380076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9.6666666666666661</v>
      </c>
      <c r="CT4" s="12">
        <f>IF('Données projet'!$A$140&gt;35,CT3+CS4-DB3,IF(A4&lt;'Données projet'!$A$140,$CQ$205^A4,IF(A4='Données projet'!$A$140,'Données projet'!$B$140,CT3+CS4-DB3)))</f>
        <v>1.4860662319460807</v>
      </c>
      <c r="CU4" s="17">
        <f>CT4*VLOOKUP('Données projet'!$B$13,Paramètres!$A$1:$I$89,3,0)*VLOOKUP('Données projet'!$B$13,Paramètres!$A$1:$I$89,5,0)</f>
        <v>0.81139216264255998</v>
      </c>
      <c r="CV4" s="13">
        <f>EXP(-1.0587+0.8836*LN(CU4)+0.284)</f>
        <v>0.38313198283208655</v>
      </c>
      <c r="CW4" s="20">
        <f t="shared" ref="CW4:CW67" si="13">(CU4+CV4)*0.475*44/12</f>
        <v>2.0804628867016759</v>
      </c>
      <c r="CX4" s="59">
        <f t="shared" ref="CX4:CX67" si="14">CW4+(CO4+CP4)*44/12</f>
        <v>169.89289683962551</v>
      </c>
      <c r="CY4" s="59">
        <f ca="1">AVERAGE(OFFSET($CX$3,0,0,'Données projet'!$E$13+1,1))-AVERAGE(OFFSET($H$3,0,0,'Données projet'!$E$13+1,1))</f>
        <v>215.37314197175104</v>
      </c>
      <c r="CZ4" s="59">
        <f>$CZ$3</f>
        <v>361.17630426655978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173.74288373043026</v>
      </c>
      <c r="S5" s="59">
        <f ca="1">AVERAGE(OFFSET($R$3,0,0,'Données projet'!$E$9+1,1))-AVERAGE(OFFSET($H$3,0,0,'Données projet'!$E$9+1,1))</f>
        <v>567.42635821336114</v>
      </c>
      <c r="T5" s="59">
        <f t="shared" ref="T5:T68" si="34">$T$3</f>
        <v>299.0473530693472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1.4956115235716427</v>
      </c>
      <c r="AJ5" s="13">
        <f>AI5*VLOOKUP('Données projet'!$B$10,Paramètres!$A$1:$I$89,3,0)*VLOOKUP('Données projet'!$B$10,Paramètres!$A$1:$I$89,5,0)</f>
        <v>1.2832346872244698</v>
      </c>
      <c r="AK5" s="13">
        <f t="shared" ref="AK5:AK68" si="35">EXP(-1.0587+0.8836*LN(AJ5)+0.284)</f>
        <v>0.57444879990343678</v>
      </c>
      <c r="AL5" s="20">
        <f t="shared" si="4"/>
        <v>3.2354654067477706</v>
      </c>
      <c r="AM5" s="59">
        <f t="shared" si="5"/>
        <v>173.83274669424861</v>
      </c>
      <c r="AN5" s="59">
        <f ca="1">AVERAGE(OFFSET($AM$3,0,0,'Données projet'!$E$10+1,1))-AVERAGE(OFFSET($H$3,0,0,'Données projet'!$E$10+1,1))</f>
        <v>569.97793593332699</v>
      </c>
      <c r="AO5" s="59">
        <f t="shared" ref="AO5:AO68" si="36">$AO$3</f>
        <v>331.25104323342907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3.9732905982905979</v>
      </c>
      <c r="BD5" s="12">
        <f>IF('Données projet'!$A$88&gt;35,BD4+BC5-BL4,IF(A5&lt;'Données projet'!$A$88,$BA$205^A5,IF(A5='Données projet'!$A$88,'Données projet'!$B$88,BD4+BC5-BL4)))</f>
        <v>1.3753654348494182</v>
      </c>
      <c r="BE5" s="13">
        <f>BD5*VLOOKUP('Données projet'!$B$11,Paramètres!$A$1:$I$89,3,0)*VLOOKUP('Données projet'!$B$11,Paramètres!$A$1:$I$89,5,0)</f>
        <v>1.15860784231715</v>
      </c>
      <c r="BF5" s="13">
        <f t="shared" ref="BF5:BF68" si="37">EXP(-1.0587+0.8836*LN(BE5)+0.284)</f>
        <v>0.52486344214026859</v>
      </c>
      <c r="BG5" s="20">
        <f t="shared" si="7"/>
        <v>2.9320458204300039</v>
      </c>
      <c r="BH5" s="59">
        <f t="shared" si="8"/>
        <v>173.52932710793084</v>
      </c>
      <c r="BI5" s="59">
        <f ca="1">AVERAGE(OFFSET($BH$3,0,0,'Données projet'!$E$11+1,1))-AVERAGE(OFFSET($H$3,0,0,'Données projet'!$E$11+1,1))</f>
        <v>458.88102603650725</v>
      </c>
      <c r="BJ5" s="59">
        <f t="shared" ref="BJ5:BJ68" si="38">$BJ$3</f>
        <v>277.79020316059552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1.3212140289489287</v>
      </c>
      <c r="CA5" s="13">
        <f t="shared" ref="CA5:CA68" si="39">EXP(-1.0587+0.8836*LN(BZ5)+0.284)</f>
        <v>0.58944591680017422</v>
      </c>
      <c r="CB5" s="20">
        <f t="shared" si="10"/>
        <v>3.327732738846354</v>
      </c>
      <c r="CC5" s="59">
        <f t="shared" si="11"/>
        <v>173.92501402634718</v>
      </c>
      <c r="CD5" s="59">
        <f ca="1">AVERAGE(OFFSET($CC$3,0,0,'Données projet'!$E$12+1,1))-AVERAGE(OFFSET($H$3,0,0,'Données projet'!$E$12+1,1))</f>
        <v>400.48995908576177</v>
      </c>
      <c r="CE5" s="59">
        <f t="shared" ref="CE5:CE68" si="40">$CE$3</f>
        <v>384.86917865380076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9.6666666666666661</v>
      </c>
      <c r="CT5" s="12">
        <f>IF('Données projet'!$A$140&gt;35,CT4+CS5-DB4,IF(A5&lt;'Données projet'!$A$140,$CQ$205^A5,IF(A5='Données projet'!$A$140,'Données projet'!$B$140,CT4+CS5-DB4)))</f>
        <v>2.2083928457304225</v>
      </c>
      <c r="CU5" s="17">
        <f>CT5*VLOOKUP('Données projet'!$B$13,Paramètres!$A$1:$I$89,3,0)*VLOOKUP('Données projet'!$B$13,Paramètres!$A$1:$I$89,5,0)</f>
        <v>1.2057824937688106</v>
      </c>
      <c r="CV5" s="13">
        <f t="shared" ref="CV5:CV68" si="41">EXP(-1.0587+0.8836*LN(CU5)+0.284)</f>
        <v>0.54370250071771287</v>
      </c>
      <c r="CW5" s="20">
        <f t="shared" si="13"/>
        <v>3.0470196987306952</v>
      </c>
      <c r="CX5" s="59">
        <f t="shared" si="14"/>
        <v>173.64430098623154</v>
      </c>
      <c r="CY5" s="59">
        <f ca="1">AVERAGE(OFFSET($CX$3,0,0,'Données projet'!$E$13+1,1))-AVERAGE(OFFSET($H$3,0,0,'Données projet'!$E$13+1,1))</f>
        <v>215.37314197175104</v>
      </c>
      <c r="CZ5" s="59">
        <f t="shared" ref="CZ5:CZ68" si="42">$CZ$3</f>
        <v>361.17630426655978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177.02567022419751</v>
      </c>
      <c r="S6" s="59">
        <f ca="1">AVERAGE(OFFSET($R$3,0,0,'Données projet'!$E$9+1,1))-AVERAGE(OFFSET($H$3,0,0,'Données projet'!$E$9+1,1))</f>
        <v>567.42635821336114</v>
      </c>
      <c r="T6" s="59">
        <f t="shared" si="34"/>
        <v>299.0473530693472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1.8290610607238502</v>
      </c>
      <c r="AJ6" s="13">
        <f>AI6*VLOOKUP('Données projet'!$B$10,Paramètres!$A$1:$I$89,3,0)*VLOOKUP('Données projet'!$B$10,Paramètres!$A$1:$I$89,5,0)</f>
        <v>1.5693343901010637</v>
      </c>
      <c r="AK6" s="13">
        <f t="shared" si="35"/>
        <v>0.68625618797666377</v>
      </c>
      <c r="AL6" s="20">
        <f t="shared" si="4"/>
        <v>3.9284869234853752</v>
      </c>
      <c r="AM6" s="59">
        <f t="shared" si="5"/>
        <v>177.28350749337025</v>
      </c>
      <c r="AN6" s="59">
        <f ca="1">AVERAGE(OFFSET($AM$3,0,0,'Données projet'!$E$10+1,1))-AVERAGE(OFFSET($H$3,0,0,'Données projet'!$E$10+1,1))</f>
        <v>569.97793593332699</v>
      </c>
      <c r="AO6" s="59">
        <f t="shared" si="36"/>
        <v>331.25104323342907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3.9732905982905979</v>
      </c>
      <c r="BD6" s="12">
        <f>IF('Données projet'!$A$88&gt;35,BD5+BC6-BL5,IF(A6&lt;'Données projet'!$A$88,$BA$205^A6,IF(A6='Données projet'!$A$88,'Données projet'!$B$88,BD5+BC6-BL5)))</f>
        <v>1.6129732256608262</v>
      </c>
      <c r="BE6" s="13">
        <f>BD6*VLOOKUP('Données projet'!$B$11,Paramètres!$A$1:$I$89,3,0)*VLOOKUP('Données projet'!$B$11,Paramètres!$A$1:$I$89,5,0)</f>
        <v>1.3587686452966801</v>
      </c>
      <c r="BF6" s="13">
        <f t="shared" si="37"/>
        <v>0.60422604758878284</v>
      </c>
      <c r="BG6" s="20">
        <f t="shared" si="7"/>
        <v>3.4188824234421809</v>
      </c>
      <c r="BH6" s="59">
        <f t="shared" si="8"/>
        <v>176.77390299332706</v>
      </c>
      <c r="BI6" s="59">
        <f ca="1">AVERAGE(OFFSET($BH$3,0,0,'Données projet'!$E$11+1,1))-AVERAGE(OFFSET($H$3,0,0,'Données projet'!$E$11+1,1))</f>
        <v>458.88102603650725</v>
      </c>
      <c r="BJ6" s="59">
        <f t="shared" si="38"/>
        <v>277.79020316059552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1.7735708270266992</v>
      </c>
      <c r="CA6" s="13">
        <f t="shared" si="39"/>
        <v>0.76460059525341872</v>
      </c>
      <c r="CB6" s="20">
        <f t="shared" si="10"/>
        <v>4.4206485604712045</v>
      </c>
      <c r="CC6" s="59">
        <f t="shared" si="11"/>
        <v>177.77566913035608</v>
      </c>
      <c r="CD6" s="59">
        <f ca="1">AVERAGE(OFFSET($CC$3,0,0,'Données projet'!$E$12+1,1))-AVERAGE(OFFSET($H$3,0,0,'Données projet'!$E$12+1,1))</f>
        <v>400.48995908576177</v>
      </c>
      <c r="CE6" s="59">
        <f t="shared" si="40"/>
        <v>384.86917865380076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9.6666666666666661</v>
      </c>
      <c r="CT6" s="12">
        <f>IF('Données projet'!$A$140&gt;35,CT5+CS6-DB5,IF(A6&lt;'Données projet'!$A$140,$CQ$205^A6,IF(A6='Données projet'!$A$140,'Données projet'!$B$140,CT5+CS6-DB5)))</f>
        <v>3.2818180349112911</v>
      </c>
      <c r="CU6" s="17">
        <f>CT6*VLOOKUP('Données projet'!$B$13,Paramètres!$A$1:$I$89,3,0)*VLOOKUP('Données projet'!$B$13,Paramètres!$A$1:$I$89,5,0)</f>
        <v>1.7918726470615651</v>
      </c>
      <c r="CV6" s="13">
        <f t="shared" si="41"/>
        <v>0.77156808236563035</v>
      </c>
      <c r="CW6" s="20">
        <f t="shared" si="13"/>
        <v>4.4646592704190313</v>
      </c>
      <c r="CX6" s="59">
        <f t="shared" si="14"/>
        <v>177.81967984030391</v>
      </c>
      <c r="CY6" s="59">
        <f ca="1">AVERAGE(OFFSET($CX$3,0,0,'Données projet'!$E$13+1,1))-AVERAGE(OFFSET($H$3,0,0,'Données projet'!$E$13+1,1))</f>
        <v>215.37314197175104</v>
      </c>
      <c r="CZ6" s="59">
        <f t="shared" si="42"/>
        <v>361.17630426655978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180.36977292590507</v>
      </c>
      <c r="S7" s="59">
        <f ca="1">AVERAGE(OFFSET($R$3,0,0,'Données projet'!$E$9+1,1))-AVERAGE(OFFSET($H$3,0,0,'Données projet'!$E$9+1,1))</f>
        <v>567.42635821336114</v>
      </c>
      <c r="T7" s="59">
        <f t="shared" si="34"/>
        <v>299.0473530693472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2.2368538294402907</v>
      </c>
      <c r="AJ7" s="13">
        <f>AI7*VLOOKUP('Données projet'!$B$10,Paramètres!$A$1:$I$89,3,0)*VLOOKUP('Données projet'!$B$10,Paramètres!$A$1:$I$89,5,0)</f>
        <v>1.9192205856597695</v>
      </c>
      <c r="AK7" s="13">
        <f t="shared" si="35"/>
        <v>0.8198251186449117</v>
      </c>
      <c r="AL7" s="20">
        <f t="shared" si="4"/>
        <v>4.770504601663986</v>
      </c>
      <c r="AM7" s="59">
        <f t="shared" si="5"/>
        <v>180.85662666584093</v>
      </c>
      <c r="AN7" s="59">
        <f ca="1">AVERAGE(OFFSET($AM$3,0,0,'Données projet'!$E$10+1,1))-AVERAGE(OFFSET($H$3,0,0,'Données projet'!$E$10+1,1))</f>
        <v>569.97793593332699</v>
      </c>
      <c r="AO7" s="59">
        <f t="shared" si="36"/>
        <v>331.25104323342907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3.9732905982905979</v>
      </c>
      <c r="BD7" s="12">
        <f>IF('Données projet'!$A$88&gt;35,BD6+BC7-BL6,IF(A7&lt;'Données projet'!$A$88,$BA$205^A7,IF(A7='Données projet'!$A$88,'Données projet'!$B$88,BD6+BC7-BL6)))</f>
        <v>1.8916300793785292</v>
      </c>
      <c r="BE7" s="13">
        <f>BD7*VLOOKUP('Données projet'!$B$11,Paramètres!$A$1:$I$89,3,0)*VLOOKUP('Données projet'!$B$11,Paramètres!$A$1:$I$89,5,0)</f>
        <v>1.5935091788684732</v>
      </c>
      <c r="BF7" s="13">
        <f t="shared" si="37"/>
        <v>0.69558877085440585</v>
      </c>
      <c r="BG7" s="20">
        <f t="shared" si="7"/>
        <v>3.9868455957673476</v>
      </c>
      <c r="BH7" s="59">
        <f t="shared" si="8"/>
        <v>180.07296765994428</v>
      </c>
      <c r="BI7" s="59">
        <f ca="1">AVERAGE(OFFSET($BH$3,0,0,'Données projet'!$E$11+1,1))-AVERAGE(OFFSET($H$3,0,0,'Données projet'!$E$11+1,1))</f>
        <v>458.88102603650725</v>
      </c>
      <c r="BJ7" s="59">
        <f t="shared" si="38"/>
        <v>277.79020316059552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2.3808053877406725</v>
      </c>
      <c r="CA7" s="13">
        <f t="shared" si="39"/>
        <v>0.99180273134383279</v>
      </c>
      <c r="CB7" s="20">
        <f t="shared" si="10"/>
        <v>5.8739591407388465</v>
      </c>
      <c r="CC7" s="59">
        <f t="shared" si="11"/>
        <v>181.96008120491578</v>
      </c>
      <c r="CD7" s="59">
        <f ca="1">AVERAGE(OFFSET($CC$3,0,0,'Données projet'!$E$12+1,1))-AVERAGE(OFFSET($H$3,0,0,'Données projet'!$E$12+1,1))</f>
        <v>400.48995908576177</v>
      </c>
      <c r="CE7" s="59">
        <f t="shared" si="40"/>
        <v>384.86917865380076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9.6666666666666661</v>
      </c>
      <c r="CT7" s="12">
        <f>IF('Données projet'!$A$140&gt;35,CT6+CS7-DB6,IF(A7&lt;'Données projet'!$A$140,$CQ$205^A7,IF(A7='Données projet'!$A$140,'Données projet'!$B$140,CT6+CS7-DB6)))</f>
        <v>4.8769989610733138</v>
      </c>
      <c r="CU7" s="17">
        <f>CT7*VLOOKUP('Données projet'!$B$13,Paramètres!$A$1:$I$89,3,0)*VLOOKUP('Données projet'!$B$13,Paramètres!$A$1:$I$89,5,0)</f>
        <v>2.6628414327460295</v>
      </c>
      <c r="CV7" s="13">
        <f t="shared" si="41"/>
        <v>1.0949320721157787</v>
      </c>
      <c r="CW7" s="20">
        <f t="shared" si="13"/>
        <v>6.5447888543009825</v>
      </c>
      <c r="CX7" s="59">
        <f t="shared" si="14"/>
        <v>182.63091091847792</v>
      </c>
      <c r="CY7" s="59">
        <f ca="1">AVERAGE(OFFSET($CX$3,0,0,'Données projet'!$E$13+1,1))-AVERAGE(OFFSET($H$3,0,0,'Données projet'!$E$13+1,1))</f>
        <v>215.37314197175104</v>
      </c>
      <c r="CZ7" s="59">
        <f t="shared" si="42"/>
        <v>361.17630426655978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183.7904376128148</v>
      </c>
      <c r="S8" s="59">
        <f ca="1">AVERAGE(OFFSET($R$3,0,0,'Données projet'!$E$9+1,1))-AVERAGE(OFFSET($H$3,0,0,'Données projet'!$E$9+1,1))</f>
        <v>567.42635821336114</v>
      </c>
      <c r="T8" s="59">
        <f t="shared" si="34"/>
        <v>299.0473530693472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2.735564799734763</v>
      </c>
      <c r="AJ8" s="13">
        <f>AI8*VLOOKUP('Données projet'!$B$10,Paramètres!$A$1:$I$89,3,0)*VLOOKUP('Données projet'!$B$10,Paramètres!$A$1:$I$89,5,0)</f>
        <v>2.3471145981724271</v>
      </c>
      <c r="AK8" s="13">
        <f t="shared" si="35"/>
        <v>0.97939113254888255</v>
      </c>
      <c r="AL8" s="20">
        <f t="shared" si="4"/>
        <v>5.7936641476729482</v>
      </c>
      <c r="AM8" s="59">
        <f t="shared" si="5"/>
        <v>184.58471202412031</v>
      </c>
      <c r="AN8" s="59">
        <f ca="1">AVERAGE(OFFSET($AM$3,0,0,'Données projet'!$E$10+1,1))-AVERAGE(OFFSET($H$3,0,0,'Données projet'!$E$10+1,1))</f>
        <v>569.97793593332699</v>
      </c>
      <c r="AO8" s="59">
        <f t="shared" si="36"/>
        <v>331.25104323342907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3.9732905982905979</v>
      </c>
      <c r="BD8" s="12">
        <f>IF('Données projet'!$A$88&gt;35,BD7+BC8-BL7,IF(A8&lt;'Données projet'!$A$88,$BA$205^A8,IF(A8='Données projet'!$A$88,'Données projet'!$B$88,BD7+BC8-BL7)))</f>
        <v>2.2184276219114709</v>
      </c>
      <c r="BE8" s="13">
        <f>BD8*VLOOKUP('Données projet'!$B$11,Paramètres!$A$1:$I$89,3,0)*VLOOKUP('Données projet'!$B$11,Paramètres!$A$1:$I$89,5,0)</f>
        <v>1.8688034286982234</v>
      </c>
      <c r="BF8" s="13">
        <f t="shared" si="37"/>
        <v>0.80076610412537519</v>
      </c>
      <c r="BG8" s="20">
        <f t="shared" si="7"/>
        <v>4.6495002696677679</v>
      </c>
      <c r="BH8" s="59">
        <f t="shared" si="8"/>
        <v>183.44054814611511</v>
      </c>
      <c r="BI8" s="59">
        <f ca="1">AVERAGE(OFFSET($BH$3,0,0,'Données projet'!$E$11+1,1))-AVERAGE(OFFSET($H$3,0,0,'Données projet'!$E$11+1,1))</f>
        <v>458.88102603650725</v>
      </c>
      <c r="BJ8" s="59">
        <f t="shared" si="38"/>
        <v>277.79020316059552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3.1959447054040226</v>
      </c>
      <c r="CA8" s="13">
        <f t="shared" si="39"/>
        <v>1.2865182998910156</v>
      </c>
      <c r="CB8" s="20">
        <f t="shared" si="10"/>
        <v>7.8069564008888577</v>
      </c>
      <c r="CC8" s="59">
        <f t="shared" si="11"/>
        <v>186.5980042773362</v>
      </c>
      <c r="CD8" s="59">
        <f ca="1">AVERAGE(OFFSET($CC$3,0,0,'Données projet'!$E$12+1,1))-AVERAGE(OFFSET($H$3,0,0,'Données projet'!$E$12+1,1))</f>
        <v>400.48995908576177</v>
      </c>
      <c r="CE8" s="59">
        <f t="shared" si="40"/>
        <v>384.86917865380076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9.6666666666666661</v>
      </c>
      <c r="CT8" s="12">
        <f>IF('Données projet'!$A$140&gt;35,CT7+CS8-DB7,IF(A8&lt;'Données projet'!$A$140,$CQ$205^A8,IF(A8='Données projet'!$A$140,'Données projet'!$B$140,CT7+CS8-DB7)))</f>
        <v>7.2475434692871694</v>
      </c>
      <c r="CU8" s="17">
        <f>CT8*VLOOKUP('Données projet'!$B$13,Paramètres!$A$1:$I$89,3,0)*VLOOKUP('Données projet'!$B$13,Paramètres!$A$1:$I$89,5,0)</f>
        <v>3.9571587342307946</v>
      </c>
      <c r="CV8" s="13">
        <f t="shared" si="41"/>
        <v>1.5538178288453746</v>
      </c>
      <c r="CW8" s="20">
        <f t="shared" si="13"/>
        <v>9.5982841806909942</v>
      </c>
      <c r="CX8" s="59">
        <f t="shared" si="14"/>
        <v>188.38933205713835</v>
      </c>
      <c r="CY8" s="59">
        <f ca="1">AVERAGE(OFFSET($CX$3,0,0,'Données projet'!$E$13+1,1))-AVERAGE(OFFSET($H$3,0,0,'Données projet'!$E$13+1,1))</f>
        <v>215.37314197175104</v>
      </c>
      <c r="CZ8" s="59">
        <f t="shared" si="42"/>
        <v>361.17630426655978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187.30539481195709</v>
      </c>
      <c r="S9" s="59">
        <f ca="1">AVERAGE(OFFSET($R$3,0,0,'Données projet'!$E$9+1,1))-AVERAGE(OFFSET($H$3,0,0,'Données projet'!$E$9+1,1))</f>
        <v>567.42635821336114</v>
      </c>
      <c r="T9" s="59">
        <f t="shared" si="34"/>
        <v>299.0473530693472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3.3454643638562565</v>
      </c>
      <c r="AJ9" s="13">
        <f>AI9*VLOOKUP('Données projet'!$B$10,Paramètres!$A$1:$I$89,3,0)*VLOOKUP('Données projet'!$B$10,Paramètres!$A$1:$I$89,5,0)</f>
        <v>2.8704084241886685</v>
      </c>
      <c r="AK9" s="13">
        <f t="shared" si="35"/>
        <v>1.170014151433729</v>
      </c>
      <c r="AL9" s="20">
        <f t="shared" si="4"/>
        <v>7.0370693192090075</v>
      </c>
      <c r="AM9" s="59">
        <f t="shared" si="5"/>
        <v>188.50732141546797</v>
      </c>
      <c r="AN9" s="59">
        <f ca="1">AVERAGE(OFFSET($AM$3,0,0,'Données projet'!$E$10+1,1))-AVERAGE(OFFSET($H$3,0,0,'Données projet'!$E$10+1,1))</f>
        <v>569.97793593332699</v>
      </c>
      <c r="AO9" s="59">
        <f t="shared" si="36"/>
        <v>331.25104323342907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3.9732905982905979</v>
      </c>
      <c r="BD9" s="12">
        <f>IF('Données projet'!$A$88&gt;35,BD8+BC9-BL8,IF(A9&lt;'Données projet'!$A$88,$BA$205^A9,IF(A9='Données projet'!$A$88,'Données projet'!$B$88,BD8+BC9-BL8)))</f>
        <v>2.6016826266986901</v>
      </c>
      <c r="BE9" s="13">
        <f>BD9*VLOOKUP('Données projet'!$B$11,Paramètres!$A$1:$I$89,3,0)*VLOOKUP('Données projet'!$B$11,Paramètres!$A$1:$I$89,5,0)</f>
        <v>2.1916574447309767</v>
      </c>
      <c r="BF9" s="13">
        <f t="shared" si="37"/>
        <v>0.92184690205464315</v>
      </c>
      <c r="BG9" s="20">
        <f t="shared" si="7"/>
        <v>5.422686737318287</v>
      </c>
      <c r="BH9" s="59">
        <f t="shared" si="8"/>
        <v>186.89293883357726</v>
      </c>
      <c r="BI9" s="59">
        <f ca="1">AVERAGE(OFFSET($BH$3,0,0,'Données projet'!$E$11+1,1))-AVERAGE(OFFSET($H$3,0,0,'Données projet'!$E$11+1,1))</f>
        <v>458.88102603650725</v>
      </c>
      <c r="BJ9" s="59">
        <f t="shared" si="38"/>
        <v>277.79020316059552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4.290171138134439</v>
      </c>
      <c r="CA9" s="13">
        <f t="shared" si="39"/>
        <v>1.6688090117596963</v>
      </c>
      <c r="CB9" s="20">
        <f t="shared" si="10"/>
        <v>10.378557094398952</v>
      </c>
      <c r="CC9" s="59">
        <f t="shared" si="11"/>
        <v>191.84880919065793</v>
      </c>
      <c r="CD9" s="59">
        <f ca="1">AVERAGE(OFFSET($CC$3,0,0,'Données projet'!$E$12+1,1))-AVERAGE(OFFSET($H$3,0,0,'Données projet'!$E$12+1,1))</f>
        <v>400.48995908576177</v>
      </c>
      <c r="CE9" s="59">
        <f t="shared" si="40"/>
        <v>384.86917865380076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9.6666666666666661</v>
      </c>
      <c r="CT9" s="12">
        <f>IF('Données projet'!$A$140&gt;35,CT8+CS9-DB8,IF(A9&lt;'Données projet'!$A$140,$CQ$205^A9,IF(A9='Données projet'!$A$140,'Données projet'!$B$140,CT8+CS9-DB8)))</f>
        <v>10.770329614269009</v>
      </c>
      <c r="CU9" s="17">
        <f>CT9*VLOOKUP('Données projet'!$B$13,Paramètres!$A$1:$I$89,3,0)*VLOOKUP('Données projet'!$B$13,Paramètres!$A$1:$I$89,5,0)</f>
        <v>5.8805999693908788</v>
      </c>
      <c r="CV9" s="13">
        <f t="shared" si="41"/>
        <v>2.2050224910961043</v>
      </c>
      <c r="CW9" s="20">
        <f t="shared" si="13"/>
        <v>14.082459118681493</v>
      </c>
      <c r="CX9" s="59">
        <f t="shared" si="14"/>
        <v>195.55271121494047</v>
      </c>
      <c r="CY9" s="59">
        <f ca="1">AVERAGE(OFFSET($CX$3,0,0,'Données projet'!$E$13+1,1))-AVERAGE(OFFSET($H$3,0,0,'Données projet'!$E$13+1,1))</f>
        <v>215.37314197175104</v>
      </c>
      <c r="CZ9" s="59">
        <f t="shared" si="42"/>
        <v>361.17630426655978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190.93528149468236</v>
      </c>
      <c r="S10" s="59">
        <f ca="1">AVERAGE(OFFSET($R$3,0,0,'Données projet'!$E$9+1,1))-AVERAGE(OFFSET($H$3,0,0,'Données projet'!$E$9+1,1))</f>
        <v>567.42635821336114</v>
      </c>
      <c r="T10" s="59">
        <f t="shared" si="34"/>
        <v>299.0473530693472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4.091342237960264</v>
      </c>
      <c r="AJ10" s="13">
        <f>AI10*VLOOKUP('Données projet'!$B$10,Paramètres!$A$1:$I$89,3,0)*VLOOKUP('Données projet'!$B$10,Paramètres!$A$1:$I$89,5,0)</f>
        <v>3.510371640169907</v>
      </c>
      <c r="AK10" s="13">
        <f t="shared" si="35"/>
        <v>1.3977389309136552</v>
      </c>
      <c r="AL10" s="20">
        <f t="shared" si="4"/>
        <v>8.5482925779705372</v>
      </c>
      <c r="AM10" s="59">
        <f t="shared" si="5"/>
        <v>192.67247351370676</v>
      </c>
      <c r="AN10" s="59">
        <f ca="1">AVERAGE(OFFSET($AM$3,0,0,'Données projet'!$E$10+1,1))-AVERAGE(OFFSET($H$3,0,0,'Données projet'!$E$10+1,1))</f>
        <v>569.97793593332699</v>
      </c>
      <c r="AO10" s="59">
        <f t="shared" si="36"/>
        <v>331.25104323342907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3.9732905982905979</v>
      </c>
      <c r="BD10" s="12">
        <f>IF('Données projet'!$A$88&gt;35,BD9+BC10-BL9,IF(A10&lt;'Données projet'!$A$88,$BA$205^A10,IF(A10='Données projet'!$A$88,'Données projet'!$B$88,BD9+BC10-BL9)))</f>
        <v>3.0511486708922311</v>
      </c>
      <c r="BE10" s="13">
        <f>BD10*VLOOKUP('Données projet'!$B$11,Paramètres!$A$1:$I$89,3,0)*VLOOKUP('Données projet'!$B$11,Paramètres!$A$1:$I$89,5,0)</f>
        <v>2.5702876403596155</v>
      </c>
      <c r="BF10" s="13">
        <f t="shared" si="37"/>
        <v>1.0612358670649857</v>
      </c>
      <c r="BG10" s="20">
        <f t="shared" si="7"/>
        <v>6.324903442097848</v>
      </c>
      <c r="BH10" s="59">
        <f t="shared" si="8"/>
        <v>190.44908437783408</v>
      </c>
      <c r="BI10" s="59">
        <f ca="1">AVERAGE(OFFSET($BH$3,0,0,'Données projet'!$E$11+1,1))-AVERAGE(OFFSET($H$3,0,0,'Données projet'!$E$11+1,1))</f>
        <v>458.88102603650725</v>
      </c>
      <c r="BJ10" s="59">
        <f t="shared" si="38"/>
        <v>277.79020316059552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5.7590384349766044</v>
      </c>
      <c r="CA10" s="13">
        <f t="shared" si="39"/>
        <v>2.1646979432521807</v>
      </c>
      <c r="CB10" s="20">
        <f t="shared" si="10"/>
        <v>13.800507525415135</v>
      </c>
      <c r="CC10" s="59">
        <f t="shared" si="11"/>
        <v>197.92468846115136</v>
      </c>
      <c r="CD10" s="59">
        <f ca="1">AVERAGE(OFFSET($CC$3,0,0,'Données projet'!$E$12+1,1))-AVERAGE(OFFSET($H$3,0,0,'Données projet'!$E$12+1,1))</f>
        <v>400.48995908576177</v>
      </c>
      <c r="CE10" s="59">
        <f t="shared" si="40"/>
        <v>384.86917865380076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9.6666666666666661</v>
      </c>
      <c r="CT10" s="12">
        <f>IF('Données projet'!$A$140&gt;35,CT9+CS10-DB9,IF(A10&lt;'Données projet'!$A$140,$CQ$205^A10,IF(A10='Données projet'!$A$140,'Données projet'!$B$140,CT9+CS10-DB9)))</f>
        <v>16.005423146694032</v>
      </c>
      <c r="CU10" s="17">
        <f>CT10*VLOOKUP('Données projet'!$B$13,Paramètres!$A$1:$I$89,3,0)*VLOOKUP('Données projet'!$B$13,Paramètres!$A$1:$I$89,5,0)</f>
        <v>8.7389610380949421</v>
      </c>
      <c r="CV10" s="13">
        <f t="shared" si="41"/>
        <v>3.1291468639233355</v>
      </c>
      <c r="CW10" s="20">
        <f t="shared" si="13"/>
        <v>20.6702879293485</v>
      </c>
      <c r="CX10" s="59">
        <f t="shared" si="14"/>
        <v>204.79446886508472</v>
      </c>
      <c r="CY10" s="59">
        <f ca="1">AVERAGE(OFFSET($CX$3,0,0,'Données projet'!$E$13+1,1))-AVERAGE(OFFSET($H$3,0,0,'Données projet'!$E$13+1,1))</f>
        <v>215.37314197175104</v>
      </c>
      <c r="CZ10" s="59">
        <f t="shared" si="42"/>
        <v>361.17630426655978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194.70413425189906</v>
      </c>
      <c r="S11" s="59">
        <f ca="1">AVERAGE(OFFSET($R$3,0,0,'Données projet'!$E$9+1,1))-AVERAGE(OFFSET($H$3,0,0,'Données projet'!$E$9+1,1))</f>
        <v>567.42635821336114</v>
      </c>
      <c r="T11" s="59">
        <f t="shared" si="34"/>
        <v>299.0473530693472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5.0035150542816931</v>
      </c>
      <c r="AJ11" s="13">
        <f>AI11*VLOOKUP('Données projet'!$B$10,Paramètres!$A$1:$I$89,3,0)*VLOOKUP('Données projet'!$B$10,Paramètres!$A$1:$I$89,5,0)</f>
        <v>4.293015916573693</v>
      </c>
      <c r="AK11" s="13">
        <f t="shared" si="35"/>
        <v>1.669786742833518</v>
      </c>
      <c r="AL11" s="20">
        <f t="shared" si="4"/>
        <v>10.385214631800892</v>
      </c>
      <c r="AM11" s="59">
        <f t="shared" si="5"/>
        <v>197.13848749802145</v>
      </c>
      <c r="AN11" s="59">
        <f ca="1">AVERAGE(OFFSET($AM$3,0,0,'Données projet'!$E$10+1,1))-AVERAGE(OFFSET($H$3,0,0,'Données projet'!$E$10+1,1))</f>
        <v>569.97793593332699</v>
      </c>
      <c r="AO11" s="59">
        <f t="shared" si="36"/>
        <v>331.25104323342907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3.9732905982905979</v>
      </c>
      <c r="BD11" s="12">
        <f>IF('Données projet'!$A$88&gt;35,BD10+BC11-BL10,IF(A11&lt;'Données projet'!$A$88,$BA$205^A11,IF(A11='Données projet'!$A$88,'Données projet'!$B$88,BD10+BC11-BL10)))</f>
        <v>3.5782643572096209</v>
      </c>
      <c r="BE11" s="13">
        <f>BD11*VLOOKUP('Données projet'!$B$11,Paramètres!$A$1:$I$89,3,0)*VLOOKUP('Données projet'!$B$11,Paramètres!$A$1:$I$89,5,0)</f>
        <v>3.0143298945133852</v>
      </c>
      <c r="BF11" s="13">
        <f t="shared" si="37"/>
        <v>1.2217013074893581</v>
      </c>
      <c r="BG11" s="20">
        <f t="shared" si="7"/>
        <v>7.3777543434881103</v>
      </c>
      <c r="BH11" s="59">
        <f t="shared" si="8"/>
        <v>194.13102720970866</v>
      </c>
      <c r="BI11" s="59">
        <f ca="1">AVERAGE(OFFSET($BH$3,0,0,'Données projet'!$E$11+1,1))-AVERAGE(OFFSET($H$3,0,0,'Données projet'!$E$11+1,1))</f>
        <v>458.88102603650725</v>
      </c>
      <c r="BJ11" s="59">
        <f t="shared" si="38"/>
        <v>277.79020316059552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7.730816004221241</v>
      </c>
      <c r="CA11" s="13">
        <f t="shared" si="39"/>
        <v>2.8079409641844508</v>
      </c>
      <c r="CB11" s="20">
        <f t="shared" si="10"/>
        <v>18.355001719973249</v>
      </c>
      <c r="CC11" s="59">
        <f t="shared" si="11"/>
        <v>205.1082745861938</v>
      </c>
      <c r="CD11" s="59">
        <f ca="1">AVERAGE(OFFSET($CC$3,0,0,'Données projet'!$E$12+1,1))-AVERAGE(OFFSET($H$3,0,0,'Données projet'!$E$12+1,1))</f>
        <v>400.48995908576177</v>
      </c>
      <c r="CE11" s="59">
        <f t="shared" si="40"/>
        <v>384.86917865380076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9.6666666666666661</v>
      </c>
      <c r="CT11" s="12">
        <f>IF('Données projet'!$A$140&gt;35,CT10+CS11-DB10,IF(A11&lt;'Données projet'!$A$140,$CQ$205^A11,IF(A11='Données projet'!$A$140,'Données projet'!$B$140,CT10+CS11-DB10)))</f>
        <v>23.785118866310182</v>
      </c>
      <c r="CU11" s="17">
        <f>CT11*VLOOKUP('Données projet'!$B$13,Paramètres!$A$1:$I$89,3,0)*VLOOKUP('Données projet'!$B$13,Paramètres!$A$1:$I$89,5,0)</f>
        <v>12.98667490100536</v>
      </c>
      <c r="CV11" s="13">
        <f t="shared" si="41"/>
        <v>4.4405715295601897</v>
      </c>
      <c r="CW11" s="20">
        <f t="shared" si="13"/>
        <v>30.352454199901668</v>
      </c>
      <c r="CX11" s="59">
        <f t="shared" si="14"/>
        <v>217.10572706612223</v>
      </c>
      <c r="CY11" s="59">
        <f ca="1">AVERAGE(OFFSET($CX$3,0,0,'Données projet'!$E$13+1,1))-AVERAGE(OFFSET($H$3,0,0,'Données projet'!$E$13+1,1))</f>
        <v>215.37314197175104</v>
      </c>
      <c r="CZ11" s="59">
        <f t="shared" si="42"/>
        <v>361.17630426655978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198.6399661015663</v>
      </c>
      <c r="S12" s="59">
        <f ca="1">AVERAGE(OFFSET($R$3,0,0,'Données projet'!$E$9+1,1))-AVERAGE(OFFSET($H$3,0,0,'Données projet'!$E$9+1,1))</f>
        <v>567.42635821336114</v>
      </c>
      <c r="T12" s="59">
        <f t="shared" si="34"/>
        <v>299.0473530693472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6.1190585979687659</v>
      </c>
      <c r="AJ12" s="13">
        <f>AI12*VLOOKUP('Données projet'!$B$10,Paramètres!$A$1:$I$89,3,0)*VLOOKUP('Données projet'!$B$10,Paramètres!$A$1:$I$89,5,0)</f>
        <v>5.250152277057202</v>
      </c>
      <c r="AK12" s="13">
        <f t="shared" si="35"/>
        <v>1.9947843655753528</v>
      </c>
      <c r="AL12" s="20">
        <f t="shared" si="4"/>
        <v>12.618264652585031</v>
      </c>
      <c r="AM12" s="59">
        <f t="shared" si="5"/>
        <v>201.9762234051411</v>
      </c>
      <c r="AN12" s="59">
        <f ca="1">AVERAGE(OFFSET($AM$3,0,0,'Données projet'!$E$10+1,1))-AVERAGE(OFFSET($H$3,0,0,'Données projet'!$E$10+1,1))</f>
        <v>569.97793593332699</v>
      </c>
      <c r="AO12" s="59">
        <f t="shared" si="36"/>
        <v>331.25104323342907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3.9732905982905979</v>
      </c>
      <c r="BD12" s="12">
        <f>IF('Données projet'!$A$88&gt;35,BD11+BC12-BL11,IF(A12&lt;'Données projet'!$A$88,$BA$205^A12,IF(A12='Données projet'!$A$88,'Données projet'!$B$88,BD11+BC12-BL11)))</f>
        <v>4.1964444185319181</v>
      </c>
      <c r="BE12" s="13">
        <f>BD12*VLOOKUP('Données projet'!$B$11,Paramètres!$A$1:$I$89,3,0)*VLOOKUP('Données projet'!$B$11,Paramètres!$A$1:$I$89,5,0)</f>
        <v>3.5350847781712882</v>
      </c>
      <c r="BF12" s="13">
        <f t="shared" si="37"/>
        <v>1.4064301170380715</v>
      </c>
      <c r="BG12" s="20">
        <f t="shared" si="7"/>
        <v>8.6064717758229676</v>
      </c>
      <c r="BH12" s="59">
        <f t="shared" si="8"/>
        <v>197.96443052837904</v>
      </c>
      <c r="BI12" s="59">
        <f ca="1">AVERAGE(OFFSET($BH$3,0,0,'Données projet'!$E$11+1,1))-AVERAGE(OFFSET($H$3,0,0,'Données projet'!$E$11+1,1))</f>
        <v>458.88102603650725</v>
      </c>
      <c r="BJ12" s="59">
        <f t="shared" si="38"/>
        <v>277.79020316059552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10.377690089398765</v>
      </c>
      <c r="CA12" s="13">
        <f t="shared" si="39"/>
        <v>3.6423245482922235</v>
      </c>
      <c r="CB12" s="20">
        <f t="shared" si="10"/>
        <v>24.418192160645134</v>
      </c>
      <c r="CC12" s="59">
        <f t="shared" si="11"/>
        <v>213.77615091320121</v>
      </c>
      <c r="CD12" s="59">
        <f ca="1">AVERAGE(OFFSET($CC$3,0,0,'Données projet'!$E$12+1,1))-AVERAGE(OFFSET($H$3,0,0,'Données projet'!$E$12+1,1))</f>
        <v>400.48995908576177</v>
      </c>
      <c r="CE12" s="59">
        <f t="shared" si="40"/>
        <v>384.86917865380076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9.6666666666666661</v>
      </c>
      <c r="CT12" s="12">
        <f>IF('Données projet'!$A$140&gt;35,CT11+CS12-DB11,IF(A12&lt;'Données projet'!$A$140,$CQ$205^A12,IF(A12='Données projet'!$A$140,'Données projet'!$B$140,CT11+CS12-DB11)))</f>
        <v>35.346261970047209</v>
      </c>
      <c r="CU12" s="17">
        <f>CT12*VLOOKUP('Données projet'!$B$13,Paramètres!$A$1:$I$89,3,0)*VLOOKUP('Données projet'!$B$13,Paramètres!$A$1:$I$89,5,0)</f>
        <v>19.299059035645776</v>
      </c>
      <c r="CV12" s="13">
        <f t="shared" si="41"/>
        <v>6.301613943558138</v>
      </c>
      <c r="CW12" s="20">
        <f t="shared" si="13"/>
        <v>44.587838772113486</v>
      </c>
      <c r="CX12" s="59">
        <f t="shared" si="14"/>
        <v>233.94579752466956</v>
      </c>
      <c r="CY12" s="59">
        <f ca="1">AVERAGE(OFFSET($CX$3,0,0,'Données projet'!$E$13+1,1))-AVERAGE(OFFSET($H$3,0,0,'Données projet'!$E$13+1,1))</f>
        <v>215.37314197175104</v>
      </c>
      <c r="CZ12" s="59">
        <f t="shared" si="42"/>
        <v>361.17630426655978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202.77544115035215</v>
      </c>
      <c r="S13" s="59">
        <f ca="1">AVERAGE(OFFSET($R$3,0,0,'Données projet'!$E$9+1,1))-AVERAGE(OFFSET($H$3,0,0,'Données projet'!$E$9+1,1))</f>
        <v>567.42635821336114</v>
      </c>
      <c r="T13" s="59">
        <f t="shared" si="34"/>
        <v>299.0473530693472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7.4833147735478933</v>
      </c>
      <c r="AJ13" s="13">
        <f>AI13*VLOOKUP('Données projet'!$B$10,Paramètres!$A$1:$I$89,3,0)*VLOOKUP('Données projet'!$B$10,Paramètres!$A$1:$I$89,5,0)</f>
        <v>6.4206840757040933</v>
      </c>
      <c r="AK13" s="13">
        <f t="shared" si="35"/>
        <v>2.3830376437122043</v>
      </c>
      <c r="AL13" s="20">
        <f t="shared" si="4"/>
        <v>15.33314866131672</v>
      </c>
      <c r="AM13" s="59">
        <f t="shared" si="5"/>
        <v>207.27181064636162</v>
      </c>
      <c r="AN13" s="59">
        <f ca="1">AVERAGE(OFFSET($AM$3,0,0,'Données projet'!$E$10+1,1))-AVERAGE(OFFSET($H$3,0,0,'Données projet'!$E$10+1,1))</f>
        <v>569.97793593332699</v>
      </c>
      <c r="AO13" s="59">
        <f t="shared" si="36"/>
        <v>331.25104323342907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3.9732905982905979</v>
      </c>
      <c r="BD13" s="12">
        <f>IF('Données projet'!$A$88&gt;35,BD12+BC13-BL12,IF(A13&lt;'Données projet'!$A$88,$BA$205^A13,IF(A13='Données projet'!$A$88,'Données projet'!$B$88,BD12+BC13-BL12)))</f>
        <v>4.9214211136597843</v>
      </c>
      <c r="BE13" s="13">
        <f>BD13*VLOOKUP('Données projet'!$B$11,Paramètres!$A$1:$I$89,3,0)*VLOOKUP('Données projet'!$B$11,Paramètres!$A$1:$I$89,5,0)</f>
        <v>4.1458051461470022</v>
      </c>
      <c r="BF13" s="13">
        <f t="shared" si="37"/>
        <v>1.619091067502155</v>
      </c>
      <c r="BG13" s="20">
        <f t="shared" si="7"/>
        <v>10.040527572105615</v>
      </c>
      <c r="BH13" s="59">
        <f t="shared" si="8"/>
        <v>201.97918955715051</v>
      </c>
      <c r="BI13" s="59">
        <f ca="1">AVERAGE(OFFSET($BH$3,0,0,'Données projet'!$E$11+1,1))-AVERAGE(OFFSET($H$3,0,0,'Données projet'!$E$11+1,1))</f>
        <v>458.88102603650725</v>
      </c>
      <c r="BJ13" s="59">
        <f t="shared" si="38"/>
        <v>277.79020316059552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13.9308</v>
      </c>
      <c r="CA13" s="13">
        <f t="shared" si="39"/>
        <v>4.7246463812124082</v>
      </c>
      <c r="CB13" s="20">
        <f t="shared" si="10"/>
        <v>32.491569113944941</v>
      </c>
      <c r="CC13" s="59">
        <f t="shared" si="11"/>
        <v>224.43023109898982</v>
      </c>
      <c r="CD13" s="59">
        <f ca="1">AVERAGE(OFFSET($CC$3,0,0,'Données projet'!$E$12+1,1))-AVERAGE(OFFSET($H$3,0,0,'Données projet'!$E$12+1,1))</f>
        <v>400.48995908576177</v>
      </c>
      <c r="CE13" s="59">
        <f t="shared" si="40"/>
        <v>384.86917865380076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9.6666666666666661</v>
      </c>
      <c r="CT13" s="12">
        <f>IF('Données projet'!$A$140&gt;35,CT12+CS13-DB12,IF(A13&lt;'Données projet'!$A$140,$CQ$205^A13,IF(A13='Données projet'!$A$140,'Données projet'!$B$140,CT12+CS13-DB12)))</f>
        <v>52.526886339207103</v>
      </c>
      <c r="CU13" s="17">
        <f>CT13*VLOOKUP('Données projet'!$B$13,Paramètres!$A$1:$I$89,3,0)*VLOOKUP('Données projet'!$B$13,Paramètres!$A$1:$I$89,5,0)</f>
        <v>28.679679941207077</v>
      </c>
      <c r="CV13" s="13">
        <f t="shared" si="41"/>
        <v>8.9426187663684367</v>
      </c>
      <c r="CW13" s="20">
        <f t="shared" si="13"/>
        <v>65.525503582360685</v>
      </c>
      <c r="CX13" s="59">
        <f t="shared" si="14"/>
        <v>257.46416556740559</v>
      </c>
      <c r="CY13" s="59">
        <f ca="1">AVERAGE(OFFSET($CX$3,0,0,'Données projet'!$E$13+1,1))-AVERAGE(OFFSET($H$3,0,0,'Données projet'!$E$13+1,1))</f>
        <v>215.37314197175104</v>
      </c>
      <c r="CZ13" s="59">
        <f t="shared" si="42"/>
        <v>361.17630426655978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207.14866375518821</v>
      </c>
      <c r="S14" s="59">
        <f ca="1">AVERAGE(OFFSET($R$3,0,0,'Données projet'!$E$9+1,1))-AVERAGE(OFFSET($H$3,0,0,'Données projet'!$E$9+1,1))</f>
        <v>567.42635821336114</v>
      </c>
      <c r="T14" s="59">
        <f t="shared" si="34"/>
        <v>299.0473530693472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9.1517345525322273</v>
      </c>
      <c r="AJ14" s="13">
        <f>AI14*VLOOKUP('Données projet'!$B$10,Paramètres!$A$1:$I$89,3,0)*VLOOKUP('Données projet'!$B$10,Paramètres!$A$1:$I$89,5,0)</f>
        <v>7.8521882460726511</v>
      </c>
      <c r="AK14" s="13">
        <f t="shared" si="35"/>
        <v>2.8468582917289242</v>
      </c>
      <c r="AL14" s="20">
        <f t="shared" si="4"/>
        <v>18.634172720004408</v>
      </c>
      <c r="AM14" s="59">
        <f t="shared" si="5"/>
        <v>213.12997132911855</v>
      </c>
      <c r="AN14" s="59">
        <f ca="1">AVERAGE(OFFSET($AM$3,0,0,'Données projet'!$E$10+1,1))-AVERAGE(OFFSET($H$3,0,0,'Données projet'!$E$10+1,1))</f>
        <v>569.97793593332699</v>
      </c>
      <c r="AO14" s="59">
        <f t="shared" si="36"/>
        <v>331.25104323342907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3.9732905982905979</v>
      </c>
      <c r="BD14" s="12">
        <f>IF('Données projet'!$A$88&gt;35,BD13+BC14-BL13,IF(A14&lt;'Données projet'!$A$88,$BA$205^A14,IF(A14='Données projet'!$A$88,'Données projet'!$B$88,BD13+BC14-BL13)))</f>
        <v>5.7716446025155648</v>
      </c>
      <c r="BE14" s="13">
        <f>BD14*VLOOKUP('Données projet'!$B$11,Paramètres!$A$1:$I$89,3,0)*VLOOKUP('Données projet'!$B$11,Paramètres!$A$1:$I$89,5,0)</f>
        <v>4.8620334131591125</v>
      </c>
      <c r="BF14" s="13">
        <f t="shared" si="37"/>
        <v>1.8639076717057437</v>
      </c>
      <c r="BG14" s="20">
        <f t="shared" si="7"/>
        <v>11.714347389472957</v>
      </c>
      <c r="BH14" s="59">
        <f t="shared" si="8"/>
        <v>206.21014599858708</v>
      </c>
      <c r="BI14" s="59">
        <f ca="1">AVERAGE(OFFSET($BH$3,0,0,'Données projet'!$E$11+1,1))-AVERAGE(OFFSET($H$3,0,0,'Données projet'!$E$11+1,1))</f>
        <v>458.88102603650725</v>
      </c>
      <c r="BJ14" s="59">
        <f t="shared" si="38"/>
        <v>277.79020316059552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19.503120000000003</v>
      </c>
      <c r="CA14" s="13">
        <f t="shared" si="39"/>
        <v>6.3604529061061674</v>
      </c>
      <c r="CB14" s="20">
        <f t="shared" si="10"/>
        <v>45.045722811468245</v>
      </c>
      <c r="CC14" s="59">
        <f t="shared" si="11"/>
        <v>239.54152142058237</v>
      </c>
      <c r="CD14" s="59">
        <f ca="1">AVERAGE(OFFSET($CC$3,0,0,'Données projet'!$E$12+1,1))-AVERAGE(OFFSET($H$3,0,0,'Données projet'!$E$12+1,1))</f>
        <v>400.48995908576177</v>
      </c>
      <c r="CE14" s="59">
        <f t="shared" si="40"/>
        <v>384.86917865380076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9.6666666666666661</v>
      </c>
      <c r="CT14" s="12">
        <f>IF('Données projet'!$A$140&gt;35,CT13+CS14-DB13,IF(A14&lt;'Données projet'!$A$140,$CQ$205^A14,IF(A14='Données projet'!$A$140,'Données projet'!$B$140,CT13+CS14-DB13)))</f>
        <v>78.058432057965561</v>
      </c>
      <c r="CU14" s="17">
        <f>CT14*VLOOKUP('Données projet'!$B$13,Paramètres!$A$1:$I$89,3,0)*VLOOKUP('Données projet'!$B$13,Paramètres!$A$1:$I$89,5,0)</f>
        <v>42.619903903649202</v>
      </c>
      <c r="CV14" s="13">
        <f t="shared" si="41"/>
        <v>12.690468047849112</v>
      </c>
      <c r="CW14" s="20">
        <f t="shared" si="13"/>
        <v>96.332231148859549</v>
      </c>
      <c r="CX14" s="59">
        <f t="shared" si="14"/>
        <v>290.8280297579737</v>
      </c>
      <c r="CY14" s="59">
        <f ca="1">AVERAGE(OFFSET($CX$3,0,0,'Données projet'!$E$13+1,1))-AVERAGE(OFFSET($H$3,0,0,'Données projet'!$E$13+1,1))</f>
        <v>215.37314197175104</v>
      </c>
      <c r="CZ14" s="59">
        <f t="shared" si="42"/>
        <v>361.17630426655978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211.804101668192</v>
      </c>
      <c r="S15" s="59">
        <f ca="1">AVERAGE(OFFSET($R$3,0,0,'Données projet'!$E$9+1,1))-AVERAGE(OFFSET($H$3,0,0,'Données projet'!$E$9+1,1))</f>
        <v>567.42635821336114</v>
      </c>
      <c r="T15" s="59">
        <f t="shared" si="34"/>
        <v>299.0473530693472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11.19213180983215</v>
      </c>
      <c r="AJ15" s="13">
        <f>AI15*VLOOKUP('Données projet'!$B$10,Paramètres!$A$1:$I$89,3,0)*VLOOKUP('Données projet'!$B$10,Paramètres!$A$1:$I$89,5,0)</f>
        <v>9.6028490928359851</v>
      </c>
      <c r="AK15" s="13">
        <f t="shared" si="35"/>
        <v>3.4009543049268385</v>
      </c>
      <c r="AL15" s="20">
        <f t="shared" si="4"/>
        <v>22.64829091777025</v>
      </c>
      <c r="AM15" s="59">
        <f t="shared" si="5"/>
        <v>219.67806837050313</v>
      </c>
      <c r="AN15" s="59">
        <f ca="1">AVERAGE(OFFSET($AM$3,0,0,'Données projet'!$E$10+1,1))-AVERAGE(OFFSET($H$3,0,0,'Données projet'!$E$10+1,1))</f>
        <v>569.97793593332699</v>
      </c>
      <c r="AO15" s="59">
        <f t="shared" si="36"/>
        <v>331.25104323342907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3.9732905982905979</v>
      </c>
      <c r="BD15" s="12">
        <f>IF('Données projet'!$A$88&gt;35,BD14+BC15-BL14,IF(A15&lt;'Données projet'!$A$88,$BA$205^A15,IF(A15='Données projet'!$A$88,'Données projet'!$B$88,BD14+BC15-BL14)))</f>
        <v>6.7687524900657969</v>
      </c>
      <c r="BE15" s="13">
        <f>BD15*VLOOKUP('Données projet'!$B$11,Paramètres!$A$1:$I$89,3,0)*VLOOKUP('Données projet'!$B$11,Paramètres!$A$1:$I$89,5,0)</f>
        <v>5.7019970976314278</v>
      </c>
      <c r="BF15" s="13">
        <f t="shared" si="37"/>
        <v>2.1457420637884543</v>
      </c>
      <c r="BG15" s="20">
        <f t="shared" si="7"/>
        <v>13.668145706139628</v>
      </c>
      <c r="BH15" s="59">
        <f t="shared" si="8"/>
        <v>210.6979231588725</v>
      </c>
      <c r="BI15" s="59">
        <f ca="1">AVERAGE(OFFSET($BH$3,0,0,'Données projet'!$E$11+1,1))-AVERAGE(OFFSET($H$3,0,0,'Données projet'!$E$11+1,1))</f>
        <v>458.88102603650725</v>
      </c>
      <c r="BJ15" s="59">
        <f t="shared" si="38"/>
        <v>277.79020316059552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30.207840000000001</v>
      </c>
      <c r="CA15" s="13">
        <f t="shared" si="39"/>
        <v>9.3623701493068516</v>
      </c>
      <c r="CB15" s="20">
        <f t="shared" si="10"/>
        <v>68.918116010042766</v>
      </c>
      <c r="CC15" s="59">
        <f t="shared" si="11"/>
        <v>265.94789346277565</v>
      </c>
      <c r="CD15" s="59">
        <f ca="1">AVERAGE(OFFSET($CC$3,0,0,'Données projet'!$E$12+1,1))-AVERAGE(OFFSET($H$3,0,0,'Données projet'!$E$12+1,1))</f>
        <v>400.48995908576177</v>
      </c>
      <c r="CE15" s="59">
        <f t="shared" si="40"/>
        <v>384.86917865380076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116</v>
      </c>
      <c r="CR15" s="12">
        <f>VLOOKUP(A15,'Données projet'!$A$139:$I$159,9,0)</f>
        <v>9.6666666666666661</v>
      </c>
      <c r="CS15" s="12">
        <f t="array" ref="CS15">INDEX(CR:CR,MIN(IF(ISNUMBER(CR15:CR211),ROW(CR15:CR211),"")))</f>
        <v>9.6666666666666661</v>
      </c>
      <c r="CT15" s="12">
        <f>IF('Données projet'!$A$140&gt;35,CT14+CS15-DB14,IF(A15&lt;'Données projet'!$A$140,$CQ$205^A15,IF(A15='Données projet'!$A$140,'Données projet'!$B$140,CT14+CS15-DB14)))</f>
        <v>116</v>
      </c>
      <c r="CU15" s="17">
        <f>CT15*VLOOKUP('Données projet'!$B$13,Paramètres!$A$1:$I$89,3,0)*VLOOKUP('Données projet'!$B$13,Paramètres!$A$1:$I$89,5,0)</f>
        <v>63.335999999999999</v>
      </c>
      <c r="CV15" s="13">
        <f t="shared" si="41"/>
        <v>18.009040022946227</v>
      </c>
      <c r="CW15" s="20">
        <f t="shared" si="13"/>
        <v>141.67594470663133</v>
      </c>
      <c r="CX15" s="59">
        <f t="shared" si="14"/>
        <v>338.7057221593642</v>
      </c>
      <c r="CY15" s="59">
        <f ca="1">AVERAGE(OFFSET($CX$3,0,0,'Données projet'!$E$13+1,1))-AVERAGE(OFFSET($H$3,0,0,'Données projet'!$E$13+1,1))</f>
        <v>215.37314197175104</v>
      </c>
      <c r="CZ15" s="59">
        <f t="shared" si="42"/>
        <v>361.17630426655978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21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1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12.982175523438457</v>
      </c>
      <c r="DI15" s="22">
        <f t="shared" si="15"/>
        <v>12.982175523438457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216.79366597092417</v>
      </c>
      <c r="S16" s="59">
        <f ca="1">AVERAGE(OFFSET($R$3,0,0,'Données projet'!$E$9+1,1))-AVERAGE(OFFSET($H$3,0,0,'Données projet'!$E$9+1,1))</f>
        <v>567.42635821336114</v>
      </c>
      <c r="T16" s="59">
        <f t="shared" si="34"/>
        <v>299.0473530693472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13.687439657435972</v>
      </c>
      <c r="AJ16" s="13">
        <f>AI16*VLOOKUP('Données projet'!$B$10,Paramètres!$A$1:$I$89,3,0)*VLOOKUP('Données projet'!$B$10,Paramètres!$A$1:$I$89,5,0)</f>
        <v>11.743823226080066</v>
      </c>
      <c r="AK16" s="13">
        <f t="shared" si="35"/>
        <v>4.0628963576462231</v>
      </c>
      <c r="AL16" s="20">
        <f t="shared" si="4"/>
        <v>27.530036608323286</v>
      </c>
      <c r="AM16" s="59">
        <f t="shared" si="5"/>
        <v>227.0710368599421</v>
      </c>
      <c r="AN16" s="59">
        <f ca="1">AVERAGE(OFFSET($AM$3,0,0,'Données projet'!$E$10+1,1))-AVERAGE(OFFSET($H$3,0,0,'Données projet'!$E$10+1,1))</f>
        <v>569.97793593332699</v>
      </c>
      <c r="AO16" s="59">
        <f t="shared" si="36"/>
        <v>331.25104323342907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3.9732905982905979</v>
      </c>
      <c r="BD16" s="12">
        <f>IF('Données projet'!$A$88&gt;35,BD15+BC16-BL15,IF(A16&lt;'Données projet'!$A$88,$BA$205^A16,IF(A16='Données projet'!$A$88,'Données projet'!$B$88,BD15+BC16-BL15)))</f>
        <v>7.9381204885351178</v>
      </c>
      <c r="BE16" s="13">
        <f>BD16*VLOOKUP('Données projet'!$B$11,Paramètres!$A$1:$I$89,3,0)*VLOOKUP('Données projet'!$B$11,Paramètres!$A$1:$I$89,5,0)</f>
        <v>6.687072699541984</v>
      </c>
      <c r="BF16" s="13">
        <f t="shared" si="37"/>
        <v>2.4701915627063342</v>
      </c>
      <c r="BG16" s="20">
        <f t="shared" si="7"/>
        <v>15.94890192341582</v>
      </c>
      <c r="BH16" s="59">
        <f t="shared" si="8"/>
        <v>215.48990217503464</v>
      </c>
      <c r="BI16" s="59">
        <f ca="1">AVERAGE(OFFSET($BH$3,0,0,'Données projet'!$E$11+1,1))-AVERAGE(OFFSET($H$3,0,0,'Données projet'!$E$11+1,1))</f>
        <v>458.88102603650725</v>
      </c>
      <c r="BJ16" s="59">
        <f t="shared" si="38"/>
        <v>277.79020316059552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40.912559999999999</v>
      </c>
      <c r="CA16" s="13">
        <f t="shared" si="39"/>
        <v>12.240202574960914</v>
      </c>
      <c r="CB16" s="20">
        <f t="shared" si="10"/>
        <v>92.57439481805693</v>
      </c>
      <c r="CC16" s="59">
        <f t="shared" si="11"/>
        <v>292.11539506967574</v>
      </c>
      <c r="CD16" s="59">
        <f ca="1">AVERAGE(OFFSET($CC$3,0,0,'Données projet'!$E$12+1,1))-AVERAGE(OFFSET($H$3,0,0,'Données projet'!$E$12+1,1))</f>
        <v>400.48995908576177</v>
      </c>
      <c r="CE16" s="59">
        <f t="shared" si="40"/>
        <v>384.86917865380076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24.333333333333332</v>
      </c>
      <c r="CT16" s="12">
        <f>IF('Données projet'!$A$140&gt;35,CT15+CS16-DB15,IF(A16&lt;'Données projet'!$A$140,$CQ$205^A16,IF(A16='Données projet'!$A$140,'Données projet'!$B$140,CT15+CS16-DB15)))</f>
        <v>119.33333333333334</v>
      </c>
      <c r="CU16" s="17">
        <f>CT16*VLOOKUP('Données projet'!$B$13,Paramètres!$A$1:$I$89,3,0)*VLOOKUP('Données projet'!$B$13,Paramètres!$A$1:$I$89,5,0)</f>
        <v>65.156000000000006</v>
      </c>
      <c r="CV16" s="13">
        <f t="shared" si="41"/>
        <v>18.465547360043153</v>
      </c>
      <c r="CW16" s="20">
        <f t="shared" si="13"/>
        <v>145.64086165207519</v>
      </c>
      <c r="CX16" s="59">
        <f t="shared" si="14"/>
        <v>345.18186190369397</v>
      </c>
      <c r="CY16" s="59">
        <f ca="1">AVERAGE(OFFSET($CX$3,0,0,'Données projet'!$E$13+1,1))-AVERAGE(OFFSET($H$3,0,0,'Données projet'!$E$13+1,1))</f>
        <v>215.37314197175104</v>
      </c>
      <c r="CZ16" s="59">
        <f t="shared" si="42"/>
        <v>361.17630426655978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9.1797843471773497</v>
      </c>
      <c r="DI16" s="22">
        <f t="shared" si="15"/>
        <v>9.1797843471773497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222.17797449414502</v>
      </c>
      <c r="S17" s="59">
        <f ca="1">AVERAGE(OFFSET($R$3,0,0,'Données projet'!$E$9+1,1))-AVERAGE(OFFSET($H$3,0,0,'Données projet'!$E$9+1,1))</f>
        <v>567.42635821336114</v>
      </c>
      <c r="T17" s="59">
        <f t="shared" si="34"/>
        <v>299.0473530693472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16.739081308117708</v>
      </c>
      <c r="AJ17" s="13">
        <f>AI17*VLOOKUP('Données projet'!$B$10,Paramètres!$A$1:$I$89,3,0)*VLOOKUP('Données projet'!$B$10,Paramètres!$A$1:$I$89,5,0)</f>
        <v>14.362131762364994</v>
      </c>
      <c r="AK17" s="13">
        <f t="shared" si="35"/>
        <v>4.8536749785381312</v>
      </c>
      <c r="AL17" s="20">
        <f t="shared" si="4"/>
        <v>33.46753007373961</v>
      </c>
      <c r="AM17" s="59">
        <f t="shared" si="5"/>
        <v>235.49739184601282</v>
      </c>
      <c r="AN17" s="59">
        <f ca="1">AVERAGE(OFFSET($AM$3,0,0,'Données projet'!$E$10+1,1))-AVERAGE(OFFSET($H$3,0,0,'Données projet'!$E$10+1,1))</f>
        <v>569.97793593332699</v>
      </c>
      <c r="AO17" s="59">
        <f t="shared" si="36"/>
        <v>331.25104323342907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3.9732905982905979</v>
      </c>
      <c r="BD17" s="12">
        <f>IF('Données projet'!$A$88&gt;35,BD16+BC17-BL16,IF(A17&lt;'Données projet'!$A$88,$BA$205^A17,IF(A17='Données projet'!$A$88,'Données projet'!$B$88,BD16+BC17-BL16)))</f>
        <v>9.3095082118874259</v>
      </c>
      <c r="BE17" s="13">
        <f>BD17*VLOOKUP('Données projet'!$B$11,Paramètres!$A$1:$I$89,3,0)*VLOOKUP('Données projet'!$B$11,Paramètres!$A$1:$I$89,5,0)</f>
        <v>7.8423297176939677</v>
      </c>
      <c r="BF17" s="13">
        <f t="shared" si="37"/>
        <v>2.8436998367326272</v>
      </c>
      <c r="BG17" s="20">
        <f t="shared" si="7"/>
        <v>18.611501473959652</v>
      </c>
      <c r="BH17" s="59">
        <f t="shared" si="8"/>
        <v>220.64136324623286</v>
      </c>
      <c r="BI17" s="59">
        <f ca="1">AVERAGE(OFFSET($BH$3,0,0,'Données projet'!$E$11+1,1))-AVERAGE(OFFSET($H$3,0,0,'Données projet'!$E$11+1,1))</f>
        <v>458.88102603650725</v>
      </c>
      <c r="BJ17" s="59">
        <f t="shared" si="38"/>
        <v>277.79020316059552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51.617280000000001</v>
      </c>
      <c r="CA17" s="13">
        <f t="shared" si="39"/>
        <v>15.030652312628483</v>
      </c>
      <c r="CB17" s="20">
        <f t="shared" si="10"/>
        <v>116.07848211116128</v>
      </c>
      <c r="CC17" s="59">
        <f t="shared" si="11"/>
        <v>318.10834388343449</v>
      </c>
      <c r="CD17" s="59">
        <f ca="1">AVERAGE(OFFSET($CC$3,0,0,'Données projet'!$E$12+1,1))-AVERAGE(OFFSET($H$3,0,0,'Données projet'!$E$12+1,1))</f>
        <v>400.48995908576177</v>
      </c>
      <c r="CE17" s="59">
        <f t="shared" si="40"/>
        <v>384.86917865380076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24.333333333333332</v>
      </c>
      <c r="CT17" s="12">
        <f>IF('Données projet'!$A$140&gt;35,CT16+CS17-DB16,IF(A17&lt;'Données projet'!$A$140,$CQ$205^A17,IF(A17='Données projet'!$A$140,'Données projet'!$B$140,CT16+CS17-DB16)))</f>
        <v>143.66666666666669</v>
      </c>
      <c r="CU17" s="17">
        <f>CT17*VLOOKUP('Données projet'!$B$13,Paramètres!$A$1:$I$89,3,0)*VLOOKUP('Données projet'!$B$13,Paramètres!$A$1:$I$89,5,0)</f>
        <v>78.442000000000007</v>
      </c>
      <c r="CV17" s="13">
        <f t="shared" si="41"/>
        <v>21.755810093736013</v>
      </c>
      <c r="CW17" s="20">
        <f t="shared" si="13"/>
        <v>174.5111859132569</v>
      </c>
      <c r="CX17" s="59">
        <f t="shared" si="14"/>
        <v>376.54104768553009</v>
      </c>
      <c r="CY17" s="59">
        <f ca="1">AVERAGE(OFFSET($CX$3,0,0,'Données projet'!$E$13+1,1))-AVERAGE(OFFSET($H$3,0,0,'Données projet'!$E$13+1,1))</f>
        <v>215.37314197175104</v>
      </c>
      <c r="CZ17" s="59">
        <f t="shared" si="42"/>
        <v>361.17630426655978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6.4910877617192284</v>
      </c>
      <c r="DI17" s="22">
        <f t="shared" si="15"/>
        <v>6.4910877617192284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228.02782997431032</v>
      </c>
      <c r="S18" s="59">
        <f ca="1">AVERAGE(OFFSET($R$3,0,0,'Données projet'!$E$9+1,1))-AVERAGE(OFFSET($H$3,0,0,'Données projet'!$E$9+1,1))</f>
        <v>567.42635821336114</v>
      </c>
      <c r="T18" s="59">
        <f t="shared" si="34"/>
        <v>299.0473530693472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20.471092479852732</v>
      </c>
      <c r="AJ18" s="13">
        <f>AI18*VLOOKUP('Données projet'!$B$10,Paramètres!$A$1:$I$89,3,0)*VLOOKUP('Données projet'!$B$10,Paramètres!$A$1:$I$89,5,0)</f>
        <v>17.564197347713648</v>
      </c>
      <c r="AK18" s="13">
        <f t="shared" si="35"/>
        <v>5.7983661712048189</v>
      </c>
      <c r="AL18" s="20">
        <f t="shared" si="4"/>
        <v>40.689798128782996</v>
      </c>
      <c r="AM18" s="59">
        <f t="shared" si="5"/>
        <v>245.18654806166404</v>
      </c>
      <c r="AN18" s="59">
        <f ca="1">AVERAGE(OFFSET($AM$3,0,0,'Données projet'!$E$10+1,1))-AVERAGE(OFFSET($H$3,0,0,'Données projet'!$E$10+1,1))</f>
        <v>569.97793593332699</v>
      </c>
      <c r="AO18" s="59">
        <f t="shared" si="36"/>
        <v>331.25104323342907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3.9732905982905979</v>
      </c>
      <c r="BD18" s="12">
        <f>IF('Données projet'!$A$88&gt;35,BD17+BC18-BL17,IF(A18&lt;'Données projet'!$A$88,$BA$205^A18,IF(A18='Données projet'!$A$88,'Données projet'!$B$88,BD17+BC18-BL17)))</f>
        <v>10.917816537601178</v>
      </c>
      <c r="BE18" s="13">
        <f>BD18*VLOOKUP('Données projet'!$B$11,Paramètres!$A$1:$I$89,3,0)*VLOOKUP('Données projet'!$B$11,Paramètres!$A$1:$I$89,5,0)</f>
        <v>9.1971686512752324</v>
      </c>
      <c r="BF18" s="13">
        <f t="shared" si="37"/>
        <v>3.2736848767200426</v>
      </c>
      <c r="BG18" s="20">
        <f t="shared" si="7"/>
        <v>21.720069894591763</v>
      </c>
      <c r="BH18" s="59">
        <f t="shared" si="8"/>
        <v>226.21681982747282</v>
      </c>
      <c r="BI18" s="59">
        <f ca="1">AVERAGE(OFFSET($BH$3,0,0,'Données projet'!$E$11+1,1))-AVERAGE(OFFSET($H$3,0,0,'Données projet'!$E$11+1,1))</f>
        <v>458.88102603650725</v>
      </c>
      <c r="BJ18" s="59">
        <f t="shared" si="38"/>
        <v>277.79020316059552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62.321999999999996</v>
      </c>
      <c r="CA18" s="13">
        <f t="shared" si="39"/>
        <v>17.754039836243702</v>
      </c>
      <c r="CB18" s="20">
        <f t="shared" si="10"/>
        <v>139.46576938145776</v>
      </c>
      <c r="CC18" s="59">
        <f t="shared" si="11"/>
        <v>343.96251931433881</v>
      </c>
      <c r="CD18" s="59">
        <f ca="1">AVERAGE(OFFSET($CC$3,0,0,'Données projet'!$E$12+1,1))-AVERAGE(OFFSET($H$3,0,0,'Données projet'!$E$12+1,1))</f>
        <v>400.48995908576177</v>
      </c>
      <c r="CE18" s="59">
        <f t="shared" si="40"/>
        <v>384.86917865380076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168</v>
      </c>
      <c r="CR18" s="12">
        <f>VLOOKUP(A18,'Données projet'!$A$139:$I$159,9,0)</f>
        <v>24.333333333333332</v>
      </c>
      <c r="CS18" s="12">
        <f t="array" ref="CS18">INDEX(CR:CR,MIN(IF(ISNUMBER(CR18:CR214),ROW(CR18:CR214),"")))</f>
        <v>24.333333333333332</v>
      </c>
      <c r="CT18" s="12">
        <f>IF('Données projet'!$A$140&gt;35,CT17+CS18-DB17,IF(A18&lt;'Données projet'!$A$140,$CQ$205^A18,IF(A18='Données projet'!$A$140,'Données projet'!$B$140,CT17+CS18-DB17)))</f>
        <v>168.00000000000003</v>
      </c>
      <c r="CU18" s="17">
        <f>CT18*VLOOKUP('Données projet'!$B$13,Paramètres!$A$1:$I$89,3,0)*VLOOKUP('Données projet'!$B$13,Paramètres!$A$1:$I$89,5,0)</f>
        <v>91.728000000000009</v>
      </c>
      <c r="CV18" s="13">
        <f t="shared" si="41"/>
        <v>24.981514582386563</v>
      </c>
      <c r="CW18" s="20">
        <f t="shared" si="13"/>
        <v>203.26907123098991</v>
      </c>
      <c r="CX18" s="59">
        <f t="shared" si="14"/>
        <v>407.76582116387095</v>
      </c>
      <c r="CY18" s="59">
        <f ca="1">AVERAGE(OFFSET($CX$3,0,0,'Données projet'!$E$13+1,1))-AVERAGE(OFFSET($H$3,0,0,'Données projet'!$E$13+1,1))</f>
        <v>215.37314197175104</v>
      </c>
      <c r="CZ18" s="59">
        <f t="shared" si="42"/>
        <v>361.17630426655978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47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0.6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20.344955736509949</v>
      </c>
      <c r="DH18" s="21">
        <f>EXP(-LN(2)/2)*DH17+(1-EXP(-LN(2)/2))/(LN(2)/2)*DB18*DE18*VLOOKUP('Données projet'!$B$13,Paramètres!$A$1:$I$89,3,0)*0.475*44/12</f>
        <v>4.5898921735886749</v>
      </c>
      <c r="DI18" s="22">
        <f t="shared" si="15"/>
        <v>24.934847910098625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234.42594953184124</v>
      </c>
      <c r="S19" s="59">
        <f ca="1">AVERAGE(OFFSET($R$3,0,0,'Données projet'!$E$9+1,1))-AVERAGE(OFFSET($H$3,0,0,'Données projet'!$E$9+1,1))</f>
        <v>567.42635821336114</v>
      </c>
      <c r="T19" s="59">
        <f t="shared" si="34"/>
        <v>299.0473530693472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25.035162898423533</v>
      </c>
      <c r="AJ19" s="13">
        <f>AI19*VLOOKUP('Données projet'!$B$10,Paramètres!$A$1:$I$89,3,0)*VLOOKUP('Données projet'!$B$10,Paramètres!$A$1:$I$89,5,0)</f>
        <v>21.480169766847393</v>
      </c>
      <c r="AK19" s="13">
        <f t="shared" si="35"/>
        <v>6.9269265873873334</v>
      </c>
      <c r="AL19" s="20">
        <f t="shared" si="4"/>
        <v>49.475692816958805</v>
      </c>
      <c r="AM19" s="59">
        <f t="shared" si="5"/>
        <v>256.41773873907289</v>
      </c>
      <c r="AN19" s="59">
        <f ca="1">AVERAGE(OFFSET($AM$3,0,0,'Données projet'!$E$10+1,1))-AVERAGE(OFFSET($H$3,0,0,'Données projet'!$E$10+1,1))</f>
        <v>569.97793593332699</v>
      </c>
      <c r="AO19" s="59">
        <f t="shared" si="36"/>
        <v>331.25104323342907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3.9732905982905979</v>
      </c>
      <c r="BD19" s="12">
        <f>IF('Données projet'!$A$88&gt;35,BD18+BC19-BL18,IF(A19&lt;'Données projet'!$A$88,$BA$205^A19,IF(A19='Données projet'!$A$88,'Données projet'!$B$88,BD18+BC19-BL18)))</f>
        <v>12.803975810076782</v>
      </c>
      <c r="BE19" s="13">
        <f>BD19*VLOOKUP('Données projet'!$B$11,Paramètres!$A$1:$I$89,3,0)*VLOOKUP('Données projet'!$B$11,Paramètres!$A$1:$I$89,5,0)</f>
        <v>10.786069222408683</v>
      </c>
      <c r="BF19" s="13">
        <f t="shared" si="37"/>
        <v>3.7686863197134151</v>
      </c>
      <c r="BG19" s="20">
        <f t="shared" si="7"/>
        <v>25.349532569195986</v>
      </c>
      <c r="BH19" s="59">
        <f t="shared" si="8"/>
        <v>232.29157849131005</v>
      </c>
      <c r="BI19" s="59">
        <f ca="1">AVERAGE(OFFSET($BH$3,0,0,'Données projet'!$E$11+1,1))-AVERAGE(OFFSET($H$3,0,0,'Données projet'!$E$11+1,1))</f>
        <v>458.88102603650725</v>
      </c>
      <c r="BJ19" s="59">
        <f t="shared" si="38"/>
        <v>277.79020316059552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43.258799999999994</v>
      </c>
      <c r="CA19" s="13">
        <f t="shared" si="39"/>
        <v>12.858415781906348</v>
      </c>
      <c r="CB19" s="20">
        <f t="shared" si="10"/>
        <v>97.737484153486875</v>
      </c>
      <c r="CC19" s="59">
        <f t="shared" si="11"/>
        <v>304.67953007560095</v>
      </c>
      <c r="CD19" s="59">
        <f ca="1">AVERAGE(OFFSET($CC$3,0,0,'Données projet'!$E$12+1,1))-AVERAGE(OFFSET($H$3,0,0,'Données projet'!$E$12+1,1))</f>
        <v>400.48995908576177</v>
      </c>
      <c r="CE19" s="59">
        <f t="shared" si="40"/>
        <v>384.86917865380076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21.333333333333332</v>
      </c>
      <c r="CT19" s="12">
        <f>IF('Données projet'!$A$140&gt;35,CT18+CS19-DB18,IF(A19&lt;'Données projet'!$A$140,$CQ$205^A19,IF(A19='Données projet'!$A$140,'Données projet'!$B$140,CT18+CS19-DB18)))</f>
        <v>142.33333333333337</v>
      </c>
      <c r="CU19" s="17">
        <f>CT19*VLOOKUP('Données projet'!$B$13,Paramètres!$A$1:$I$89,3,0)*VLOOKUP('Données projet'!$B$13,Paramètres!$A$1:$I$89,5,0)</f>
        <v>77.714000000000027</v>
      </c>
      <c r="CV19" s="13">
        <f t="shared" si="41"/>
        <v>21.577305655991772</v>
      </c>
      <c r="CW19" s="20">
        <f t="shared" si="13"/>
        <v>172.93235735085239</v>
      </c>
      <c r="CX19" s="59">
        <f t="shared" si="14"/>
        <v>379.87440327296645</v>
      </c>
      <c r="CY19" s="59">
        <f ca="1">AVERAGE(OFFSET($CX$3,0,0,'Données projet'!$E$13+1,1))-AVERAGE(OFFSET($H$3,0,0,'Données projet'!$E$13+1,1))</f>
        <v>215.37314197175104</v>
      </c>
      <c r="CZ19" s="59">
        <f t="shared" si="42"/>
        <v>361.17630426655978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19.788621852000361</v>
      </c>
      <c r="DH19" s="21">
        <f>EXP(-LN(2)/2)*DH18+(1-EXP(-LN(2)/2))/(LN(2)/2)*DB19*DE19*VLOOKUP('Données projet'!$B$13,Paramètres!$A$1:$I$89,3,0)*0.475*44/12</f>
        <v>3.2455438808596142</v>
      </c>
      <c r="DI19" s="22">
        <f t="shared" si="15"/>
        <v>23.034165732859975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241.46898830206896</v>
      </c>
      <c r="S20" s="59">
        <f ca="1">AVERAGE(OFFSET($R$3,0,0,'Données projet'!$E$9+1,1))-AVERAGE(OFFSET($H$3,0,0,'Données projet'!$E$9+1,1))</f>
        <v>567.42635821336114</v>
      </c>
      <c r="T20" s="59">
        <f t="shared" si="34"/>
        <v>299.0473530693472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30.61680181296855</v>
      </c>
      <c r="AJ20" s="13">
        <f>AI20*VLOOKUP('Données projet'!$B$10,Paramètres!$A$1:$I$89,3,0)*VLOOKUP('Données projet'!$B$10,Paramètres!$A$1:$I$89,5,0)</f>
        <v>26.26921595552702</v>
      </c>
      <c r="AK20" s="13">
        <f t="shared" si="35"/>
        <v>8.2751434680579159</v>
      </c>
      <c r="AL20" s="20">
        <f t="shared" si="4"/>
        <v>60.164759329410423</v>
      </c>
      <c r="AM20" s="59">
        <f t="shared" si="5"/>
        <v>269.53088364528315</v>
      </c>
      <c r="AN20" s="59">
        <f ca="1">AVERAGE(OFFSET($AM$3,0,0,'Données projet'!$E$10+1,1))-AVERAGE(OFFSET($H$3,0,0,'Données projet'!$E$10+1,1))</f>
        <v>569.97793593332699</v>
      </c>
      <c r="AO20" s="59">
        <f t="shared" si="36"/>
        <v>331.25104323342907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3.9732905982905979</v>
      </c>
      <c r="BD20" s="12">
        <f>IF('Données projet'!$A$88&gt;35,BD19+BC20-BL19,IF(A20&lt;'Données projet'!$A$88,$BA$205^A20,IF(A20='Données projet'!$A$88,'Données projet'!$B$88,BD19+BC20-BL19)))</f>
        <v>15.015987489844015</v>
      </c>
      <c r="BE20" s="13">
        <f>BD20*VLOOKUP('Données projet'!$B$11,Paramètres!$A$1:$I$89,3,0)*VLOOKUP('Données projet'!$B$11,Paramètres!$A$1:$I$89,5,0)</f>
        <v>12.649467861444599</v>
      </c>
      <c r="BF20" s="13">
        <f t="shared" si="37"/>
        <v>4.3385350488056895</v>
      </c>
      <c r="BG20" s="20">
        <f t="shared" si="7"/>
        <v>29.587438402019249</v>
      </c>
      <c r="BH20" s="59">
        <f t="shared" si="8"/>
        <v>238.95356271789197</v>
      </c>
      <c r="BI20" s="59">
        <f ca="1">AVERAGE(OFFSET($BH$3,0,0,'Données projet'!$E$11+1,1))-AVERAGE(OFFSET($H$3,0,0,'Données projet'!$E$11+1,1))</f>
        <v>458.88102603650725</v>
      </c>
      <c r="BJ20" s="59">
        <f t="shared" si="38"/>
        <v>277.79020316059552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54.99</v>
      </c>
      <c r="CA20" s="13">
        <f t="shared" si="39"/>
        <v>15.895227919347008</v>
      </c>
      <c r="CB20" s="20">
        <f t="shared" si="10"/>
        <v>123.45843862619604</v>
      </c>
      <c r="CC20" s="59">
        <f t="shared" si="11"/>
        <v>332.82456294206878</v>
      </c>
      <c r="CD20" s="59">
        <f ca="1">AVERAGE(OFFSET($CC$3,0,0,'Données projet'!$E$12+1,1))-AVERAGE(OFFSET($H$3,0,0,'Données projet'!$E$12+1,1))</f>
        <v>400.48995908576177</v>
      </c>
      <c r="CE20" s="59">
        <f t="shared" si="40"/>
        <v>384.86917865380076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21.333333333333332</v>
      </c>
      <c r="CT20" s="12">
        <f>IF('Données projet'!$A$140&gt;35,CT19+CS20-DB19,IF(A20&lt;'Données projet'!$A$140,$CQ$205^A20,IF(A20='Données projet'!$A$140,'Données projet'!$B$140,CT19+CS20-DB19)))</f>
        <v>163.66666666666671</v>
      </c>
      <c r="CU20" s="17">
        <f>CT20*VLOOKUP('Données projet'!$B$13,Paramètres!$A$1:$I$89,3,0)*VLOOKUP('Données projet'!$B$13,Paramètres!$A$1:$I$89,5,0)</f>
        <v>89.362000000000037</v>
      </c>
      <c r="CV20" s="13">
        <f t="shared" si="41"/>
        <v>24.411291106060958</v>
      </c>
      <c r="CW20" s="20">
        <f t="shared" si="13"/>
        <v>198.15514867638956</v>
      </c>
      <c r="CX20" s="59">
        <f t="shared" si="14"/>
        <v>407.52127299226231</v>
      </c>
      <c r="CY20" s="59">
        <f ca="1">AVERAGE(OFFSET($CX$3,0,0,'Données projet'!$E$13+1,1))-AVERAGE(OFFSET($H$3,0,0,'Données projet'!$E$13+1,1))</f>
        <v>215.37314197175104</v>
      </c>
      <c r="CZ20" s="59">
        <f t="shared" si="42"/>
        <v>361.17630426655978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19.247500946819017</v>
      </c>
      <c r="DH20" s="21">
        <f>EXP(-LN(2)/2)*DH19+(1-EXP(-LN(2)/2))/(LN(2)/2)*DB20*DE20*VLOOKUP('Données projet'!$B$13,Paramètres!$A$1:$I$89,3,0)*0.475*44/12</f>
        <v>2.2949460867943374</v>
      </c>
      <c r="DI20" s="22">
        <f t="shared" si="15"/>
        <v>21.542447033613353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249.26990736392435</v>
      </c>
      <c r="S21" s="59">
        <f ca="1">AVERAGE(OFFSET($R$3,0,0,'Données projet'!$E$9+1,1))-AVERAGE(OFFSET($H$3,0,0,'Données projet'!$E$9+1,1))</f>
        <v>567.42635821336114</v>
      </c>
      <c r="T21" s="59">
        <f t="shared" si="34"/>
        <v>299.0473530693472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37.442878125375486</v>
      </c>
      <c r="AJ21" s="13">
        <f>AI21*VLOOKUP('Données projet'!$B$10,Paramètres!$A$1:$I$89,3,0)*VLOOKUP('Données projet'!$B$10,Paramètres!$A$1:$I$89,5,0)</f>
        <v>32.125989431572172</v>
      </c>
      <c r="AK21" s="13">
        <f t="shared" si="35"/>
        <v>9.8857694755459775</v>
      </c>
      <c r="AL21" s="20">
        <f t="shared" si="4"/>
        <v>73.170480096564106</v>
      </c>
      <c r="AM21" s="59">
        <f t="shared" si="5"/>
        <v>284.93983328856723</v>
      </c>
      <c r="AN21" s="59">
        <f ca="1">AVERAGE(OFFSET($AM$3,0,0,'Données projet'!$E$10+1,1))-AVERAGE(OFFSET($H$3,0,0,'Données projet'!$E$10+1,1))</f>
        <v>569.97793593332699</v>
      </c>
      <c r="AO21" s="59">
        <f t="shared" si="36"/>
        <v>331.25104323342907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3.9732905982905979</v>
      </c>
      <c r="BD21" s="12">
        <f>IF('Données projet'!$A$88&gt;35,BD20+BC21-BL20,IF(A21&lt;'Données projet'!$A$88,$BA$205^A21,IF(A21='Données projet'!$A$88,'Données projet'!$B$88,BD20+BC21-BL20)))</f>
        <v>17.610145757827684</v>
      </c>
      <c r="BE21" s="13">
        <f>BD21*VLOOKUP('Données projet'!$B$11,Paramètres!$A$1:$I$89,3,0)*VLOOKUP('Données projet'!$B$11,Paramètres!$A$1:$I$89,5,0)</f>
        <v>14.834786786394043</v>
      </c>
      <c r="BF21" s="13">
        <f t="shared" si="37"/>
        <v>4.9945484375432834</v>
      </c>
      <c r="BG21" s="20">
        <f t="shared" si="7"/>
        <v>34.53609218169084</v>
      </c>
      <c r="BH21" s="59">
        <f t="shared" si="8"/>
        <v>246.30544537369394</v>
      </c>
      <c r="BI21" s="59">
        <f ca="1">AVERAGE(OFFSET($BH$3,0,0,'Données projet'!$E$11+1,1))-AVERAGE(OFFSET($H$3,0,0,'Données projet'!$E$11+1,1))</f>
        <v>458.88102603650725</v>
      </c>
      <c r="BJ21" s="59">
        <f t="shared" si="38"/>
        <v>277.79020316059552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66.721199999999996</v>
      </c>
      <c r="CA21" s="13">
        <f t="shared" si="39"/>
        <v>18.856956599005905</v>
      </c>
      <c r="CB21" s="20">
        <f t="shared" si="10"/>
        <v>149.0486227432686</v>
      </c>
      <c r="CC21" s="59">
        <f t="shared" si="11"/>
        <v>360.8179759352717</v>
      </c>
      <c r="CD21" s="59">
        <f ca="1">AVERAGE(OFFSET($CC$3,0,0,'Données projet'!$E$12+1,1))-AVERAGE(OFFSET($H$3,0,0,'Données projet'!$E$12+1,1))</f>
        <v>400.48995908576177</v>
      </c>
      <c r="CE21" s="59">
        <f t="shared" si="40"/>
        <v>384.86917865380076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185</v>
      </c>
      <c r="CR21" s="12">
        <f>VLOOKUP(A21,'Données projet'!$A$139:$I$159,9,0)</f>
        <v>21.333333333333332</v>
      </c>
      <c r="CS21" s="12">
        <f t="array" ref="CS21">INDEX(CR:CR,MIN(IF(ISNUMBER(CR21:CR217),ROW(CR21:CR217),"")))</f>
        <v>21.333333333333332</v>
      </c>
      <c r="CT21" s="12">
        <f>IF('Données projet'!$A$140&gt;35,CT20+CS21-DB20,IF(A21&lt;'Données projet'!$A$140,$CQ$205^A21,IF(A21='Données projet'!$A$140,'Données projet'!$B$140,CT20+CS21-DB20)))</f>
        <v>185.00000000000006</v>
      </c>
      <c r="CU21" s="17">
        <f>CT21*VLOOKUP('Données projet'!$B$13,Paramètres!$A$1:$I$89,3,0)*VLOOKUP('Données projet'!$B$13,Paramètres!$A$1:$I$89,5,0)</f>
        <v>101.01000000000002</v>
      </c>
      <c r="CV21" s="13">
        <f t="shared" si="41"/>
        <v>27.202475209169602</v>
      </c>
      <c r="CW21" s="20">
        <f t="shared" si="13"/>
        <v>223.30339432263705</v>
      </c>
      <c r="CX21" s="59">
        <f t="shared" si="14"/>
        <v>435.07274751464013</v>
      </c>
      <c r="CY21" s="59">
        <f ca="1">AVERAGE(OFFSET($CX$3,0,0,'Données projet'!$E$13+1,1))-AVERAGE(OFFSET($H$3,0,0,'Données projet'!$E$13+1,1))</f>
        <v>215.37314197175104</v>
      </c>
      <c r="CZ21" s="59">
        <f t="shared" si="42"/>
        <v>361.17630426655978</v>
      </c>
      <c r="DA21" s="15">
        <f>IF(ISNA(VLOOKUP(A21,'Données projet'!$A$139:$I$159,3,0)),0,VLOOKUP(A21,'Données projet'!$A$139:$I$159,3,0))</f>
        <v>3</v>
      </c>
      <c r="DB21" s="15">
        <f>IF(ISNA(VLOOKUP(A21,'Données projet'!$A$139:$I$159,4,0)),0,VLOOKUP(A21,'Données projet'!$A$139:$I$159,4,0))</f>
        <v>61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0.6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45.126332338844186</v>
      </c>
      <c r="DH21" s="21">
        <f>EXP(-LN(2)/2)*DH20+(1-EXP(-LN(2)/2))/(LN(2)/2)*DB21*DE21*VLOOKUP('Données projet'!$B$13,Paramètres!$A$1:$I$89,3,0)*0.475*44/12</f>
        <v>1.6227719404298071</v>
      </c>
      <c r="DI21" s="22">
        <f t="shared" si="15"/>
        <v>46.749104279273993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257.96074467695155</v>
      </c>
      <c r="S22" s="59">
        <f ca="1">AVERAGE(OFFSET($R$3,0,0,'Données projet'!$E$9+1,1))-AVERAGE(OFFSET($H$3,0,0,'Données projet'!$E$9+1,1))</f>
        <v>567.42635821336114</v>
      </c>
      <c r="T22" s="59">
        <f t="shared" si="34"/>
        <v>299.0473530693472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45.79084160638493</v>
      </c>
      <c r="AJ22" s="13">
        <f>AI22*VLOOKUP('Données projet'!$B$10,Paramètres!$A$1:$I$89,3,0)*VLOOKUP('Données projet'!$B$10,Paramètres!$A$1:$I$89,5,0)</f>
        <v>39.28854209827827</v>
      </c>
      <c r="AK22" s="13">
        <f t="shared" si="35"/>
        <v>11.809878402817876</v>
      </c>
      <c r="AL22" s="20">
        <f t="shared" si="4"/>
        <v>88.99641570607578</v>
      </c>
      <c r="AM22" s="59">
        <f t="shared" si="5"/>
        <v>303.14850994909932</v>
      </c>
      <c r="AN22" s="59">
        <f ca="1">AVERAGE(OFFSET($AM$3,0,0,'Données projet'!$E$10+1,1))-AVERAGE(OFFSET($H$3,0,0,'Données projet'!$E$10+1,1))</f>
        <v>569.97793593332699</v>
      </c>
      <c r="AO22" s="59">
        <f t="shared" si="36"/>
        <v>331.25104323342907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3.9732905982905979</v>
      </c>
      <c r="BD22" s="12">
        <f>IF('Données projet'!$A$88&gt;35,BD21+BC22-BL21,IF(A22&lt;'Données projet'!$A$88,$BA$205^A22,IF(A22='Données projet'!$A$88,'Données projet'!$B$88,BD21+BC22-BL21)))</f>
        <v>20.652470163662738</v>
      </c>
      <c r="BE22" s="13">
        <f>BD22*VLOOKUP('Données projet'!$B$11,Paramètres!$A$1:$I$89,3,0)*VLOOKUP('Données projet'!$B$11,Paramètres!$A$1:$I$89,5,0)</f>
        <v>17.397640865869491</v>
      </c>
      <c r="BF22" s="13">
        <f t="shared" si="37"/>
        <v>5.7497551164956144</v>
      </c>
      <c r="BG22" s="20">
        <f t="shared" si="7"/>
        <v>40.315048002619221</v>
      </c>
      <c r="BH22" s="59">
        <f t="shared" si="8"/>
        <v>254.46714224564275</v>
      </c>
      <c r="BI22" s="59">
        <f ca="1">AVERAGE(OFFSET($BH$3,0,0,'Données projet'!$E$11+1,1))-AVERAGE(OFFSET($H$3,0,0,'Données projet'!$E$11+1,1))</f>
        <v>458.88102603650725</v>
      </c>
      <c r="BJ22" s="59">
        <f t="shared" si="38"/>
        <v>277.79020316059552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78.452399999999997</v>
      </c>
      <c r="CA22" s="13">
        <f t="shared" si="39"/>
        <v>21.75835875604599</v>
      </c>
      <c r="CB22" s="20">
        <f t="shared" si="10"/>
        <v>174.53373816678013</v>
      </c>
      <c r="CC22" s="59">
        <f t="shared" si="11"/>
        <v>388.68583240980365</v>
      </c>
      <c r="CD22" s="59">
        <f ca="1">AVERAGE(OFFSET($CC$3,0,0,'Données projet'!$E$12+1,1))-AVERAGE(OFFSET($H$3,0,0,'Données projet'!$E$12+1,1))</f>
        <v>400.48995908576177</v>
      </c>
      <c r="CE22" s="59">
        <f t="shared" si="40"/>
        <v>384.86917865380076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19.166666666666668</v>
      </c>
      <c r="CT22" s="12">
        <f>IF('Données projet'!$A$140&gt;35,CT21+CS22-DB21,IF(A22&lt;'Données projet'!$A$140,$CQ$205^A22,IF(A22='Données projet'!$A$140,'Données projet'!$B$140,CT21+CS22-DB21)))</f>
        <v>143.16666666666671</v>
      </c>
      <c r="CU22" s="17">
        <f>CT22*VLOOKUP('Données projet'!$B$13,Paramètres!$A$1:$I$89,3,0)*VLOOKUP('Données projet'!$B$13,Paramètres!$A$1:$I$89,5,0)</f>
        <v>78.169000000000025</v>
      </c>
      <c r="CV22" s="13">
        <f t="shared" si="41"/>
        <v>21.688893622970639</v>
      </c>
      <c r="CW22" s="20">
        <f t="shared" si="13"/>
        <v>173.9191647266739</v>
      </c>
      <c r="CX22" s="59">
        <f t="shared" si="14"/>
        <v>388.0712589696974</v>
      </c>
      <c r="CY22" s="59">
        <f ca="1">AVERAGE(OFFSET($CX$3,0,0,'Données projet'!$E$13+1,1))-AVERAGE(OFFSET($H$3,0,0,'Données projet'!$E$13+1,1))</f>
        <v>215.37314197175104</v>
      </c>
      <c r="CZ22" s="59">
        <f t="shared" si="42"/>
        <v>361.17630426655978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43.892350407947809</v>
      </c>
      <c r="DH22" s="21">
        <f>EXP(-LN(2)/2)*DH21+(1-EXP(-LN(2)/2))/(LN(2)/2)*DB22*DE22*VLOOKUP('Données projet'!$B$13,Paramètres!$A$1:$I$89,3,0)*0.475*44/12</f>
        <v>1.1474730433971687</v>
      </c>
      <c r="DI22" s="22">
        <f t="shared" si="15"/>
        <v>45.039823451344979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267.69585776850914</v>
      </c>
      <c r="S23" s="59">
        <f ca="1">AVERAGE(OFFSET($R$3,0,0,'Données projet'!$E$9+1,1))-AVERAGE(OFFSET($H$3,0,0,'Données projet'!$E$9+1,1))</f>
        <v>567.42635821336114</v>
      </c>
      <c r="T23" s="59">
        <f t="shared" si="34"/>
        <v>299.0473530693472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56</v>
      </c>
      <c r="AG23" s="12">
        <f>VLOOKUP(A23,'Données projet'!$A$61:$I$81,9,0)</f>
        <v>2.8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56</v>
      </c>
      <c r="AJ23" s="13">
        <f>AI23*VLOOKUP('Données projet'!$B$10,Paramètres!$A$1:$I$89,3,0)*VLOOKUP('Données projet'!$B$10,Paramètres!$A$1:$I$89,5,0)</f>
        <v>48.048000000000009</v>
      </c>
      <c r="AK23" s="13">
        <f t="shared" si="35"/>
        <v>14.108484750160622</v>
      </c>
      <c r="AL23" s="20">
        <f t="shared" si="4"/>
        <v>108.25587760652975</v>
      </c>
      <c r="AM23" s="59">
        <f t="shared" si="5"/>
        <v>324.77058049342548</v>
      </c>
      <c r="AN23" s="59">
        <f ca="1">AVERAGE(OFFSET($AM$3,0,0,'Données projet'!$E$10+1,1))-AVERAGE(OFFSET($H$3,0,0,'Données projet'!$E$10+1,1))</f>
        <v>569.97793593332699</v>
      </c>
      <c r="AO23" s="59">
        <f t="shared" si="36"/>
        <v>331.25104323342907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3.9732905982905979</v>
      </c>
      <c r="BD23" s="12">
        <f>IF('Données projet'!$A$88&gt;35,BD22+BC23-BL22,IF(A23&lt;'Données projet'!$A$88,$BA$205^A23,IF(A23='Données projet'!$A$88,'Données projet'!$B$88,BD22+BC23-BL22)))</f>
        <v>24.220385777976311</v>
      </c>
      <c r="BE23" s="13">
        <f>BD23*VLOOKUP('Données projet'!$B$11,Paramètres!$A$1:$I$89,3,0)*VLOOKUP('Données projet'!$B$11,Paramètres!$A$1:$I$89,5,0)</f>
        <v>20.403252979367245</v>
      </c>
      <c r="BF23" s="13">
        <f t="shared" si="37"/>
        <v>6.6191537259229927</v>
      </c>
      <c r="BG23" s="20">
        <f t="shared" si="7"/>
        <v>47.064025011713824</v>
      </c>
      <c r="BH23" s="59">
        <f t="shared" si="8"/>
        <v>263.57872789860954</v>
      </c>
      <c r="BI23" s="59">
        <f ca="1">AVERAGE(OFFSET($BH$3,0,0,'Données projet'!$E$11+1,1))-AVERAGE(OFFSET($H$3,0,0,'Données projet'!$E$11+1,1))</f>
        <v>458.88102603650725</v>
      </c>
      <c r="BJ23" s="59">
        <f t="shared" si="38"/>
        <v>277.79020316059552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90.183599999999998</v>
      </c>
      <c r="CA23" s="13">
        <f t="shared" si="39"/>
        <v>24.609499639553789</v>
      </c>
      <c r="CB23" s="20">
        <f t="shared" si="10"/>
        <v>199.93131520555619</v>
      </c>
      <c r="CC23" s="59">
        <f t="shared" si="11"/>
        <v>416.44601809245194</v>
      </c>
      <c r="CD23" s="59">
        <f ca="1">AVERAGE(OFFSET($CC$3,0,0,'Données projet'!$E$12+1,1))-AVERAGE(OFFSET($H$3,0,0,'Données projet'!$E$12+1,1))</f>
        <v>400.48995908576177</v>
      </c>
      <c r="CE23" s="59">
        <f t="shared" si="40"/>
        <v>384.86917865380076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19.166666666666668</v>
      </c>
      <c r="CT23" s="12">
        <f>IF('Données projet'!$A$140&gt;35,CT22+CS23-DB22,IF(A23&lt;'Données projet'!$A$140,$CQ$205^A23,IF(A23='Données projet'!$A$140,'Données projet'!$B$140,CT22+CS23-DB22)))</f>
        <v>162.33333333333337</v>
      </c>
      <c r="CU23" s="17">
        <f>CT23*VLOOKUP('Données projet'!$B$13,Paramètres!$A$1:$I$89,3,0)*VLOOKUP('Données projet'!$B$13,Paramètres!$A$1:$I$89,5,0)</f>
        <v>88.634000000000015</v>
      </c>
      <c r="CV23" s="13">
        <f t="shared" si="41"/>
        <v>24.235486014796273</v>
      </c>
      <c r="CW23" s="20">
        <f t="shared" si="13"/>
        <v>196.58102147577017</v>
      </c>
      <c r="CX23" s="59">
        <f t="shared" si="14"/>
        <v>413.09572436266592</v>
      </c>
      <c r="CY23" s="59">
        <f ca="1">AVERAGE(OFFSET($CX$3,0,0,'Données projet'!$E$13+1,1))-AVERAGE(OFFSET($H$3,0,0,'Données projet'!$E$13+1,1))</f>
        <v>215.37314197175104</v>
      </c>
      <c r="CZ23" s="59">
        <f t="shared" si="42"/>
        <v>361.17630426655978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42.692111777844083</v>
      </c>
      <c r="DH23" s="21">
        <f>EXP(-LN(2)/2)*DH22+(1-EXP(-LN(2)/2))/(LN(2)/2)*DB23*DE23*VLOOKUP('Données projet'!$B$13,Paramètres!$A$1:$I$89,3,0)*0.475*44/12</f>
        <v>0.81138597021490355</v>
      </c>
      <c r="DI23" s="22">
        <f t="shared" si="15"/>
        <v>43.50349774805899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278.65571866132592</v>
      </c>
      <c r="S24" s="59">
        <f ca="1">AVERAGE(OFFSET($R$3,0,0,'Données projet'!$E$9+1,1))-AVERAGE(OFFSET($H$3,0,0,'Données projet'!$E$9+1,1))</f>
        <v>567.42635821336114</v>
      </c>
      <c r="T24" s="59">
        <f t="shared" si="34"/>
        <v>299.0473530693472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67</v>
      </c>
      <c r="AJ24" s="13">
        <f>AI24*VLOOKUP('Données projet'!$B$10,Paramètres!$A$1:$I$89,3,0)*VLOOKUP('Données projet'!$B$10,Paramètres!$A$1:$I$89,5,0)</f>
        <v>57.486000000000004</v>
      </c>
      <c r="AK24" s="13">
        <f t="shared" si="35"/>
        <v>16.531076211754396</v>
      </c>
      <c r="AL24" s="20">
        <f t="shared" si="4"/>
        <v>128.9130744021389</v>
      </c>
      <c r="AM24" s="59">
        <f t="shared" si="5"/>
        <v>347.77060277801331</v>
      </c>
      <c r="AN24" s="59">
        <f ca="1">AVERAGE(OFFSET($AM$3,0,0,'Données projet'!$E$10+1,1))-AVERAGE(OFFSET($H$3,0,0,'Données projet'!$E$10+1,1))</f>
        <v>569.97793593332699</v>
      </c>
      <c r="AO24" s="59">
        <f t="shared" si="36"/>
        <v>331.25104323342907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3.9732905982905979</v>
      </c>
      <c r="BD24" s="12">
        <f>IF('Données projet'!$A$88&gt;35,BD23+BC24-BL23,IF(A24&lt;'Données projet'!$A$88,$BA$205^A24,IF(A24='Données projet'!$A$88,'Données projet'!$B$88,BD23+BC24-BL23)))</f>
        <v>28.404693607360635</v>
      </c>
      <c r="BE24" s="13">
        <f>BD24*VLOOKUP('Données projet'!$B$11,Paramètres!$A$1:$I$89,3,0)*VLOOKUP('Données projet'!$B$11,Paramètres!$A$1:$I$89,5,0)</f>
        <v>23.9281138948406</v>
      </c>
      <c r="BF24" s="13">
        <f t="shared" si="37"/>
        <v>7.6200107934516144</v>
      </c>
      <c r="BG24" s="20">
        <f t="shared" si="7"/>
        <v>54.946317165442274</v>
      </c>
      <c r="BH24" s="59">
        <f t="shared" si="8"/>
        <v>273.80384554131666</v>
      </c>
      <c r="BI24" s="59">
        <f ca="1">AVERAGE(OFFSET($BH$3,0,0,'Données projet'!$E$11+1,1))-AVERAGE(OFFSET($H$3,0,0,'Données projet'!$E$11+1,1))</f>
        <v>458.88102603650725</v>
      </c>
      <c r="BJ24" s="59">
        <f t="shared" si="38"/>
        <v>277.79020316059552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71.706960000000009</v>
      </c>
      <c r="CA24" s="13">
        <f t="shared" si="39"/>
        <v>20.096759687088312</v>
      </c>
      <c r="CB24" s="20">
        <f t="shared" si="10"/>
        <v>159.89147845501216</v>
      </c>
      <c r="CC24" s="59">
        <f t="shared" si="11"/>
        <v>378.74900683088651</v>
      </c>
      <c r="CD24" s="59">
        <f ca="1">AVERAGE(OFFSET($CC$3,0,0,'Données projet'!$E$12+1,1))-AVERAGE(OFFSET($H$3,0,0,'Données projet'!$E$12+1,1))</f>
        <v>400.48995908576177</v>
      </c>
      <c r="CE24" s="59">
        <f t="shared" si="40"/>
        <v>384.86917865380076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19.166666666666668</v>
      </c>
      <c r="CT24" s="12">
        <f>IF('Données projet'!$A$140&gt;35,CT23+CS24-DB23,IF(A24&lt;'Données projet'!$A$140,$CQ$205^A24,IF(A24='Données projet'!$A$140,'Données projet'!$B$140,CT23+CS24-DB23)))</f>
        <v>181.50000000000003</v>
      </c>
      <c r="CU24" s="17">
        <f>CT24*VLOOKUP('Données projet'!$B$13,Paramètres!$A$1:$I$89,3,0)*VLOOKUP('Données projet'!$B$13,Paramètres!$A$1:$I$89,5,0)</f>
        <v>99.099000000000004</v>
      </c>
      <c r="CV24" s="13">
        <f t="shared" si="41"/>
        <v>26.747233784597075</v>
      </c>
      <c r="CW24" s="20">
        <f t="shared" si="13"/>
        <v>219.18219050817322</v>
      </c>
      <c r="CX24" s="59">
        <f t="shared" si="14"/>
        <v>438.0397188840476</v>
      </c>
      <c r="CY24" s="59">
        <f ca="1">AVERAGE(OFFSET($CX$3,0,0,'Données projet'!$E$13+1,1))-AVERAGE(OFFSET($H$3,0,0,'Données projet'!$E$13+1,1))</f>
        <v>215.37314197175104</v>
      </c>
      <c r="CZ24" s="59">
        <f t="shared" si="42"/>
        <v>361.17630426655978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41.524693736198351</v>
      </c>
      <c r="DH24" s="21">
        <f>EXP(-LN(2)/2)*DH23+(1-EXP(-LN(2)/2))/(LN(2)/2)*DB24*DE24*VLOOKUP('Données projet'!$B$13,Paramètres!$A$1:$I$89,3,0)*0.475*44/12</f>
        <v>0.57373652169858436</v>
      </c>
      <c r="DI24" s="22">
        <f t="shared" si="15"/>
        <v>42.098430257896936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291.05135529127796</v>
      </c>
      <c r="S25" s="59">
        <f ca="1">AVERAGE(OFFSET($R$3,0,0,'Données projet'!$E$9+1,1))-AVERAGE(OFFSET($H$3,0,0,'Données projet'!$E$9+1,1))</f>
        <v>567.42635821336114</v>
      </c>
      <c r="T25" s="59">
        <f t="shared" si="34"/>
        <v>299.0473530693472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78</v>
      </c>
      <c r="AJ25" s="13">
        <f>AI25*VLOOKUP('Données projet'!$B$10,Paramètres!$A$1:$I$89,3,0)*VLOOKUP('Données projet'!$B$10,Paramètres!$A$1:$I$89,5,0)</f>
        <v>66.924000000000007</v>
      </c>
      <c r="AK25" s="13">
        <f t="shared" si="35"/>
        <v>18.90759204786767</v>
      </c>
      <c r="AL25" s="20">
        <f t="shared" si="4"/>
        <v>149.49002281670286</v>
      </c>
      <c r="AM25" s="59">
        <f t="shared" si="5"/>
        <v>370.67093672017126</v>
      </c>
      <c r="AN25" s="59">
        <f ca="1">AVERAGE(OFFSET($AM$3,0,0,'Données projet'!$E$10+1,1))-AVERAGE(OFFSET($H$3,0,0,'Données projet'!$E$10+1,1))</f>
        <v>569.97793593332699</v>
      </c>
      <c r="AO25" s="59">
        <f t="shared" si="36"/>
        <v>331.25104323342907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3.9732905982905979</v>
      </c>
      <c r="BD25" s="12">
        <f>IF('Données projet'!$A$88&gt;35,BD24+BC25-BL24,IF(A25&lt;'Données projet'!$A$88,$BA$205^A25,IF(A25='Données projet'!$A$88,'Données projet'!$B$88,BD24+BC25-BL24)))</f>
        <v>33.311881417747053</v>
      </c>
      <c r="BE25" s="13">
        <f>BD25*VLOOKUP('Données projet'!$B$11,Paramètres!$A$1:$I$89,3,0)*VLOOKUP('Données projet'!$B$11,Paramètres!$A$1:$I$89,5,0)</f>
        <v>28.061928906310122</v>
      </c>
      <c r="BF25" s="13">
        <f t="shared" si="37"/>
        <v>8.77220365269919</v>
      </c>
      <c r="BG25" s="20">
        <f t="shared" si="7"/>
        <v>64.152780873607881</v>
      </c>
      <c r="BH25" s="59">
        <f t="shared" si="8"/>
        <v>285.33369477707629</v>
      </c>
      <c r="BI25" s="59">
        <f ca="1">AVERAGE(OFFSET($BH$3,0,0,'Données projet'!$E$11+1,1))-AVERAGE(OFFSET($H$3,0,0,'Données projet'!$E$11+1,1))</f>
        <v>458.88102603650725</v>
      </c>
      <c r="BJ25" s="59">
        <f t="shared" si="38"/>
        <v>277.79020316059552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84.024720000000002</v>
      </c>
      <c r="CA25" s="13">
        <f t="shared" si="39"/>
        <v>23.11842031654454</v>
      </c>
      <c r="CB25" s="20">
        <f t="shared" si="10"/>
        <v>186.6076360513151</v>
      </c>
      <c r="CC25" s="59">
        <f t="shared" si="11"/>
        <v>407.78854995478349</v>
      </c>
      <c r="CD25" s="59">
        <f ca="1">AVERAGE(OFFSET($CC$3,0,0,'Données projet'!$E$12+1,1))-AVERAGE(OFFSET($H$3,0,0,'Données projet'!$E$12+1,1))</f>
        <v>400.48995908576177</v>
      </c>
      <c r="CE25" s="59">
        <f t="shared" si="40"/>
        <v>384.86917865380076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19.166666666666668</v>
      </c>
      <c r="CT25" s="12">
        <f>IF('Données projet'!$A$140&gt;35,CT24+CS25-DB24,IF(A25&lt;'Données projet'!$A$140,$CQ$205^A25,IF(A25='Données projet'!$A$140,'Données projet'!$B$140,CT24+CS25-DB24)))</f>
        <v>200.66666666666669</v>
      </c>
      <c r="CU25" s="17">
        <f>CT25*VLOOKUP('Données projet'!$B$13,Paramètres!$A$1:$I$89,3,0)*VLOOKUP('Données projet'!$B$13,Paramètres!$A$1:$I$89,5,0)</f>
        <v>109.56400000000001</v>
      </c>
      <c r="CV25" s="13">
        <f t="shared" si="41"/>
        <v>29.228235839881371</v>
      </c>
      <c r="CW25" s="20">
        <f t="shared" si="13"/>
        <v>241.72981075446003</v>
      </c>
      <c r="CX25" s="59">
        <f t="shared" si="14"/>
        <v>462.91072465792843</v>
      </c>
      <c r="CY25" s="59">
        <f ca="1">AVERAGE(OFFSET($CX$3,0,0,'Données projet'!$E$13+1,1))-AVERAGE(OFFSET($H$3,0,0,'Données projet'!$E$13+1,1))</f>
        <v>215.37314197175104</v>
      </c>
      <c r="CZ25" s="59">
        <f t="shared" si="42"/>
        <v>361.17630426655978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40.389198802293272</v>
      </c>
      <c r="DH25" s="21">
        <f>EXP(-LN(2)/2)*DH24+(1-EXP(-LN(2)/2))/(LN(2)/2)*DB25*DE25*VLOOKUP('Données projet'!$B$13,Paramètres!$A$1:$I$89,3,0)*0.475*44/12</f>
        <v>0.40569298510745178</v>
      </c>
      <c r="DI25" s="22">
        <f t="shared" si="15"/>
        <v>40.794891787400722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305.12954978125185</v>
      </c>
      <c r="S26" s="59">
        <f ca="1">AVERAGE(OFFSET($R$3,0,0,'Données projet'!$E$9+1,1))-AVERAGE(OFFSET($H$3,0,0,'Données projet'!$E$9+1,1))</f>
        <v>567.42635821336114</v>
      </c>
      <c r="T26" s="59">
        <f t="shared" si="34"/>
        <v>299.0473530693472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89</v>
      </c>
      <c r="AJ26" s="13">
        <f>AI26*VLOOKUP('Données projet'!$B$10,Paramètres!$A$1:$I$89,3,0)*VLOOKUP('Données projet'!$B$10,Paramètres!$A$1:$I$89,5,0)</f>
        <v>76.362000000000009</v>
      </c>
      <c r="AK26" s="13">
        <f t="shared" si="35"/>
        <v>21.245279172340783</v>
      </c>
      <c r="AL26" s="20">
        <f t="shared" si="4"/>
        <v>169.99934455849356</v>
      </c>
      <c r="AM26" s="59">
        <f t="shared" si="5"/>
        <v>393.48454126804006</v>
      </c>
      <c r="AN26" s="59">
        <f ca="1">AVERAGE(OFFSET($AM$3,0,0,'Données projet'!$E$10+1,1))-AVERAGE(OFFSET($H$3,0,0,'Données projet'!$E$10+1,1))</f>
        <v>569.97793593332699</v>
      </c>
      <c r="AO26" s="59">
        <f t="shared" si="36"/>
        <v>331.25104323342907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3.9732905982905979</v>
      </c>
      <c r="BD26" s="12">
        <f>IF('Données projet'!$A$88&gt;35,BD25+BC26-BL25,IF(A26&lt;'Données projet'!$A$88,$BA$205^A26,IF(A26='Données projet'!$A$88,'Données projet'!$B$88,BD25+BC26-BL25)))</f>
        <v>39.066833775052054</v>
      </c>
      <c r="BE26" s="13">
        <f>BD26*VLOOKUP('Données projet'!$B$11,Paramètres!$A$1:$I$89,3,0)*VLOOKUP('Données projet'!$B$11,Paramètres!$A$1:$I$89,5,0)</f>
        <v>32.909900772103853</v>
      </c>
      <c r="BF26" s="13">
        <f t="shared" si="37"/>
        <v>10.098615213322089</v>
      </c>
      <c r="BG26" s="20">
        <f t="shared" si="7"/>
        <v>74.906498674616856</v>
      </c>
      <c r="BH26" s="59">
        <f t="shared" si="8"/>
        <v>298.39169538416337</v>
      </c>
      <c r="BI26" s="59">
        <f ca="1">AVERAGE(OFFSET($BH$3,0,0,'Données projet'!$E$11+1,1))-AVERAGE(OFFSET($H$3,0,0,'Données projet'!$E$11+1,1))</f>
        <v>458.88102603650725</v>
      </c>
      <c r="BJ26" s="59">
        <f t="shared" si="38"/>
        <v>277.79020316059552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96.342480000000009</v>
      </c>
      <c r="CA26" s="13">
        <f t="shared" si="39"/>
        <v>26.088763268244669</v>
      </c>
      <c r="CB26" s="20">
        <f t="shared" si="10"/>
        <v>213.23441535885948</v>
      </c>
      <c r="CC26" s="59">
        <f t="shared" si="11"/>
        <v>436.71961206840598</v>
      </c>
      <c r="CD26" s="59">
        <f ca="1">AVERAGE(OFFSET($CC$3,0,0,'Données projet'!$E$12+1,1))-AVERAGE(OFFSET($H$3,0,0,'Données projet'!$E$12+1,1))</f>
        <v>400.48995908576177</v>
      </c>
      <c r="CE26" s="59">
        <f t="shared" si="40"/>
        <v>384.86917865380076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19.166666666666668</v>
      </c>
      <c r="CT26" s="12">
        <f>IF('Données projet'!$A$140&gt;35,CT25+CS26-DB25,IF(A26&lt;'Données projet'!$A$140,$CQ$205^A26,IF(A26='Données projet'!$A$140,'Données projet'!$B$140,CT25+CS26-DB25)))</f>
        <v>219.83333333333334</v>
      </c>
      <c r="CU26" s="17">
        <f>CT26*VLOOKUP('Données projet'!$B$13,Paramètres!$A$1:$I$89,3,0)*VLOOKUP('Données projet'!$B$13,Paramètres!$A$1:$I$89,5,0)</f>
        <v>120.029</v>
      </c>
      <c r="CV26" s="13">
        <f t="shared" si="41"/>
        <v>31.68176297276506</v>
      </c>
      <c r="CW26" s="20">
        <f t="shared" si="13"/>
        <v>264.22957884423249</v>
      </c>
      <c r="CX26" s="59">
        <f t="shared" si="14"/>
        <v>487.71477555377896</v>
      </c>
      <c r="CY26" s="59">
        <f ca="1">AVERAGE(OFFSET($CX$3,0,0,'Données projet'!$E$13+1,1))-AVERAGE(OFFSET($H$3,0,0,'Données projet'!$E$13+1,1))</f>
        <v>215.37314197175104</v>
      </c>
      <c r="CZ26" s="59">
        <f t="shared" si="42"/>
        <v>361.17630426655978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39.284754037068907</v>
      </c>
      <c r="DH26" s="21">
        <f>EXP(-LN(2)/2)*DH25+(1-EXP(-LN(2)/2))/(LN(2)/2)*DB26*DE26*VLOOKUP('Données projet'!$B$13,Paramètres!$A$1:$I$89,3,0)*0.475*44/12</f>
        <v>0.28686826084929218</v>
      </c>
      <c r="DI26" s="22">
        <f t="shared" si="15"/>
        <v>39.571622297918196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321.17892281340664</v>
      </c>
      <c r="S27" s="59">
        <f ca="1">AVERAGE(OFFSET($R$3,0,0,'Données projet'!$E$9+1,1))-AVERAGE(OFFSET($H$3,0,0,'Données projet'!$E$9+1,1))</f>
        <v>567.42635821336114</v>
      </c>
      <c r="T27" s="59">
        <f t="shared" si="34"/>
        <v>299.0473530693472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100</v>
      </c>
      <c r="AJ27" s="13">
        <f>AI27*VLOOKUP('Données projet'!$B$10,Paramètres!$A$1:$I$89,3,0)*VLOOKUP('Données projet'!$B$10,Paramètres!$A$1:$I$89,5,0)</f>
        <v>85.800000000000011</v>
      </c>
      <c r="AK27" s="13">
        <f t="shared" si="35"/>
        <v>23.549485995669766</v>
      </c>
      <c r="AL27" s="20">
        <f t="shared" si="4"/>
        <v>190.45035477579154</v>
      </c>
      <c r="AM27" s="59">
        <f t="shared" si="5"/>
        <v>416.22106295941137</v>
      </c>
      <c r="AN27" s="59">
        <f ca="1">AVERAGE(OFFSET($AM$3,0,0,'Données projet'!$E$10+1,1))-AVERAGE(OFFSET($H$3,0,0,'Données projet'!$E$10+1,1))</f>
        <v>569.97793593332699</v>
      </c>
      <c r="AO27" s="59">
        <f t="shared" si="36"/>
        <v>331.25104323342907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3.9732905982905979</v>
      </c>
      <c r="BD27" s="12">
        <f>IF('Données projet'!$A$88&gt;35,BD26+BC27-BL26,IF(A27&lt;'Données projet'!$A$88,$BA$205^A27,IF(A27='Données projet'!$A$88,'Données projet'!$B$88,BD26+BC27-BL26)))</f>
        <v>45.81601027177193</v>
      </c>
      <c r="BE27" s="13">
        <f>BD27*VLOOKUP('Données projet'!$B$11,Paramètres!$A$1:$I$89,3,0)*VLOOKUP('Données projet'!$B$11,Paramètres!$A$1:$I$89,5,0)</f>
        <v>38.595407052940679</v>
      </c>
      <c r="BF27" s="13">
        <f t="shared" si="37"/>
        <v>11.625588422740357</v>
      </c>
      <c r="BG27" s="20">
        <f t="shared" si="7"/>
        <v>87.46823378681114</v>
      </c>
      <c r="BH27" s="59">
        <f t="shared" si="8"/>
        <v>313.23894197043091</v>
      </c>
      <c r="BI27" s="59">
        <f ca="1">AVERAGE(OFFSET($BH$3,0,0,'Données projet'!$E$11+1,1))-AVERAGE(OFFSET($H$3,0,0,'Données projet'!$E$11+1,1))</f>
        <v>458.88102603650725</v>
      </c>
      <c r="BJ27" s="59">
        <f t="shared" si="38"/>
        <v>277.79020316059552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108.66024000000002</v>
      </c>
      <c r="CA27" s="13">
        <f t="shared" si="39"/>
        <v>29.015101890437414</v>
      </c>
      <c r="CB27" s="20">
        <f t="shared" si="10"/>
        <v>239.78455379251184</v>
      </c>
      <c r="CC27" s="59">
        <f t="shared" si="11"/>
        <v>465.55526197613165</v>
      </c>
      <c r="CD27" s="59">
        <f ca="1">AVERAGE(OFFSET($CC$3,0,0,'Données projet'!$E$12+1,1))-AVERAGE(OFFSET($H$3,0,0,'Données projet'!$E$12+1,1))</f>
        <v>400.48995908576177</v>
      </c>
      <c r="CE27" s="59">
        <f t="shared" si="40"/>
        <v>384.86917865380076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239</v>
      </c>
      <c r="CR27" s="12">
        <f>VLOOKUP(A27,'Données projet'!$A$139:$I$159,9,0)</f>
        <v>19.166666666666668</v>
      </c>
      <c r="CS27" s="12">
        <f t="array" ref="CS27">INDEX(CR:CR,MIN(IF(ISNUMBER(CR27:CR223),ROW(CR27:CR223),"")))</f>
        <v>19.166666666666668</v>
      </c>
      <c r="CT27" s="12">
        <f>IF('Données projet'!$A$140&gt;35,CT26+CS27-DB26,IF(A27&lt;'Données projet'!$A$140,$CQ$205^A27,IF(A27='Données projet'!$A$140,'Données projet'!$B$140,CT26+CS27-DB26)))</f>
        <v>239</v>
      </c>
      <c r="CU27" s="17">
        <f>CT27*VLOOKUP('Données projet'!$B$13,Paramètres!$A$1:$I$89,3,0)*VLOOKUP('Données projet'!$B$13,Paramètres!$A$1:$I$89,5,0)</f>
        <v>130.494</v>
      </c>
      <c r="CV27" s="13">
        <f t="shared" si="41"/>
        <v>34.110483018610772</v>
      </c>
      <c r="CW27" s="20">
        <f t="shared" si="13"/>
        <v>286.68614125741374</v>
      </c>
      <c r="CX27" s="59">
        <f t="shared" si="14"/>
        <v>512.45684944103357</v>
      </c>
      <c r="CY27" s="59">
        <f ca="1">AVERAGE(OFFSET($CX$3,0,0,'Données projet'!$E$13+1,1))-AVERAGE(OFFSET($H$3,0,0,'Données projet'!$E$13+1,1))</f>
        <v>215.37314197175104</v>
      </c>
      <c r="CZ27" s="59">
        <f t="shared" si="42"/>
        <v>361.17630426655978</v>
      </c>
      <c r="DA27" s="15">
        <f>IF(ISNA(VLOOKUP(A27,'Données projet'!$A$139:$I$159,3,0)),0,VLOOKUP(A27,'Données projet'!$A$139:$I$159,3,0))</f>
        <v>4</v>
      </c>
      <c r="DB27" s="15">
        <f>IF(ISNA(VLOOKUP(A27,'Données projet'!$A$139:$I$159,4,0)),0,VLOOKUP(A27,'Données projet'!$A$139:$I$159,4,0))</f>
        <v>84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0.6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74.571707858558256</v>
      </c>
      <c r="DH27" s="21">
        <f>EXP(-LN(2)/2)*DH26+(1-EXP(-LN(2)/2))/(LN(2)/2)*DB27*DE27*VLOOKUP('Données projet'!$B$13,Paramètres!$A$1:$I$89,3,0)*0.475*44/12</f>
        <v>0.20284649255372589</v>
      </c>
      <c r="DI27" s="22">
        <f t="shared" si="15"/>
        <v>74.774554351111988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339.53705545259567</v>
      </c>
      <c r="S28" s="59">
        <f ca="1">AVERAGE(OFFSET($R$3,0,0,'Données projet'!$E$9+1,1))-AVERAGE(OFFSET($H$3,0,0,'Données projet'!$E$9+1,1))</f>
        <v>567.42635821336114</v>
      </c>
      <c r="T28" s="59">
        <f t="shared" si="34"/>
        <v>299.0473530693472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111</v>
      </c>
      <c r="AG28" s="12">
        <f>VLOOKUP(A28,'Données projet'!$A$61:$I$81,9,0)</f>
        <v>11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111</v>
      </c>
      <c r="AJ28" s="13">
        <f>AI28*VLOOKUP('Données projet'!$B$10,Paramètres!$A$1:$I$89,3,0)*VLOOKUP('Données projet'!$B$10,Paramètres!$A$1:$I$89,5,0)</f>
        <v>95.238000000000014</v>
      </c>
      <c r="AK28" s="13">
        <f t="shared" si="35"/>
        <v>25.824315354051141</v>
      </c>
      <c r="AL28" s="20">
        <f t="shared" si="4"/>
        <v>210.85019924163907</v>
      </c>
      <c r="AM28" s="59">
        <f t="shared" si="5"/>
        <v>438.88797320797119</v>
      </c>
      <c r="AN28" s="59">
        <f ca="1">AVERAGE(OFFSET($AM$3,0,0,'Données projet'!$E$10+1,1))-AVERAGE(OFFSET($H$3,0,0,'Données projet'!$E$10+1,1))</f>
        <v>569.97793593332699</v>
      </c>
      <c r="AO28" s="59">
        <f t="shared" si="36"/>
        <v>331.25104323342907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3.9732905982905979</v>
      </c>
      <c r="BD28" s="12">
        <f>IF('Données projet'!$A$88&gt;35,BD27+BC28-BL27,IF(A28&lt;'Données projet'!$A$88,$BA$205^A28,IF(A28='Données projet'!$A$88,'Données projet'!$B$88,BD27+BC28-BL27)))</f>
        <v>53.731172823214408</v>
      </c>
      <c r="BE28" s="13">
        <f>BD28*VLOOKUP('Données projet'!$B$11,Paramètres!$A$1:$I$89,3,0)*VLOOKUP('Données projet'!$B$11,Paramètres!$A$1:$I$89,5,0)</f>
        <v>45.263139986275824</v>
      </c>
      <c r="BF28" s="13">
        <f t="shared" si="37"/>
        <v>13.383449445292175</v>
      </c>
      <c r="BG28" s="20">
        <f t="shared" si="7"/>
        <v>102.1428099266476</v>
      </c>
      <c r="BH28" s="59">
        <f t="shared" si="8"/>
        <v>330.18058389297971</v>
      </c>
      <c r="BI28" s="59">
        <f ca="1">AVERAGE(OFFSET($BH$3,0,0,'Données projet'!$E$11+1,1))-AVERAGE(OFFSET($H$3,0,0,'Données projet'!$E$11+1,1))</f>
        <v>458.88102603650725</v>
      </c>
      <c r="BJ28" s="59">
        <f t="shared" si="38"/>
        <v>277.79020316059552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120.97800000000002</v>
      </c>
      <c r="CA28" s="13">
        <f t="shared" si="39"/>
        <v>31.902993864447531</v>
      </c>
      <c r="CB28" s="20">
        <f t="shared" si="10"/>
        <v>266.26773098057953</v>
      </c>
      <c r="CC28" s="59">
        <f t="shared" si="11"/>
        <v>494.30550494691164</v>
      </c>
      <c r="CD28" s="59">
        <f ca="1">AVERAGE(OFFSET($CC$3,0,0,'Données projet'!$E$12+1,1))-AVERAGE(OFFSET($H$3,0,0,'Données projet'!$E$12+1,1))</f>
        <v>400.48995908576177</v>
      </c>
      <c r="CE28" s="59">
        <f t="shared" si="40"/>
        <v>384.86917865380076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16.666666666666668</v>
      </c>
      <c r="CT28" s="12">
        <f>IF('Données projet'!$A$140&gt;35,CT27+CS28-DB27,IF(A28&lt;'Données projet'!$A$140,$CQ$205^A28,IF(A28='Données projet'!$A$140,'Données projet'!$B$140,CT27+CS28-DB27)))</f>
        <v>171.66666666666666</v>
      </c>
      <c r="CU28" s="17">
        <f>CT28*VLOOKUP('Données projet'!$B$13,Paramètres!$A$1:$I$89,3,0)*VLOOKUP('Données projet'!$B$13,Paramètres!$A$1:$I$89,5,0)</f>
        <v>93.72999999999999</v>
      </c>
      <c r="CV28" s="13">
        <f t="shared" si="41"/>
        <v>25.462674063925309</v>
      </c>
      <c r="CW28" s="20">
        <f t="shared" si="13"/>
        <v>207.59390732800321</v>
      </c>
      <c r="CX28" s="59">
        <f t="shared" si="14"/>
        <v>435.63168129433529</v>
      </c>
      <c r="CY28" s="59">
        <f ca="1">AVERAGE(OFFSET($CX$3,0,0,'Données projet'!$E$13+1,1))-AVERAGE(OFFSET($H$3,0,0,'Données projet'!$E$13+1,1))</f>
        <v>215.37314197175104</v>
      </c>
      <c r="CZ28" s="59">
        <f t="shared" si="42"/>
        <v>361.17630426655978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72.532540585610306</v>
      </c>
      <c r="DH28" s="21">
        <f>EXP(-LN(2)/2)*DH27+(1-EXP(-LN(2)/2))/(LN(2)/2)*DB28*DE28*VLOOKUP('Données projet'!$B$13,Paramètres!$A$1:$I$89,3,0)*0.475*44/12</f>
        <v>0.14343413042464609</v>
      </c>
      <c r="DI28" s="22">
        <f t="shared" si="15"/>
        <v>72.675974716034958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360.59882567306897</v>
      </c>
      <c r="S29" s="59">
        <f ca="1">AVERAGE(OFFSET($R$3,0,0,'Données projet'!$E$9+1,1))-AVERAGE(OFFSET($H$3,0,0,'Données projet'!$E$9+1,1))</f>
        <v>567.42635821336114</v>
      </c>
      <c r="T29" s="59">
        <f t="shared" si="34"/>
        <v>299.0473530693472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97.2</v>
      </c>
      <c r="AJ29" s="13">
        <f>AI29*VLOOKUP('Données projet'!$B$10,Paramètres!$A$1:$I$89,3,0)*VLOOKUP('Données projet'!$B$10,Paramètres!$A$1:$I$89,5,0)</f>
        <v>83.397600000000011</v>
      </c>
      <c r="AK29" s="13">
        <f t="shared" si="35"/>
        <v>22.965893371329315</v>
      </c>
      <c r="AL29" s="20">
        <f t="shared" si="4"/>
        <v>185.24975095506522</v>
      </c>
      <c r="AM29" s="59">
        <f t="shared" si="5"/>
        <v>415.53646500425543</v>
      </c>
      <c r="AN29" s="59">
        <f ca="1">AVERAGE(OFFSET($AM$3,0,0,'Données projet'!$E$10+1,1))-AVERAGE(OFFSET($H$3,0,0,'Données projet'!$E$10+1,1))</f>
        <v>569.97793593332699</v>
      </c>
      <c r="AO29" s="59">
        <f t="shared" si="36"/>
        <v>331.25104323342907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3.9732905982905979</v>
      </c>
      <c r="BD29" s="12">
        <f>IF('Données projet'!$A$88&gt;35,BD28+BC29-BL28,IF(A29&lt;'Données projet'!$A$88,$BA$205^A29,IF(A29='Données projet'!$A$88,'Données projet'!$B$88,BD28+BC29-BL28)))</f>
        <v>63.013756890501014</v>
      </c>
      <c r="BE29" s="13">
        <f>BD29*VLOOKUP('Données projet'!$B$11,Paramètres!$A$1:$I$89,3,0)*VLOOKUP('Données projet'!$B$11,Paramètres!$A$1:$I$89,5,0)</f>
        <v>53.082788804558064</v>
      </c>
      <c r="BF29" s="13">
        <f t="shared" si="37"/>
        <v>15.407109949319045</v>
      </c>
      <c r="BG29" s="20">
        <f t="shared" si="7"/>
        <v>119.28657366300263</v>
      </c>
      <c r="BH29" s="59">
        <f t="shared" si="8"/>
        <v>349.57328771219284</v>
      </c>
      <c r="BI29" s="59">
        <f ca="1">AVERAGE(OFFSET($BH$3,0,0,'Données projet'!$E$11+1,1))-AVERAGE(OFFSET($H$3,0,0,'Données projet'!$E$11+1,1))</f>
        <v>458.88102603650725</v>
      </c>
      <c r="BJ29" s="59">
        <f t="shared" si="38"/>
        <v>277.79020316059552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102.20808000000002</v>
      </c>
      <c r="CA29" s="13">
        <f t="shared" si="39"/>
        <v>27.487371629246301</v>
      </c>
      <c r="CB29" s="20">
        <f t="shared" si="10"/>
        <v>225.88624492093732</v>
      </c>
      <c r="CC29" s="59">
        <f t="shared" si="11"/>
        <v>456.17295897012752</v>
      </c>
      <c r="CD29" s="59">
        <f ca="1">AVERAGE(OFFSET($CC$3,0,0,'Données projet'!$E$12+1,1))-AVERAGE(OFFSET($H$3,0,0,'Données projet'!$E$12+1,1))</f>
        <v>400.48995908576177</v>
      </c>
      <c r="CE29" s="59">
        <f t="shared" si="40"/>
        <v>384.86917865380076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16.666666666666668</v>
      </c>
      <c r="CT29" s="12">
        <f>IF('Données projet'!$A$140&gt;35,CT28+CS29-DB28,IF(A29&lt;'Données projet'!$A$140,$CQ$205^A29,IF(A29='Données projet'!$A$140,'Données projet'!$B$140,CT28+CS29-DB28)))</f>
        <v>188.33333333333331</v>
      </c>
      <c r="CU29" s="17">
        <f>CT29*VLOOKUP('Données projet'!$B$13,Paramètres!$A$1:$I$89,3,0)*VLOOKUP('Données projet'!$B$13,Paramètres!$A$1:$I$89,5,0)</f>
        <v>102.83</v>
      </c>
      <c r="CV29" s="13">
        <f t="shared" si="41"/>
        <v>27.635107084401234</v>
      </c>
      <c r="CW29" s="20">
        <f t="shared" si="13"/>
        <v>227.22672817199881</v>
      </c>
      <c r="CX29" s="59">
        <f t="shared" si="14"/>
        <v>457.513442221189</v>
      </c>
      <c r="CY29" s="59">
        <f ca="1">AVERAGE(OFFSET($CX$3,0,0,'Données projet'!$E$13+1,1))-AVERAGE(OFFSET($H$3,0,0,'Données projet'!$E$13+1,1))</f>
        <v>215.37314197175104</v>
      </c>
      <c r="CZ29" s="59">
        <f t="shared" si="42"/>
        <v>361.17630426655978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70.549134448976261</v>
      </c>
      <c r="DH29" s="21">
        <f>EXP(-LN(2)/2)*DH28+(1-EXP(-LN(2)/2))/(LN(2)/2)*DB29*DE29*VLOOKUP('Données projet'!$B$13,Paramètres!$A$1:$I$89,3,0)*0.475*44/12</f>
        <v>0.10142324627686294</v>
      </c>
      <c r="DI29" s="22">
        <f t="shared" si="15"/>
        <v>70.650557695253127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384.82616717909605</v>
      </c>
      <c r="S30" s="59">
        <f ca="1">AVERAGE(OFFSET($R$3,0,0,'Données projet'!$E$9+1,1))-AVERAGE(OFFSET($H$3,0,0,'Données projet'!$E$9+1,1))</f>
        <v>567.42635821336114</v>
      </c>
      <c r="T30" s="59">
        <f t="shared" si="34"/>
        <v>299.0473530693472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109.4</v>
      </c>
      <c r="AJ30" s="13">
        <f>AI30*VLOOKUP('Données projet'!$B$10,Paramètres!$A$1:$I$89,3,0)*VLOOKUP('Données projet'!$B$10,Paramètres!$A$1:$I$89,5,0)</f>
        <v>93.865200000000016</v>
      </c>
      <c r="AK30" s="13">
        <f t="shared" si="35"/>
        <v>25.495124560846406</v>
      </c>
      <c r="AL30" s="20">
        <f t="shared" si="4"/>
        <v>207.88589861014086</v>
      </c>
      <c r="AM30" s="59">
        <f t="shared" si="5"/>
        <v>440.40374148270439</v>
      </c>
      <c r="AN30" s="59">
        <f ca="1">AVERAGE(OFFSET($AM$3,0,0,'Données projet'!$E$10+1,1))-AVERAGE(OFFSET($H$3,0,0,'Données projet'!$E$10+1,1))</f>
        <v>569.97793593332699</v>
      </c>
      <c r="AO30" s="59">
        <f t="shared" si="36"/>
        <v>331.25104323342907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3.9732905982905979</v>
      </c>
      <c r="BD30" s="12">
        <f>IF('Données projet'!$A$88&gt;35,BD29+BC30-BL29,IF(A30&lt;'Données projet'!$A$88,$BA$205^A30,IF(A30='Données projet'!$A$88,'Données projet'!$B$88,BD29+BC30-BL29)))</f>
        <v>73.899997874969515</v>
      </c>
      <c r="BE30" s="13">
        <f>BD30*VLOOKUP('Données projet'!$B$11,Paramètres!$A$1:$I$89,3,0)*VLOOKUP('Données projet'!$B$11,Paramètres!$A$1:$I$89,5,0)</f>
        <v>62.253358209874328</v>
      </c>
      <c r="BF30" s="13">
        <f t="shared" si="37"/>
        <v>17.736760463791171</v>
      </c>
      <c r="BG30" s="20">
        <f t="shared" si="7"/>
        <v>139.31612335663408</v>
      </c>
      <c r="BH30" s="59">
        <f t="shared" si="8"/>
        <v>371.83396622919759</v>
      </c>
      <c r="BI30" s="59">
        <f ca="1">AVERAGE(OFFSET($BH$3,0,0,'Données projet'!$E$11+1,1))-AVERAGE(OFFSET($H$3,0,0,'Données projet'!$E$11+1,1))</f>
        <v>458.88102603650725</v>
      </c>
      <c r="BJ30" s="59">
        <f t="shared" si="38"/>
        <v>277.79020316059552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114.23256000000002</v>
      </c>
      <c r="CA30" s="13">
        <f t="shared" si="39"/>
        <v>30.326006869580301</v>
      </c>
      <c r="CB30" s="20">
        <f t="shared" si="10"/>
        <v>251.77283729785236</v>
      </c>
      <c r="CC30" s="59">
        <f t="shared" si="11"/>
        <v>484.29068017041584</v>
      </c>
      <c r="CD30" s="59">
        <f ca="1">AVERAGE(OFFSET($CC$3,0,0,'Données projet'!$E$12+1,1))-AVERAGE(OFFSET($H$3,0,0,'Données projet'!$E$12+1,1))</f>
        <v>400.48995908576177</v>
      </c>
      <c r="CE30" s="59">
        <f t="shared" si="40"/>
        <v>384.86917865380076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16.666666666666668</v>
      </c>
      <c r="CT30" s="12">
        <f>IF('Données projet'!$A$140&gt;35,CT29+CS30-DB29,IF(A30&lt;'Données projet'!$A$140,$CQ$205^A30,IF(A30='Données projet'!$A$140,'Données projet'!$B$140,CT29+CS30-DB29)))</f>
        <v>204.99999999999997</v>
      </c>
      <c r="CU30" s="17">
        <f>CT30*VLOOKUP('Données projet'!$B$13,Paramètres!$A$1:$I$89,3,0)*VLOOKUP('Données projet'!$B$13,Paramètres!$A$1:$I$89,5,0)</f>
        <v>111.92999999999998</v>
      </c>
      <c r="CV30" s="13">
        <f t="shared" si="41"/>
        <v>29.785246291563833</v>
      </c>
      <c r="CW30" s="20">
        <f t="shared" si="13"/>
        <v>246.82072062447358</v>
      </c>
      <c r="CX30" s="59">
        <f t="shared" si="14"/>
        <v>479.33856349703706</v>
      </c>
      <c r="CY30" s="59">
        <f ca="1">AVERAGE(OFFSET($CX$3,0,0,'Données projet'!$E$13+1,1))-AVERAGE(OFFSET($H$3,0,0,'Données projet'!$E$13+1,1))</f>
        <v>215.37314197175104</v>
      </c>
      <c r="CZ30" s="59">
        <f t="shared" si="42"/>
        <v>361.17630426655978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68.619964657451263</v>
      </c>
      <c r="DH30" s="21">
        <f>EXP(-LN(2)/2)*DH29+(1-EXP(-LN(2)/2))/(LN(2)/2)*DB30*DE30*VLOOKUP('Données projet'!$B$13,Paramètres!$A$1:$I$89,3,0)*0.475*44/12</f>
        <v>7.1717065212323045E-2</v>
      </c>
      <c r="DI30" s="22">
        <f t="shared" si="15"/>
        <v>68.691681722663589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412.75949364982785</v>
      </c>
      <c r="S31" s="59">
        <f ca="1">AVERAGE(OFFSET($R$3,0,0,'Données projet'!$E$9+1,1))-AVERAGE(OFFSET($H$3,0,0,'Données projet'!$E$9+1,1))</f>
        <v>567.42635821336114</v>
      </c>
      <c r="T31" s="59">
        <f t="shared" si="34"/>
        <v>299.0473530693472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121.60000000000001</v>
      </c>
      <c r="AJ31" s="13">
        <f>AI31*VLOOKUP('Données projet'!$B$10,Paramètres!$A$1:$I$89,3,0)*VLOOKUP('Données projet'!$B$10,Paramètres!$A$1:$I$89,5,0)</f>
        <v>104.33280000000002</v>
      </c>
      <c r="AK31" s="13">
        <f t="shared" si="35"/>
        <v>27.991665469945552</v>
      </c>
      <c r="AL31" s="20">
        <f t="shared" si="4"/>
        <v>230.46511069348855</v>
      </c>
      <c r="AM31" s="59">
        <f t="shared" si="5"/>
        <v>465.19658011547267</v>
      </c>
      <c r="AN31" s="59">
        <f ca="1">AVERAGE(OFFSET($AM$3,0,0,'Données projet'!$E$10+1,1))-AVERAGE(OFFSET($H$3,0,0,'Données projet'!$E$10+1,1))</f>
        <v>569.97793593332699</v>
      </c>
      <c r="AO31" s="59">
        <f t="shared" si="36"/>
        <v>331.25104323342907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3.9732905982905979</v>
      </c>
      <c r="BD31" s="12">
        <f>IF('Données projet'!$A$88&gt;35,BD30+BC31-BL30,IF(A31&lt;'Données projet'!$A$88,$BA$205^A31,IF(A31='Données projet'!$A$88,'Données projet'!$B$88,BD30+BC31-BL30)))</f>
        <v>86.666943147199447</v>
      </c>
      <c r="BE31" s="13">
        <f>BD31*VLOOKUP('Données projet'!$B$11,Paramètres!$A$1:$I$89,3,0)*VLOOKUP('Données projet'!$B$11,Paramètres!$A$1:$I$89,5,0)</f>
        <v>73.008232907200821</v>
      </c>
      <c r="BF31" s="13">
        <f t="shared" si="37"/>
        <v>20.418668574751724</v>
      </c>
      <c r="BG31" s="20">
        <f t="shared" si="7"/>
        <v>162.71852008106734</v>
      </c>
      <c r="BH31" s="59">
        <f t="shared" si="8"/>
        <v>397.44998950305143</v>
      </c>
      <c r="BI31" s="59">
        <f ca="1">AVERAGE(OFFSET($BH$3,0,0,'Données projet'!$E$11+1,1))-AVERAGE(OFFSET($H$3,0,0,'Données projet'!$E$11+1,1))</f>
        <v>458.88102603650725</v>
      </c>
      <c r="BJ31" s="59">
        <f t="shared" si="38"/>
        <v>277.79020316059552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126.25704000000002</v>
      </c>
      <c r="CA31" s="13">
        <f t="shared" si="39"/>
        <v>33.130006114881255</v>
      </c>
      <c r="CB31" s="20">
        <f t="shared" si="10"/>
        <v>277.59910531675155</v>
      </c>
      <c r="CC31" s="59">
        <f t="shared" si="11"/>
        <v>512.33057473873566</v>
      </c>
      <c r="CD31" s="59">
        <f ca="1">AVERAGE(OFFSET($CC$3,0,0,'Données projet'!$E$12+1,1))-AVERAGE(OFFSET($H$3,0,0,'Données projet'!$E$12+1,1))</f>
        <v>400.48995908576177</v>
      </c>
      <c r="CE31" s="59">
        <f t="shared" si="40"/>
        <v>384.86917865380076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16.666666666666668</v>
      </c>
      <c r="CT31" s="12">
        <f>IF('Données projet'!$A$140&gt;35,CT30+CS31-DB30,IF(A31&lt;'Données projet'!$A$140,$CQ$205^A31,IF(A31='Données projet'!$A$140,'Données projet'!$B$140,CT30+CS31-DB30)))</f>
        <v>221.66666666666663</v>
      </c>
      <c r="CU31" s="17">
        <f>CT31*VLOOKUP('Données projet'!$B$13,Paramètres!$A$1:$I$89,3,0)*VLOOKUP('Données projet'!$B$13,Paramètres!$A$1:$I$89,5,0)</f>
        <v>121.02999999999997</v>
      </c>
      <c r="CV31" s="13">
        <f t="shared" si="41"/>
        <v>31.915110254002617</v>
      </c>
      <c r="CW31" s="20">
        <f t="shared" si="13"/>
        <v>266.3794003590545</v>
      </c>
      <c r="CX31" s="59">
        <f t="shared" si="14"/>
        <v>501.11086978103856</v>
      </c>
      <c r="CY31" s="59">
        <f ca="1">AVERAGE(OFFSET($CX$3,0,0,'Données projet'!$E$13+1,1))-AVERAGE(OFFSET($H$3,0,0,'Données projet'!$E$13+1,1))</f>
        <v>215.37314197175104</v>
      </c>
      <c r="CZ31" s="59">
        <f t="shared" si="42"/>
        <v>361.17630426655978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66.743548115326149</v>
      </c>
      <c r="DH31" s="21">
        <f>EXP(-LN(2)/2)*DH30+(1-EXP(-LN(2)/2))/(LN(2)/2)*DB31*DE31*VLOOKUP('Données projet'!$B$13,Paramètres!$A$1:$I$89,3,0)*0.475*44/12</f>
        <v>5.0711623138431472E-2</v>
      </c>
      <c r="DI31" s="22">
        <f t="shared" si="15"/>
        <v>66.794259738464575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445.03107317252352</v>
      </c>
      <c r="S32" s="59">
        <f ca="1">AVERAGE(OFFSET($R$3,0,0,'Données projet'!$E$9+1,1))-AVERAGE(OFFSET($H$3,0,0,'Données projet'!$E$9+1,1))</f>
        <v>567.42635821336114</v>
      </c>
      <c r="T32" s="59">
        <f t="shared" si="34"/>
        <v>299.0473530693472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133.80000000000001</v>
      </c>
      <c r="AJ32" s="13">
        <f>AI32*VLOOKUP('Données projet'!$B$10,Paramètres!$A$1:$I$89,3,0)*VLOOKUP('Données projet'!$B$10,Paramètres!$A$1:$I$89,5,0)</f>
        <v>114.80040000000002</v>
      </c>
      <c r="AK32" s="13">
        <f t="shared" si="35"/>
        <v>30.459169258522444</v>
      </c>
      <c r="AL32" s="20">
        <f t="shared" si="4"/>
        <v>252.99374979192666</v>
      </c>
      <c r="AM32" s="59">
        <f t="shared" si="5"/>
        <v>489.92164711470252</v>
      </c>
      <c r="AN32" s="59">
        <f ca="1">AVERAGE(OFFSET($AM$3,0,0,'Données projet'!$E$10+1,1))-AVERAGE(OFFSET($H$3,0,0,'Données projet'!$E$10+1,1))</f>
        <v>569.97793593332699</v>
      </c>
      <c r="AO32" s="59">
        <f t="shared" si="36"/>
        <v>331.25104323342907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3.9732905982905979</v>
      </c>
      <c r="BD32" s="12">
        <f>IF('Données projet'!$A$88&gt;35,BD31+BC32-BL31,IF(A32&lt;'Données projet'!$A$88,$BA$205^A32,IF(A32='Données projet'!$A$88,'Données projet'!$B$88,BD31+BC32-BL31)))</f>
        <v>101.63950271267854</v>
      </c>
      <c r="BE32" s="13">
        <f>BD32*VLOOKUP('Données projet'!$B$11,Paramètres!$A$1:$I$89,3,0)*VLOOKUP('Données projet'!$B$11,Paramètres!$A$1:$I$89,5,0)</f>
        <v>85.621117085160407</v>
      </c>
      <c r="BF32" s="13">
        <f t="shared" si="37"/>
        <v>23.506097814010744</v>
      </c>
      <c r="BG32" s="20">
        <f t="shared" si="7"/>
        <v>190.06323261605641</v>
      </c>
      <c r="BH32" s="59">
        <f t="shared" si="8"/>
        <v>426.99112993883227</v>
      </c>
      <c r="BI32" s="59">
        <f ca="1">AVERAGE(OFFSET($BH$3,0,0,'Données projet'!$E$11+1,1))-AVERAGE(OFFSET($H$3,0,0,'Données projet'!$E$11+1,1))</f>
        <v>458.88102603650725</v>
      </c>
      <c r="BJ32" s="59">
        <f t="shared" si="38"/>
        <v>277.79020316059552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138.28152000000003</v>
      </c>
      <c r="CA32" s="13">
        <f t="shared" si="39"/>
        <v>35.903043322174675</v>
      </c>
      <c r="CB32" s="20">
        <f t="shared" si="10"/>
        <v>303.37144778612094</v>
      </c>
      <c r="CC32" s="59">
        <f t="shared" si="11"/>
        <v>540.29934510889677</v>
      </c>
      <c r="CD32" s="59">
        <f ca="1">AVERAGE(OFFSET($CC$3,0,0,'Données projet'!$E$12+1,1))-AVERAGE(OFFSET($H$3,0,0,'Données projet'!$E$12+1,1))</f>
        <v>400.48995908576177</v>
      </c>
      <c r="CE32" s="59">
        <f t="shared" si="40"/>
        <v>384.86917865380076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16.666666666666668</v>
      </c>
      <c r="CT32" s="12">
        <f>IF('Données projet'!$A$140&gt;35,CT31+CS32-DB31,IF(A32&lt;'Données projet'!$A$140,$CQ$205^A32,IF(A32='Données projet'!$A$140,'Données projet'!$B$140,CT31+CS32-DB31)))</f>
        <v>238.33333333333329</v>
      </c>
      <c r="CU32" s="17">
        <f>CT32*VLOOKUP('Données projet'!$B$13,Paramètres!$A$1:$I$89,3,0)*VLOOKUP('Données projet'!$B$13,Paramètres!$A$1:$I$89,5,0)</f>
        <v>130.12999999999997</v>
      </c>
      <c r="CV32" s="13">
        <f t="shared" si="41"/>
        <v>34.026396767825609</v>
      </c>
      <c r="CW32" s="20">
        <f t="shared" si="13"/>
        <v>285.90572437062957</v>
      </c>
      <c r="CX32" s="59">
        <f t="shared" si="14"/>
        <v>522.83362169340535</v>
      </c>
      <c r="CY32" s="59">
        <f ca="1">AVERAGE(OFFSET($CX$3,0,0,'Données projet'!$E$13+1,1))-AVERAGE(OFFSET($H$3,0,0,'Données projet'!$E$13+1,1))</f>
        <v>215.37314197175104</v>
      </c>
      <c r="CZ32" s="59">
        <f t="shared" si="42"/>
        <v>361.17630426655978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64.918442282221903</v>
      </c>
      <c r="DH32" s="21">
        <f>EXP(-LN(2)/2)*DH31+(1-EXP(-LN(2)/2))/(LN(2)/2)*DB32*DE32*VLOOKUP('Données projet'!$B$13,Paramètres!$A$1:$I$89,3,0)*0.475*44/12</f>
        <v>3.5858532606161522E-2</v>
      </c>
      <c r="DI32" s="22">
        <f t="shared" si="15"/>
        <v>64.954300814828059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482.38068640268057</v>
      </c>
      <c r="S33" s="59">
        <f ca="1">AVERAGE(OFFSET($R$3,0,0,'Données projet'!$E$9+1,1))-AVERAGE(OFFSET($H$3,0,0,'Données projet'!$E$9+1,1))</f>
        <v>567.42635821336114</v>
      </c>
      <c r="T33" s="59">
        <f t="shared" si="34"/>
        <v>299.0473530693472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146</v>
      </c>
      <c r="AJ33" s="13">
        <f>AI33*VLOOKUP('Données projet'!$B$10,Paramètres!$A$1:$I$89,3,0)*VLOOKUP('Données projet'!$B$10,Paramètres!$A$1:$I$89,5,0)</f>
        <v>125.26800000000003</v>
      </c>
      <c r="AK33" s="13">
        <f t="shared" si="35"/>
        <v>32.9005846700787</v>
      </c>
      <c r="AL33" s="20">
        <f t="shared" si="4"/>
        <v>275.47695163372049</v>
      </c>
      <c r="AM33" s="59">
        <f t="shared" si="5"/>
        <v>514.58437656676244</v>
      </c>
      <c r="AN33" s="59">
        <f ca="1">AVERAGE(OFFSET($AM$3,0,0,'Données projet'!$E$10+1,1))-AVERAGE(OFFSET($H$3,0,0,'Données projet'!$E$10+1,1))</f>
        <v>569.97793593332699</v>
      </c>
      <c r="AO33" s="59">
        <f t="shared" si="36"/>
        <v>331.25104323342907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119.19871794871794</v>
      </c>
      <c r="BB33" s="12">
        <f>VLOOKUP(A33,'Données projet'!$A$87:$I$107,9,0)</f>
        <v>3.9732905982905979</v>
      </c>
      <c r="BC33" s="12">
        <f t="array" ref="BC33">INDEX(BB:BB,MIN(IF(ISNUMBER(BB33:BB229),ROW(BB33:BB229),"")))</f>
        <v>3.9732905982905979</v>
      </c>
      <c r="BD33" s="12">
        <f>IF('Données projet'!$A$88&gt;35,BD32+BC33-BL32,IF(A33&lt;'Données projet'!$A$88,$BA$205^A33,IF(A33='Données projet'!$A$88,'Données projet'!$B$88,BD32+BC33-BL32)))</f>
        <v>119.19871794871794</v>
      </c>
      <c r="BE33" s="13">
        <f>BD33*VLOOKUP('Données projet'!$B$11,Paramètres!$A$1:$I$89,3,0)*VLOOKUP('Données projet'!$B$11,Paramètres!$A$1:$I$89,5,0)</f>
        <v>100.413</v>
      </c>
      <c r="BF33" s="13">
        <f t="shared" si="37"/>
        <v>27.060365489504466</v>
      </c>
      <c r="BG33" s="20">
        <f t="shared" si="7"/>
        <v>222.01611156088691</v>
      </c>
      <c r="BH33" s="59">
        <f t="shared" si="8"/>
        <v>461.1235364939289</v>
      </c>
      <c r="BI33" s="59">
        <f ca="1">AVERAGE(OFFSET($BH$3,0,0,'Données projet'!$E$11+1,1))-AVERAGE(OFFSET($H$3,0,0,'Données projet'!$E$11+1,1))</f>
        <v>458.88102603650725</v>
      </c>
      <c r="BJ33" s="59">
        <f t="shared" si="38"/>
        <v>277.79020316059552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150.30600000000004</v>
      </c>
      <c r="CA33" s="13">
        <f t="shared" si="39"/>
        <v>38.648116968856677</v>
      </c>
      <c r="CB33" s="20">
        <f t="shared" si="10"/>
        <v>329.09508705409212</v>
      </c>
      <c r="CC33" s="59">
        <f t="shared" si="11"/>
        <v>568.20251198713413</v>
      </c>
      <c r="CD33" s="59">
        <f ca="1">AVERAGE(OFFSET($CC$3,0,0,'Données projet'!$E$12+1,1))-AVERAGE(OFFSET($H$3,0,0,'Données projet'!$E$12+1,1))</f>
        <v>400.48995908576177</v>
      </c>
      <c r="CE33" s="59">
        <f t="shared" si="40"/>
        <v>384.86917865380076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255</v>
      </c>
      <c r="CR33" s="12">
        <f>VLOOKUP(A33,'Données projet'!$A$139:$I$159,9,0)</f>
        <v>16.666666666666668</v>
      </c>
      <c r="CS33" s="12">
        <f t="array" ref="CS33">INDEX(CR:CR,MIN(IF(ISNUMBER(CR33:CR229),ROW(CR33:CR229),"")))</f>
        <v>16.666666666666668</v>
      </c>
      <c r="CT33" s="12">
        <f>IF('Données projet'!$A$140&gt;35,CT32+CS33-DB32,IF(A33&lt;'Données projet'!$A$140,$CQ$205^A33,IF(A33='Données projet'!$A$140,'Données projet'!$B$140,CT32+CS33-DB32)))</f>
        <v>254.99999999999994</v>
      </c>
      <c r="CU33" s="17">
        <f>CT33*VLOOKUP('Données projet'!$B$13,Paramètres!$A$1:$I$89,3,0)*VLOOKUP('Données projet'!$B$13,Paramètres!$A$1:$I$89,5,0)</f>
        <v>139.22999999999996</v>
      </c>
      <c r="CV33" s="13">
        <f t="shared" si="41"/>
        <v>36.120552727378737</v>
      </c>
      <c r="CW33" s="20">
        <f t="shared" si="13"/>
        <v>305.4022126668512</v>
      </c>
      <c r="CX33" s="59">
        <f t="shared" si="14"/>
        <v>544.50963759989315</v>
      </c>
      <c r="CY33" s="59">
        <f ca="1">AVERAGE(OFFSET($CX$3,0,0,'Données projet'!$E$13+1,1))-AVERAGE(OFFSET($H$3,0,0,'Données projet'!$E$13+1,1))</f>
        <v>215.37314197175104</v>
      </c>
      <c r="CZ33" s="59">
        <f t="shared" si="42"/>
        <v>361.17630426655978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76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0.6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96.041470361437277</v>
      </c>
      <c r="DH33" s="21">
        <f>EXP(-LN(2)/2)*DH32+(1-EXP(-LN(2)/2))/(LN(2)/2)*DB33*DE33*VLOOKUP('Données projet'!$B$13,Paramètres!$A$1:$I$89,3,0)*0.475*44/12</f>
        <v>2.5355811569215736E-2</v>
      </c>
      <c r="DI33" s="22">
        <f t="shared" si="15"/>
        <v>96.06682617300649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15.881076923076924</v>
      </c>
      <c r="N34" s="13">
        <f>IF('Données projet'!$A$36&gt;35,N33+M34-V33,IF(A34&lt;'Données projet'!$A$36,$K$205^A34,IF(A34='Données projet'!$A$36,'Données projet'!$B$36,N33+M34-V33)))</f>
        <v>137.76569230769229</v>
      </c>
      <c r="O34" s="13">
        <f>N34*VLOOKUP('Données projet'!$B$9,Paramètres!$A$1:$I$89,3,0)*VLOOKUP('Données projet'!$B$9,Paramètres!$A$1:$I$89,5,0)</f>
        <v>124.65039839999997</v>
      </c>
      <c r="P34" s="13">
        <f t="shared" si="33"/>
        <v>32.757216606444366</v>
      </c>
      <c r="Q34" s="20">
        <f t="shared" si="2"/>
        <v>274.15159613622387</v>
      </c>
      <c r="R34" s="59">
        <f t="shared" si="0"/>
        <v>514.1997193490414</v>
      </c>
      <c r="S34" s="59">
        <f ca="1">AVERAGE(OFFSET($R$3,0,0,'Données projet'!$E$9+1,1))-AVERAGE(OFFSET($H$3,0,0,'Données projet'!$E$9+1,1))</f>
        <v>567.42635821336114</v>
      </c>
      <c r="T34" s="59">
        <f t="shared" si="34"/>
        <v>299.0473530693472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123.80000000000001</v>
      </c>
      <c r="AJ34" s="13">
        <f>AI34*VLOOKUP('Données projet'!$B$10,Paramètres!$A$1:$I$89,3,0)*VLOOKUP('Données projet'!$B$10,Paramètres!$A$1:$I$89,5,0)</f>
        <v>106.22040000000003</v>
      </c>
      <c r="AK34" s="13">
        <f t="shared" si="35"/>
        <v>28.438677354079406</v>
      </c>
      <c r="AL34" s="20">
        <f t="shared" si="4"/>
        <v>234.53122639168836</v>
      </c>
      <c r="AM34" s="59">
        <f t="shared" si="5"/>
        <v>474.57934960450592</v>
      </c>
      <c r="AN34" s="59">
        <f ca="1">AVERAGE(OFFSET($AM$3,0,0,'Données projet'!$E$10+1,1))-AVERAGE(OFFSET($H$3,0,0,'Données projet'!$E$10+1,1))</f>
        <v>569.97793593332699</v>
      </c>
      <c r="AO34" s="59">
        <f t="shared" si="36"/>
        <v>331.25104323342907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152.27000000000001</v>
      </c>
      <c r="BB34" s="12">
        <f>VLOOKUP(A34,'Données projet'!$A$87:$I$107,9,0)</f>
        <v>33.071282051282068</v>
      </c>
      <c r="BC34" s="12">
        <f t="array" ref="BC34">INDEX(BB:BB,MIN(IF(ISNUMBER(BB34:BB230),ROW(BB34:BB230),"")))</f>
        <v>33.071282051282068</v>
      </c>
      <c r="BD34" s="12">
        <f>IF('Données projet'!$A$88&gt;35,BD33+BC34-BL33,IF(A34&lt;'Données projet'!$A$88,$BA$205^A34,IF(A34='Données projet'!$A$88,'Données projet'!$B$88,BD33+BC34-BL33)))</f>
        <v>152.27000000000001</v>
      </c>
      <c r="BE34" s="13">
        <f>BD34*VLOOKUP('Données projet'!$B$11,Paramètres!$A$1:$I$89,3,0)*VLOOKUP('Données projet'!$B$11,Paramètres!$A$1:$I$89,5,0)</f>
        <v>128.27224800000002</v>
      </c>
      <c r="BF34" s="13">
        <f t="shared" si="37"/>
        <v>33.596816228018859</v>
      </c>
      <c r="BG34" s="20">
        <f t="shared" si="7"/>
        <v>281.92195353046623</v>
      </c>
      <c r="BH34" s="59">
        <f t="shared" si="8"/>
        <v>521.97007674328381</v>
      </c>
      <c r="BI34" s="59">
        <f ca="1">AVERAGE(OFFSET($BH$3,0,0,'Données projet'!$E$11+1,1))-AVERAGE(OFFSET($H$3,0,0,'Données projet'!$E$11+1,1))</f>
        <v>458.88102603650725</v>
      </c>
      <c r="BJ34" s="59">
        <f t="shared" si="38"/>
        <v>277.79020316059552</v>
      </c>
      <c r="BK34" s="15">
        <f>IF(ISNA(VLOOKUP(A34,'Données projet'!$A$87:$I$107,3,0)),0,VLOOKUP(A34,'Données projet'!$A$87:$I$107,3,0))</f>
        <v>1</v>
      </c>
      <c r="BL34" s="15">
        <f>IF(ISNA(VLOOKUP(A34,'Données projet'!$A$87:$I$107,4,0)),0,VLOOKUP(A34,'Données projet'!$A$87:$I$107,4,0))</f>
        <v>63.58</v>
      </c>
      <c r="BM34" s="16">
        <f>IF(ISNA(VLOOKUP(A34,'Données projet'!$A$87:$I$107,5,0)),0%,VLOOKUP(A34,'Données projet'!$A$87:$I$107,5,0)*VLOOKUP('Données projet'!$B$11,Paramètres!$A$1:$I$89,7,0))</f>
        <v>0.43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25.459768343676725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25.459768343676725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130.65624000000003</v>
      </c>
      <c r="CA34" s="13">
        <f t="shared" si="39"/>
        <v>34.147952661921146</v>
      </c>
      <c r="CB34" s="20">
        <f t="shared" si="10"/>
        <v>287.03396888617937</v>
      </c>
      <c r="CC34" s="59">
        <f t="shared" si="11"/>
        <v>527.0820920989969</v>
      </c>
      <c r="CD34" s="59">
        <f ca="1">AVERAGE(OFFSET($CC$3,0,0,'Données projet'!$E$12+1,1))-AVERAGE(OFFSET($H$3,0,0,'Données projet'!$E$12+1,1))</f>
        <v>400.48995908576177</v>
      </c>
      <c r="CE34" s="59">
        <f t="shared" si="40"/>
        <v>384.86917865380076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</v>
      </c>
      <c r="CT34" s="12">
        <f>IF('Données projet'!$A$140&gt;35,CT33+CS34-DB33,IF(A34&lt;'Données projet'!$A$140,$CQ$205^A34,IF(A34='Données projet'!$A$140,'Données projet'!$B$140,CT33+CS34-DB33)))</f>
        <v>193.99999999999994</v>
      </c>
      <c r="CU34" s="17">
        <f>CT34*VLOOKUP('Données projet'!$B$13,Paramètres!$A$1:$I$89,3,0)*VLOOKUP('Données projet'!$B$13,Paramètres!$A$1:$I$89,5,0)</f>
        <v>105.92399999999998</v>
      </c>
      <c r="CV34" s="13">
        <f t="shared" si="41"/>
        <v>28.36854701055546</v>
      </c>
      <c r="CW34" s="20">
        <f t="shared" si="13"/>
        <v>233.89285271005073</v>
      </c>
      <c r="CX34" s="59">
        <f t="shared" si="14"/>
        <v>473.94097592286829</v>
      </c>
      <c r="CY34" s="59">
        <f ca="1">AVERAGE(OFFSET($CX$3,0,0,'Données projet'!$E$13+1,1))-AVERAGE(OFFSET($H$3,0,0,'Données projet'!$E$13+1,1))</f>
        <v>215.37314197175104</v>
      </c>
      <c r="CZ34" s="59">
        <f t="shared" si="42"/>
        <v>361.17630426655978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93.415211303802351</v>
      </c>
      <c r="DH34" s="21">
        <f>EXP(-LN(2)/2)*DH33+(1-EXP(-LN(2)/2))/(LN(2)/2)*DB34*DE34*VLOOKUP('Données projet'!$B$13,Paramètres!$A$1:$I$89,3,0)*0.475*44/12</f>
        <v>1.7929266303080761E-2</v>
      </c>
      <c r="DI34" s="22">
        <f t="shared" si="15"/>
        <v>93.433140570105436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15.881076923076924</v>
      </c>
      <c r="N35" s="13">
        <f>IF('Données projet'!$A$36&gt;35,N34+M35-V34,IF(A35&lt;'Données projet'!$A$36,$K$205^A35,IF(A35='Données projet'!$A$36,'Données projet'!$B$36,N34+M35-V34)))</f>
        <v>153.64676923076922</v>
      </c>
      <c r="O35" s="13">
        <f>N35*VLOOKUP('Données projet'!$B$9,Paramètres!$A$1:$I$89,3,0)*VLOOKUP('Données projet'!$B$9,Paramètres!$A$1:$I$89,5,0)</f>
        <v>139.01959679999999</v>
      </c>
      <c r="P35" s="13">
        <f t="shared" si="33"/>
        <v>36.072317111421967</v>
      </c>
      <c r="Q35" s="20">
        <f t="shared" ref="Q35:Q66" si="53">(O35+P35)*0.475*44/12</f>
        <v>304.95175006239322</v>
      </c>
      <c r="R35" s="59">
        <f t="shared" si="0"/>
        <v>545.92425254291857</v>
      </c>
      <c r="S35" s="59">
        <f ca="1">AVERAGE(OFFSET($R$3,0,0,'Données projet'!$E$9+1,1))-AVERAGE(OFFSET($H$3,0,0,'Données projet'!$E$9+1,1))</f>
        <v>567.42635821336114</v>
      </c>
      <c r="T35" s="59">
        <f t="shared" si="34"/>
        <v>299.0473530693472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136.60000000000002</v>
      </c>
      <c r="AJ35" s="13">
        <f>AI35*VLOOKUP('Données projet'!$B$10,Paramètres!$A$1:$I$89,3,0)*VLOOKUP('Données projet'!$B$10,Paramètres!$A$1:$I$89,5,0)</f>
        <v>117.20280000000004</v>
      </c>
      <c r="AK35" s="13">
        <f t="shared" si="35"/>
        <v>31.021705481209352</v>
      </c>
      <c r="AL35" s="20">
        <f t="shared" si="4"/>
        <v>258.15768037977301</v>
      </c>
      <c r="AM35" s="59">
        <f t="shared" si="5"/>
        <v>499.13018286029831</v>
      </c>
      <c r="AN35" s="59">
        <f ca="1">AVERAGE(OFFSET($AM$3,0,0,'Données projet'!$E$10+1,1))-AVERAGE(OFFSET($H$3,0,0,'Données projet'!$E$10+1,1))</f>
        <v>569.97793593332699</v>
      </c>
      <c r="AO35" s="59">
        <f t="shared" si="36"/>
        <v>331.25104323342907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12.633333333333333</v>
      </c>
      <c r="BD35" s="12">
        <f>IF('Données projet'!$A$88&gt;35,BD34+BC35-BL34,IF(A35&lt;'Données projet'!$A$88,$BA$205^A35,IF(A35='Données projet'!$A$88,'Données projet'!$B$88,BD34+BC35-BL34)))</f>
        <v>101.32333333333334</v>
      </c>
      <c r="BE35" s="13">
        <f>BD35*VLOOKUP('Données projet'!$B$11,Paramètres!$A$1:$I$89,3,0)*VLOOKUP('Données projet'!$B$11,Paramètres!$A$1:$I$89,5,0)</f>
        <v>85.354776000000015</v>
      </c>
      <c r="BF35" s="13">
        <f t="shared" si="37"/>
        <v>23.441477028759977</v>
      </c>
      <c r="BG35" s="20">
        <f t="shared" si="7"/>
        <v>189.48680735842365</v>
      </c>
      <c r="BH35" s="59">
        <f t="shared" si="8"/>
        <v>430.45930983894897</v>
      </c>
      <c r="BI35" s="59">
        <f ca="1">AVERAGE(OFFSET($BH$3,0,0,'Données projet'!$E$11+1,1))-AVERAGE(OFFSET($H$3,0,0,'Données projet'!$E$11+1,1))</f>
        <v>458.88102603650725</v>
      </c>
      <c r="BJ35" s="59">
        <f t="shared" si="38"/>
        <v>277.79020316059552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24.960517815382559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24.960517815382559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141.80088000000003</v>
      </c>
      <c r="CA35" s="13">
        <f t="shared" si="39"/>
        <v>36.709254421801973</v>
      </c>
      <c r="CB35" s="20">
        <f t="shared" si="10"/>
        <v>310.90515078463847</v>
      </c>
      <c r="CC35" s="59">
        <f t="shared" si="11"/>
        <v>551.87765326516376</v>
      </c>
      <c r="CD35" s="59">
        <f ca="1">AVERAGE(OFFSET($CC$3,0,0,'Données projet'!$E$12+1,1))-AVERAGE(OFFSET($H$3,0,0,'Données projet'!$E$12+1,1))</f>
        <v>400.48995908576177</v>
      </c>
      <c r="CE35" s="59">
        <f t="shared" si="40"/>
        <v>384.86917865380076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</v>
      </c>
      <c r="CT35" s="12">
        <f>IF('Données projet'!$A$140&gt;35,CT34+CS35-DB34,IF(A35&lt;'Données projet'!$A$140,$CQ$205^A35,IF(A35='Données projet'!$A$140,'Données projet'!$B$140,CT34+CS35-DB34)))</f>
        <v>208.99999999999994</v>
      </c>
      <c r="CU35" s="17">
        <f>CT35*VLOOKUP('Données projet'!$B$13,Paramètres!$A$1:$I$89,3,0)*VLOOKUP('Données projet'!$B$13,Paramètres!$A$1:$I$89,5,0)</f>
        <v>114.11399999999996</v>
      </c>
      <c r="CV35" s="13">
        <f t="shared" si="41"/>
        <v>30.298194021728271</v>
      </c>
      <c r="CW35" s="20">
        <f t="shared" si="13"/>
        <v>251.5179045878433</v>
      </c>
      <c r="CX35" s="59">
        <f t="shared" si="14"/>
        <v>492.49040706836865</v>
      </c>
      <c r="CY35" s="59">
        <f ca="1">AVERAGE(OFFSET($CX$3,0,0,'Données projet'!$E$13+1,1))-AVERAGE(OFFSET($H$3,0,0,'Données projet'!$E$13+1,1))</f>
        <v>215.37314197175104</v>
      </c>
      <c r="CZ35" s="59">
        <f t="shared" si="42"/>
        <v>361.17630426655978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90.860767438207418</v>
      </c>
      <c r="DH35" s="21">
        <f>EXP(-LN(2)/2)*DH34+(1-EXP(-LN(2)/2))/(LN(2)/2)*DB35*DE35*VLOOKUP('Données projet'!$B$13,Paramètres!$A$1:$I$89,3,0)*0.475*44/12</f>
        <v>1.2677905784607868E-2</v>
      </c>
      <c r="DI35" s="22">
        <f t="shared" si="15"/>
        <v>90.873445343992032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15.881076923076924</v>
      </c>
      <c r="N36" s="13">
        <f>IF('Données projet'!$A$36&gt;35,N35+M36-V35,IF(A36&lt;'Données projet'!$A$36,$K$205^A36,IF(A36='Données projet'!$A$36,'Données projet'!$B$36,N35+M36-V35)))</f>
        <v>169.52784615384616</v>
      </c>
      <c r="O36" s="13">
        <f>N36*VLOOKUP('Données projet'!$B$9,Paramètres!$A$1:$I$89,3,0)*VLOOKUP('Données projet'!$B$9,Paramètres!$A$1:$I$89,5,0)</f>
        <v>153.3887952</v>
      </c>
      <c r="P36" s="13">
        <f t="shared" si="33"/>
        <v>39.347697314191088</v>
      </c>
      <c r="Q36" s="20">
        <f t="shared" si="53"/>
        <v>335.68272446221619</v>
      </c>
      <c r="R36" s="59">
        <f t="shared" si="0"/>
        <v>577.56357029675689</v>
      </c>
      <c r="S36" s="59">
        <f ca="1">AVERAGE(OFFSET($R$3,0,0,'Données projet'!$E$9+1,1))-AVERAGE(OFFSET($H$3,0,0,'Données projet'!$E$9+1,1))</f>
        <v>567.42635821336114</v>
      </c>
      <c r="T36" s="59">
        <f t="shared" si="34"/>
        <v>299.0473530693472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149.40000000000003</v>
      </c>
      <c r="AJ36" s="13">
        <f>AI36*VLOOKUP('Données projet'!$B$10,Paramètres!$A$1:$I$89,3,0)*VLOOKUP('Données projet'!$B$10,Paramètres!$A$1:$I$89,5,0)</f>
        <v>128.18520000000004</v>
      </c>
      <c r="AK36" s="13">
        <f t="shared" si="35"/>
        <v>33.57666984533806</v>
      </c>
      <c r="AL36" s="20">
        <f t="shared" si="4"/>
        <v>281.73525664729715</v>
      </c>
      <c r="AM36" s="59">
        <f t="shared" si="5"/>
        <v>523.61610248183786</v>
      </c>
      <c r="AN36" s="59">
        <f ca="1">AVERAGE(OFFSET($AM$3,0,0,'Données projet'!$E$10+1,1))-AVERAGE(OFFSET($H$3,0,0,'Données projet'!$E$10+1,1))</f>
        <v>569.97793593332699</v>
      </c>
      <c r="AO36" s="59">
        <f t="shared" si="36"/>
        <v>331.25104323342907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12.633333333333333</v>
      </c>
      <c r="BD36" s="12">
        <f>IF('Données projet'!$A$88&gt;35,BD35+BC36-BL35,IF(A36&lt;'Données projet'!$A$88,$BA$205^A36,IF(A36='Données projet'!$A$88,'Données projet'!$B$88,BD35+BC36-BL35)))</f>
        <v>113.95666666666668</v>
      </c>
      <c r="BE36" s="13">
        <f>BD36*VLOOKUP('Données projet'!$B$11,Paramètres!$A$1:$I$89,3,0)*VLOOKUP('Données projet'!$B$11,Paramètres!$A$1:$I$89,5,0)</f>
        <v>95.997096000000013</v>
      </c>
      <c r="BF36" s="13">
        <f t="shared" si="37"/>
        <v>26.006105377762594</v>
      </c>
      <c r="BG36" s="20">
        <f t="shared" si="7"/>
        <v>212.48890906626988</v>
      </c>
      <c r="BH36" s="59">
        <f t="shared" si="8"/>
        <v>454.36975490081062</v>
      </c>
      <c r="BI36" s="59">
        <f ca="1">AVERAGE(OFFSET($BH$3,0,0,'Données projet'!$E$11+1,1))-AVERAGE(OFFSET($H$3,0,0,'Données projet'!$E$11+1,1))</f>
        <v>458.88102603650725</v>
      </c>
      <c r="BJ36" s="59">
        <f t="shared" si="38"/>
        <v>277.79020316059552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24.471057285435489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24.471057285435489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152.94552000000002</v>
      </c>
      <c r="CA36" s="13">
        <f t="shared" si="39"/>
        <v>39.247206134585156</v>
      </c>
      <c r="CB36" s="20">
        <f t="shared" si="10"/>
        <v>334.73566468440248</v>
      </c>
      <c r="CC36" s="59">
        <f t="shared" si="11"/>
        <v>576.61651051894319</v>
      </c>
      <c r="CD36" s="59">
        <f ca="1">AVERAGE(OFFSET($CC$3,0,0,'Données projet'!$E$12+1,1))-AVERAGE(OFFSET($H$3,0,0,'Données projet'!$E$12+1,1))</f>
        <v>400.48995908576177</v>
      </c>
      <c r="CE36" s="59">
        <f t="shared" si="40"/>
        <v>384.86917865380076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</v>
      </c>
      <c r="CT36" s="12">
        <f>IF('Données projet'!$A$140&gt;35,CT35+CS36-DB35,IF(A36&lt;'Données projet'!$A$140,$CQ$205^A36,IF(A36='Données projet'!$A$140,'Données projet'!$B$140,CT35+CS36-DB35)))</f>
        <v>223.99999999999994</v>
      </c>
      <c r="CU36" s="17">
        <f>CT36*VLOOKUP('Données projet'!$B$13,Paramètres!$A$1:$I$89,3,0)*VLOOKUP('Données projet'!$B$13,Paramètres!$A$1:$I$89,5,0)</f>
        <v>122.30399999999996</v>
      </c>
      <c r="CV36" s="13">
        <f t="shared" si="41"/>
        <v>32.211773226559373</v>
      </c>
      <c r="CW36" s="20">
        <f t="shared" si="13"/>
        <v>269.11497170292415</v>
      </c>
      <c r="CX36" s="59">
        <f t="shared" si="14"/>
        <v>510.99581753746486</v>
      </c>
      <c r="CY36" s="59">
        <f ca="1">AVERAGE(OFFSET($CX$3,0,0,'Données projet'!$E$13+1,1))-AVERAGE(OFFSET($H$3,0,0,'Données projet'!$E$13+1,1))</f>
        <v>215.37314197175104</v>
      </c>
      <c r="CZ36" s="59">
        <f t="shared" si="42"/>
        <v>361.17630426655978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88.37617497444954</v>
      </c>
      <c r="DH36" s="21">
        <f>EXP(-LN(2)/2)*DH35+(1-EXP(-LN(2)/2))/(LN(2)/2)*DB36*DE36*VLOOKUP('Données projet'!$B$13,Paramètres!$A$1:$I$89,3,0)*0.475*44/12</f>
        <v>8.9646331515403806E-3</v>
      </c>
      <c r="DI36" s="22">
        <f t="shared" si="15"/>
        <v>88.385139607601076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15.881076923076924</v>
      </c>
      <c r="N37" s="13">
        <f>IF('Données projet'!$A$36&gt;35,N36+M37-V36,IF(A37&lt;'Données projet'!$A$36,$K$205^A37,IF(A37='Données projet'!$A$36,'Données projet'!$B$36,N36+M37-V36)))</f>
        <v>185.40892307692309</v>
      </c>
      <c r="O37" s="13">
        <f>N37*VLOOKUP('Données projet'!$B$9,Paramètres!$A$1:$I$89,3,0)*VLOOKUP('Données projet'!$B$9,Paramètres!$A$1:$I$89,5,0)</f>
        <v>167.75799359999999</v>
      </c>
      <c r="P37" s="13">
        <f t="shared" si="33"/>
        <v>42.587501411283561</v>
      </c>
      <c r="Q37" s="20">
        <f t="shared" si="53"/>
        <v>366.35173714465219</v>
      </c>
      <c r="R37" s="59">
        <f t="shared" si="0"/>
        <v>609.12516860676783</v>
      </c>
      <c r="S37" s="59">
        <f ca="1">AVERAGE(OFFSET($R$3,0,0,'Données projet'!$E$9+1,1))-AVERAGE(OFFSET($H$3,0,0,'Données projet'!$E$9+1,1))</f>
        <v>567.42635821336114</v>
      </c>
      <c r="T37" s="59">
        <f t="shared" si="34"/>
        <v>299.0473530693472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162.20000000000005</v>
      </c>
      <c r="AJ37" s="13">
        <f>AI37*VLOOKUP('Données projet'!$B$10,Paramètres!$A$1:$I$89,3,0)*VLOOKUP('Données projet'!$B$10,Paramètres!$A$1:$I$89,5,0)</f>
        <v>139.16760000000005</v>
      </c>
      <c r="AK37" s="13">
        <f t="shared" si="35"/>
        <v>36.106248210614609</v>
      </c>
      <c r="AL37" s="20">
        <f t="shared" si="4"/>
        <v>305.2686189668205</v>
      </c>
      <c r="AM37" s="59">
        <f t="shared" si="5"/>
        <v>548.04205042893614</v>
      </c>
      <c r="AN37" s="59">
        <f ca="1">AVERAGE(OFFSET($AM$3,0,0,'Données projet'!$E$10+1,1))-AVERAGE(OFFSET($H$3,0,0,'Données projet'!$E$10+1,1))</f>
        <v>569.97793593332699</v>
      </c>
      <c r="AO37" s="59">
        <f t="shared" si="36"/>
        <v>331.25104323342907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12.633333333333333</v>
      </c>
      <c r="BD37" s="12">
        <f>IF('Données projet'!$A$88&gt;35,BD36+BC37-BL36,IF(A37&lt;'Données projet'!$A$88,$BA$205^A37,IF(A37='Données projet'!$A$88,'Données projet'!$B$88,BD36+BC37-BL36)))</f>
        <v>126.59</v>
      </c>
      <c r="BE37" s="13">
        <f>BD37*VLOOKUP('Données projet'!$B$11,Paramètres!$A$1:$I$89,3,0)*VLOOKUP('Données projet'!$B$11,Paramètres!$A$1:$I$89,5,0)</f>
        <v>106.63941600000003</v>
      </c>
      <c r="BF37" s="13">
        <f t="shared" si="37"/>
        <v>28.537780673692442</v>
      </c>
      <c r="BG37" s="20">
        <f t="shared" si="7"/>
        <v>235.43361754001435</v>
      </c>
      <c r="BH37" s="59">
        <f t="shared" si="8"/>
        <v>478.20704900212991</v>
      </c>
      <c r="BI37" s="59">
        <f ca="1">AVERAGE(OFFSET($BH$3,0,0,'Données projet'!$E$11+1,1))-AVERAGE(OFFSET($H$3,0,0,'Données projet'!$E$11+1,1))</f>
        <v>458.88102603650725</v>
      </c>
      <c r="BJ37" s="59">
        <f t="shared" si="38"/>
        <v>277.79020316059552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23.991194777939235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23.991194777939235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164.09016</v>
      </c>
      <c r="CA37" s="13">
        <f t="shared" si="39"/>
        <v>41.763702733606458</v>
      </c>
      <c r="CB37" s="20">
        <f t="shared" si="10"/>
        <v>358.52881092769786</v>
      </c>
      <c r="CC37" s="59">
        <f t="shared" si="11"/>
        <v>601.3022423898135</v>
      </c>
      <c r="CD37" s="59">
        <f ca="1">AVERAGE(OFFSET($CC$3,0,0,'Données projet'!$E$12+1,1))-AVERAGE(OFFSET($H$3,0,0,'Données projet'!$E$12+1,1))</f>
        <v>400.48995908576177</v>
      </c>
      <c r="CE37" s="59">
        <f t="shared" si="40"/>
        <v>384.86917865380076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</v>
      </c>
      <c r="CT37" s="12">
        <f>IF('Données projet'!$A$140&gt;35,CT36+CS37-DB36,IF(A37&lt;'Données projet'!$A$140,$CQ$205^A37,IF(A37='Données projet'!$A$140,'Données projet'!$B$140,CT36+CS37-DB36)))</f>
        <v>238.99999999999994</v>
      </c>
      <c r="CU37" s="17">
        <f>CT37*VLOOKUP('Données projet'!$B$13,Paramètres!$A$1:$I$89,3,0)*VLOOKUP('Données projet'!$B$13,Paramètres!$A$1:$I$89,5,0)</f>
        <v>130.49399999999997</v>
      </c>
      <c r="CV37" s="13">
        <f t="shared" si="41"/>
        <v>34.110483018610772</v>
      </c>
      <c r="CW37" s="20">
        <f t="shared" si="13"/>
        <v>286.68614125741368</v>
      </c>
      <c r="CX37" s="59">
        <f t="shared" si="14"/>
        <v>529.45957271952921</v>
      </c>
      <c r="CY37" s="59">
        <f ca="1">AVERAGE(OFFSET($CX$3,0,0,'Données projet'!$E$13+1,1))-AVERAGE(OFFSET($H$3,0,0,'Données projet'!$E$13+1,1))</f>
        <v>215.37314197175104</v>
      </c>
      <c r="CZ37" s="59">
        <f t="shared" si="42"/>
        <v>361.17630426655978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85.95952382227216</v>
      </c>
      <c r="DH37" s="21">
        <f>EXP(-LN(2)/2)*DH36+(1-EXP(-LN(2)/2))/(LN(2)/2)*DB37*DE37*VLOOKUP('Données projet'!$B$13,Paramètres!$A$1:$I$89,3,0)*0.475*44/12</f>
        <v>6.338952892303934E-3</v>
      </c>
      <c r="DI37" s="22">
        <f t="shared" si="15"/>
        <v>85.965862775164467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15.881076923076924</v>
      </c>
      <c r="M38" s="12">
        <f t="array" ref="M38">INDEX(L:L,MIN(IF(ISNUMBER(L38:L234),ROW(L38:L234),"")))</f>
        <v>15.881076923076924</v>
      </c>
      <c r="N38" s="13">
        <f>IF('Données projet'!$A$36&gt;35,N37+M38-V37,IF(A38&lt;'Données projet'!$A$36,$K$205^A38,IF(A38='Données projet'!$A$36,'Données projet'!$B$36,N37+M38-V37)))</f>
        <v>201.29000000000002</v>
      </c>
      <c r="O38" s="13">
        <f>N38*VLOOKUP('Données projet'!$B$9,Paramètres!$A$1:$I$89,3,0)*VLOOKUP('Données projet'!$B$9,Paramètres!$A$1:$I$89,5,0)</f>
        <v>182.12719200000001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640.61523154603765</v>
      </c>
      <c r="S38" s="59">
        <f ca="1">AVERAGE(OFFSET($R$3,0,0,'Données projet'!$E$9+1,1))-AVERAGE(OFFSET($H$3,0,0,'Données projet'!$E$9+1,1))</f>
        <v>567.42635821336114</v>
      </c>
      <c r="T38" s="59">
        <f t="shared" si="34"/>
        <v>299.0473530693472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175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175.00000000000006</v>
      </c>
      <c r="AJ38" s="13">
        <f>AI38*VLOOKUP('Données projet'!$B$10,Paramètres!$A$1:$I$89,3,0)*VLOOKUP('Données projet'!$B$10,Paramètres!$A$1:$I$89,5,0)</f>
        <v>150.15000000000006</v>
      </c>
      <c r="AK38" s="13">
        <f t="shared" si="35"/>
        <v>38.612671675922371</v>
      </c>
      <c r="AL38" s="20">
        <f t="shared" si="4"/>
        <v>328.76165316889825</v>
      </c>
      <c r="AM38" s="59">
        <f t="shared" si="5"/>
        <v>572.41218589347272</v>
      </c>
      <c r="AN38" s="59">
        <f ca="1">AVERAGE(OFFSET($AM$3,0,0,'Données projet'!$E$10+1,1))-AVERAGE(OFFSET($H$3,0,0,'Données projet'!$E$10+1,1))</f>
        <v>569.97793593332699</v>
      </c>
      <c r="AO38" s="59">
        <f t="shared" si="36"/>
        <v>331.25104323342907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17.594556013608486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17.594556013608486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12.633333333333333</v>
      </c>
      <c r="BD38" s="12">
        <f>IF('Données projet'!$A$88&gt;35,BD37+BC38-BL37,IF(A38&lt;'Données projet'!$A$88,$BA$205^A38,IF(A38='Données projet'!$A$88,'Données projet'!$B$88,BD37+BC38-BL37)))</f>
        <v>139.22333333333333</v>
      </c>
      <c r="BE38" s="13">
        <f>BD38*VLOOKUP('Données projet'!$B$11,Paramètres!$A$1:$I$89,3,0)*VLOOKUP('Données projet'!$B$11,Paramètres!$A$1:$I$89,5,0)</f>
        <v>117.281736</v>
      </c>
      <c r="BF38" s="13">
        <f t="shared" si="37"/>
        <v>31.040165897322492</v>
      </c>
      <c r="BG38" s="20">
        <f t="shared" si="7"/>
        <v>258.32731247116993</v>
      </c>
      <c r="BH38" s="59">
        <f t="shared" si="8"/>
        <v>501.97784519574441</v>
      </c>
      <c r="BI38" s="59">
        <f ca="1">AVERAGE(OFFSET($BH$3,0,0,'Données projet'!$E$11+1,1))-AVERAGE(OFFSET($H$3,0,0,'Données projet'!$E$11+1,1))</f>
        <v>458.88102603650725</v>
      </c>
      <c r="BJ38" s="59">
        <f t="shared" si="38"/>
        <v>277.79020316059552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23.520742081527754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23.520742081527754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175.23480000000001</v>
      </c>
      <c r="CA38" s="13">
        <f t="shared" si="39"/>
        <v>44.260367185241513</v>
      </c>
      <c r="CB38" s="20">
        <f t="shared" si="10"/>
        <v>382.28741618096228</v>
      </c>
      <c r="CC38" s="59">
        <f t="shared" si="11"/>
        <v>625.93794890553681</v>
      </c>
      <c r="CD38" s="59">
        <f ca="1">AVERAGE(OFFSET($CC$3,0,0,'Données projet'!$E$12+1,1))-AVERAGE(OFFSET($H$3,0,0,'Données projet'!$E$12+1,1))</f>
        <v>400.48995908576177</v>
      </c>
      <c r="CE38" s="59">
        <f t="shared" si="40"/>
        <v>384.86917865380076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14.638187733860475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14.638187733860475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15</v>
      </c>
      <c r="CT38" s="12">
        <f>IF('Données projet'!$A$140&gt;35,CT37+CS38-DB37,IF(A38&lt;'Données projet'!$A$140,$CQ$205^A38,IF(A38='Données projet'!$A$140,'Données projet'!$B$140,CT37+CS38-DB37)))</f>
        <v>253.99999999999994</v>
      </c>
      <c r="CU38" s="17">
        <f>CT38*VLOOKUP('Données projet'!$B$13,Paramètres!$A$1:$I$89,3,0)*VLOOKUP('Données projet'!$B$13,Paramètres!$A$1:$I$89,5,0)</f>
        <v>138.68399999999997</v>
      </c>
      <c r="CV38" s="13">
        <f t="shared" si="41"/>
        <v>35.995362862956796</v>
      </c>
      <c r="CW38" s="20">
        <f t="shared" si="13"/>
        <v>304.23322365298299</v>
      </c>
      <c r="CX38" s="59">
        <f t="shared" si="14"/>
        <v>547.88375637755746</v>
      </c>
      <c r="CY38" s="59">
        <f ca="1">AVERAGE(OFFSET($CX$3,0,0,'Données projet'!$E$13+1,1))-AVERAGE(OFFSET($H$3,0,0,'Données projet'!$E$13+1,1))</f>
        <v>215.37314197175104</v>
      </c>
      <c r="CZ38" s="59">
        <f t="shared" si="42"/>
        <v>361.17630426655978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83.608956122937229</v>
      </c>
      <c r="DH38" s="21">
        <f>EXP(-LN(2)/2)*DH37+(1-EXP(-LN(2)/2))/(LN(2)/2)*DB38*DE38*VLOOKUP('Données projet'!$B$13,Paramètres!$A$1:$I$89,3,0)*0.475*44/12</f>
        <v>4.4823165757701903E-3</v>
      </c>
      <c r="DI38" s="22">
        <f t="shared" si="15"/>
        <v>83.613438439513004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144.57166666666672</v>
      </c>
      <c r="O39" s="13">
        <f>N39*VLOOKUP('Données projet'!$B$9,Paramètres!$A$1:$I$89,3,0)*VLOOKUP('Données projet'!$B$9,Paramètres!$A$1:$I$89,5,0)</f>
        <v>130.80844400000004</v>
      </c>
      <c r="P39" s="13">
        <f t="shared" si="33"/>
        <v>34.183099548128496</v>
      </c>
      <c r="Q39" s="20">
        <f t="shared" si="53"/>
        <v>287.36027167965722</v>
      </c>
      <c r="R39" s="59">
        <f t="shared" si="0"/>
        <v>531.87268992069164</v>
      </c>
      <c r="S39" s="59">
        <f ca="1">AVERAGE(OFFSET($R$3,0,0,'Données projet'!$E$9+1,1))-AVERAGE(OFFSET($H$3,0,0,'Données projet'!$E$9+1,1))</f>
        <v>567.42635821336114</v>
      </c>
      <c r="T39" s="59">
        <f t="shared" si="34"/>
        <v>299.0473530693472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</v>
      </c>
      <c r="AI39" s="13">
        <f>IF('Données projet'!$A$62&gt;35,AI38+AH39-AQ38,IF(A39&lt;'Données projet'!$A$62,$AF$205^A39,IF(A39='Données projet'!$A$62,'Données projet'!$B$62,AI38+AH39-AQ38)))</f>
        <v>153.40000000000006</v>
      </c>
      <c r="AJ39" s="13">
        <f>AI39*VLOOKUP('Données projet'!$B$10,Paramètres!$A$1:$I$89,3,0)*VLOOKUP('Données projet'!$B$10,Paramètres!$A$1:$I$89,5,0)</f>
        <v>131.61720000000008</v>
      </c>
      <c r="AK39" s="13">
        <f t="shared" si="35"/>
        <v>34.369777461794328</v>
      </c>
      <c r="AL39" s="20">
        <f t="shared" si="4"/>
        <v>289.09398574595861</v>
      </c>
      <c r="AM39" s="59">
        <f t="shared" si="5"/>
        <v>533.60640398699297</v>
      </c>
      <c r="AN39" s="59">
        <f ca="1">AVERAGE(OFFSET($AM$3,0,0,'Données projet'!$E$10+1,1))-AVERAGE(OFFSET($H$3,0,0,'Données projet'!$E$10+1,1))</f>
        <v>569.97793593332699</v>
      </c>
      <c r="AO39" s="59">
        <f t="shared" si="36"/>
        <v>331.25104323342907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17.249537501801132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17.249537501801132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12.633333333333333</v>
      </c>
      <c r="BD39" s="12">
        <f>IF('Données projet'!$A$88&gt;35,BD38+BC39-BL38,IF(A39&lt;'Données projet'!$A$88,$BA$205^A39,IF(A39='Données projet'!$A$88,'Données projet'!$B$88,BD38+BC39-BL38)))</f>
        <v>151.85666666666665</v>
      </c>
      <c r="BE39" s="13">
        <f>BD39*VLOOKUP('Données projet'!$B$11,Paramètres!$A$1:$I$89,3,0)*VLOOKUP('Données projet'!$B$11,Paramètres!$A$1:$I$89,5,0)</f>
        <v>127.92405600000001</v>
      </c>
      <c r="BF39" s="13">
        <f t="shared" si="37"/>
        <v>33.516221137269056</v>
      </c>
      <c r="BG39" s="20">
        <f t="shared" si="7"/>
        <v>281.17514934741024</v>
      </c>
      <c r="BH39" s="59">
        <f t="shared" si="8"/>
        <v>525.68756758844461</v>
      </c>
      <c r="BI39" s="59">
        <f ca="1">AVERAGE(OFFSET($BH$3,0,0,'Données projet'!$E$11+1,1))-AVERAGE(OFFSET($H$3,0,0,'Données projet'!$E$11+1,1))</f>
        <v>458.88102603650725</v>
      </c>
      <c r="BJ39" s="59">
        <f t="shared" si="38"/>
        <v>277.79020316059552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23.059514675545092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23.059514675545092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154.11863999999997</v>
      </c>
      <c r="CA39" s="13">
        <f t="shared" si="39"/>
        <v>39.513080685376593</v>
      </c>
      <c r="CB39" s="20">
        <f t="shared" si="10"/>
        <v>337.24191352703082</v>
      </c>
      <c r="CC39" s="59">
        <f t="shared" si="11"/>
        <v>581.75433176806519</v>
      </c>
      <c r="CD39" s="59">
        <f ca="1">AVERAGE(OFFSET($CC$3,0,0,'Données projet'!$E$12+1,1))-AVERAGE(OFFSET($H$3,0,0,'Données projet'!$E$12+1,1))</f>
        <v>400.48995908576177</v>
      </c>
      <c r="CE39" s="59">
        <f t="shared" si="40"/>
        <v>384.86917865380076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14.351141800812382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14.351141800812382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269</v>
      </c>
      <c r="CR39" s="12">
        <f>VLOOKUP(A39,'Données projet'!$A$139:$I$159,9,0)</f>
        <v>15</v>
      </c>
      <c r="CS39" s="12">
        <f t="array" ref="CS39">INDEX(CR:CR,MIN(IF(ISNUMBER(CR39:CR235),ROW(CR39:CR235),"")))</f>
        <v>15</v>
      </c>
      <c r="CT39" s="12">
        <f>IF('Données projet'!$A$140&gt;35,CT38+CS39-DB38,IF(A39&lt;'Données projet'!$A$140,$CQ$205^A39,IF(A39='Données projet'!$A$140,'Données projet'!$B$140,CT38+CS39-DB38)))</f>
        <v>268.99999999999994</v>
      </c>
      <c r="CU39" s="17">
        <f>CT39*VLOOKUP('Données projet'!$B$13,Paramètres!$A$1:$I$89,3,0)*VLOOKUP('Données projet'!$B$13,Paramètres!$A$1:$I$89,5,0)</f>
        <v>146.87399999999997</v>
      </c>
      <c r="CV39" s="13">
        <f t="shared" si="41"/>
        <v>37.867322517591383</v>
      </c>
      <c r="CW39" s="20">
        <f t="shared" si="13"/>
        <v>321.75780338480496</v>
      </c>
      <c r="CX39" s="59">
        <f t="shared" si="14"/>
        <v>566.27022162583944</v>
      </c>
      <c r="CY39" s="59">
        <f ca="1">AVERAGE(OFFSET($CX$3,0,0,'Données projet'!$E$13+1,1))-AVERAGE(OFFSET($H$3,0,0,'Données projet'!$E$13+1,1))</f>
        <v>215.37314197175104</v>
      </c>
      <c r="CZ39" s="59">
        <f t="shared" si="42"/>
        <v>361.17630426655978</v>
      </c>
      <c r="DA39" s="15">
        <f>IF(ISNA(VLOOKUP(A39,'Données projet'!$A$139:$I$159,3,0)),0,VLOOKUP(A39,'Données projet'!$A$139:$I$159,3,0))</f>
        <v>6</v>
      </c>
      <c r="DB39" s="15">
        <f>IF(ISNA(VLOOKUP(A39,'Données projet'!$A$139:$I$159,4,0)),0,VLOOKUP(A39,'Données projet'!$A$139:$I$159,4,0))</f>
        <v>75</v>
      </c>
      <c r="DC39" s="16">
        <f>IF(ISNA(VLOOKUP(A39,'Données projet'!$A$139:$I$159,5,0)),0%,VLOOKUP(A39,'Données projet'!$A$139:$I$159,5,0)*VLOOKUP('Données projet'!$B$13,Paramètres!$A$1:$I$89,7,0))</f>
        <v>0.6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32.593688670149504</v>
      </c>
      <c r="DG39" s="21">
        <f>EXP(-LN(2)/25)*DG38+(1-EXP(-LN(2)/25))/(LN(2)/25)*Calculateur!DB39*Calculateur!DD39*VLOOKUP('Données projet'!$B$13,Paramètres!$A$1:$I$89,3,0)*0.475*44/12</f>
        <v>81.322664820951601</v>
      </c>
      <c r="DH39" s="21">
        <f>EXP(-LN(2)/2)*DH38+(1-EXP(-LN(2)/2))/(LN(2)/2)*DB39*DE39*VLOOKUP('Données projet'!$B$13,Paramètres!$A$1:$I$89,3,0)*0.475*44/12</f>
        <v>3.169476446151967E-3</v>
      </c>
      <c r="DI39" s="22">
        <f t="shared" si="15"/>
        <v>113.91952296754725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157.43333333333339</v>
      </c>
      <c r="O40" s="13">
        <f>N40*VLOOKUP('Données projet'!$B$9,Paramètres!$A$1:$I$89,3,0)*VLOOKUP('Données projet'!$B$9,Paramètres!$A$1:$I$89,5,0)</f>
        <v>142.44568000000007</v>
      </c>
      <c r="P40" s="13">
        <f t="shared" si="33"/>
        <v>36.856710479085173</v>
      </c>
      <c r="Q40" s="20">
        <f t="shared" si="53"/>
        <v>312.28499675107349</v>
      </c>
      <c r="R40" s="59">
        <f t="shared" si="0"/>
        <v>557.64434872174456</v>
      </c>
      <c r="S40" s="59">
        <f ca="1">AVERAGE(OFFSET($R$3,0,0,'Données projet'!$E$9+1,1))-AVERAGE(OFFSET($H$3,0,0,'Données projet'!$E$9+1,1))</f>
        <v>567.42635821336114</v>
      </c>
      <c r="T40" s="59">
        <f t="shared" si="34"/>
        <v>299.0473530693472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</v>
      </c>
      <c r="AI40" s="13">
        <f>IF('Données projet'!$A$62&gt;35,AI39+AH40-AQ39,IF(A40&lt;'Données projet'!$A$62,$AF$205^A40,IF(A40='Données projet'!$A$62,'Données projet'!$B$62,AI39+AH40-AQ39)))</f>
        <v>166.80000000000007</v>
      </c>
      <c r="AJ40" s="13">
        <f>AI40*VLOOKUP('Données projet'!$B$10,Paramètres!$A$1:$I$89,3,0)*VLOOKUP('Données projet'!$B$10,Paramètres!$A$1:$I$89,5,0)</f>
        <v>143.11440000000007</v>
      </c>
      <c r="AK40" s="13">
        <f t="shared" si="35"/>
        <v>37.009554635379814</v>
      </c>
      <c r="AL40" s="20">
        <f t="shared" si="4"/>
        <v>313.71588765662</v>
      </c>
      <c r="AM40" s="59">
        <f t="shared" si="5"/>
        <v>559.07523962729113</v>
      </c>
      <c r="AN40" s="59">
        <f ca="1">AVERAGE(OFFSET($AM$3,0,0,'Données projet'!$E$10+1,1))-AVERAGE(OFFSET($H$3,0,0,'Données projet'!$E$10+1,1))</f>
        <v>569.97793593332699</v>
      </c>
      <c r="AO40" s="59">
        <f t="shared" si="36"/>
        <v>331.25104323342907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16.911284592569807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16.911284592569807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164.49</v>
      </c>
      <c r="BB40" s="12">
        <f>VLOOKUP(A40,'Données projet'!$A$87:$I$107,9,0)</f>
        <v>12.633333333333333</v>
      </c>
      <c r="BC40" s="12">
        <f t="array" ref="BC40">INDEX(BB:BB,MIN(IF(ISNUMBER(BB40:BB236),ROW(BB40:BB236),"")))</f>
        <v>12.633333333333333</v>
      </c>
      <c r="BD40" s="12">
        <f>IF('Données projet'!$A$88&gt;35,BD39+BC40-BL39,IF(A40&lt;'Données projet'!$A$88,$BA$205^A40,IF(A40='Données projet'!$A$88,'Données projet'!$B$88,BD39+BC40-BL39)))</f>
        <v>164.48999999999998</v>
      </c>
      <c r="BE40" s="13">
        <f>BD40*VLOOKUP('Données projet'!$B$11,Paramètres!$A$1:$I$89,3,0)*VLOOKUP('Données projet'!$B$11,Paramètres!$A$1:$I$89,5,0)</f>
        <v>138.56637599999999</v>
      </c>
      <c r="BF40" s="13">
        <f t="shared" si="37"/>
        <v>35.968385885318511</v>
      </c>
      <c r="BG40" s="20">
        <f t="shared" si="7"/>
        <v>303.9813769502631</v>
      </c>
      <c r="BH40" s="59">
        <f t="shared" si="8"/>
        <v>549.34072892093423</v>
      </c>
      <c r="BI40" s="59">
        <f ca="1">AVERAGE(OFFSET($BH$3,0,0,'Données projet'!$E$11+1,1))-AVERAGE(OFFSET($H$3,0,0,'Données projet'!$E$11+1,1))</f>
        <v>458.88102603650725</v>
      </c>
      <c r="BJ40" s="59">
        <f t="shared" si="38"/>
        <v>277.79020316059552</v>
      </c>
      <c r="BK40" s="15">
        <f>IF(ISNA(VLOOKUP(A40,'Données projet'!$A$87:$I$107,3,0)),0,VLOOKUP(A40,'Données projet'!$A$87:$I$107,3,0))</f>
        <v>2</v>
      </c>
      <c r="BL40" s="15">
        <f>IF(ISNA(VLOOKUP(A40,'Données projet'!$A$87:$I$107,4,0)),0,VLOOKUP(A40,'Données projet'!$A$87:$I$107,4,0))</f>
        <v>41.18</v>
      </c>
      <c r="BM40" s="16">
        <f>IF(ISNA(VLOOKUP(A40,'Données projet'!$A$87:$I$107,5,0)),0%,VLOOKUP(A40,'Données projet'!$A$87:$I$107,5,0)*VLOOKUP('Données projet'!$B$11,Paramètres!$A$1:$I$89,7,0))</f>
        <v>0.43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39.097316879324396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39.097316879324396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163.79687999999999</v>
      </c>
      <c r="CA40" s="13">
        <f t="shared" si="39"/>
        <v>41.697739822198329</v>
      </c>
      <c r="CB40" s="20">
        <f t="shared" si="10"/>
        <v>357.90312952366207</v>
      </c>
      <c r="CC40" s="59">
        <f t="shared" si="11"/>
        <v>603.2624814943332</v>
      </c>
      <c r="CD40" s="59">
        <f ca="1">AVERAGE(OFFSET($CC$3,0,0,'Données projet'!$E$12+1,1))-AVERAGE(OFFSET($H$3,0,0,'Données projet'!$E$12+1,1))</f>
        <v>400.48995908576177</v>
      </c>
      <c r="CE40" s="59">
        <f t="shared" si="40"/>
        <v>384.86917865380076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14.06972466343063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14.06972466343063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</v>
      </c>
      <c r="CT40" s="12">
        <f>IF('Données projet'!$A$140&gt;35,CT39+CS40-DB39,IF(A40&lt;'Données projet'!$A$140,$CQ$205^A40,IF(A40='Données projet'!$A$140,'Données projet'!$B$140,CT39+CS40-DB39)))</f>
        <v>207.99999999999994</v>
      </c>
      <c r="CU40" s="17">
        <f>CT40*VLOOKUP('Données projet'!$B$13,Paramètres!$A$1:$I$89,3,0)*VLOOKUP('Données projet'!$B$13,Paramètres!$A$1:$I$89,5,0)</f>
        <v>113.56799999999997</v>
      </c>
      <c r="CV40" s="13">
        <f t="shared" si="41"/>
        <v>30.170065062058185</v>
      </c>
      <c r="CW40" s="20">
        <f t="shared" si="13"/>
        <v>250.34379664975128</v>
      </c>
      <c r="CX40" s="59">
        <f t="shared" si="14"/>
        <v>495.70314862042238</v>
      </c>
      <c r="CY40" s="59">
        <f ca="1">AVERAGE(OFFSET($CX$3,0,0,'Données projet'!$E$13+1,1))-AVERAGE(OFFSET($H$3,0,0,'Données projet'!$E$13+1,1))</f>
        <v>215.37314197175104</v>
      </c>
      <c r="CZ40" s="59">
        <f t="shared" si="42"/>
        <v>361.17630426655978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31.954546315514957</v>
      </c>
      <c r="DG40" s="21">
        <f>EXP(-LN(2)/25)*DG39+(1-EXP(-LN(2)/25))/(LN(2)/25)*Calculateur!DB40*Calculateur!DD40*VLOOKUP('Données projet'!$B$13,Paramètres!$A$1:$I$89,3,0)*0.475*44/12</f>
        <v>79.098892274849604</v>
      </c>
      <c r="DH40" s="21">
        <f>EXP(-LN(2)/2)*DH39+(1-EXP(-LN(2)/2))/(LN(2)/2)*DB40*DE40*VLOOKUP('Données projet'!$B$13,Paramètres!$A$1:$I$89,3,0)*0.475*44/12</f>
        <v>2.2411582878850951E-3</v>
      </c>
      <c r="DI40" s="22">
        <f t="shared" si="15"/>
        <v>111.05567974865245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170.29500000000007</v>
      </c>
      <c r="O41" s="13">
        <f>N41*VLOOKUP('Données projet'!$B$9,Paramètres!$A$1:$I$89,3,0)*VLOOKUP('Données projet'!$B$9,Paramètres!$A$1:$I$89,5,0)</f>
        <v>154.08291600000007</v>
      </c>
      <c r="P41" s="13">
        <f t="shared" si="33"/>
        <v>39.504987725811617</v>
      </c>
      <c r="Q41" s="20">
        <f t="shared" si="53"/>
        <v>337.16559898912197</v>
      </c>
      <c r="R41" s="59">
        <f t="shared" si="0"/>
        <v>583.35719228268067</v>
      </c>
      <c r="S41" s="59">
        <f ca="1">AVERAGE(OFFSET($R$3,0,0,'Données projet'!$E$9+1,1))-AVERAGE(OFFSET($H$3,0,0,'Données projet'!$E$9+1,1))</f>
        <v>567.42635821336114</v>
      </c>
      <c r="T41" s="59">
        <f t="shared" si="34"/>
        <v>299.0473530693472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</v>
      </c>
      <c r="AI41" s="13">
        <f>IF('Données projet'!$A$62&gt;35,AI40+AH41-AQ40,IF(A41&lt;'Données projet'!$A$62,$AF$205^A41,IF(A41='Données projet'!$A$62,'Données projet'!$B$62,AI40+AH41-AQ40)))</f>
        <v>180.20000000000007</v>
      </c>
      <c r="AJ41" s="13">
        <f>AI41*VLOOKUP('Données projet'!$B$10,Paramètres!$A$1:$I$89,3,0)*VLOOKUP('Données projet'!$B$10,Paramètres!$A$1:$I$89,5,0)</f>
        <v>154.61160000000007</v>
      </c>
      <c r="AK41" s="13">
        <f t="shared" si="35"/>
        <v>39.624734188365885</v>
      </c>
      <c r="AL41" s="20">
        <f t="shared" si="4"/>
        <v>338.294948711404</v>
      </c>
      <c r="AM41" s="59">
        <f t="shared" si="5"/>
        <v>584.48654200496276</v>
      </c>
      <c r="AN41" s="59">
        <f ca="1">AVERAGE(OFFSET($AM$3,0,0,'Données projet'!$E$10+1,1))-AVERAGE(OFFSET($H$3,0,0,'Données projet'!$E$10+1,1))</f>
        <v>569.97793593332699</v>
      </c>
      <c r="AO41" s="59">
        <f t="shared" si="36"/>
        <v>331.25104323342907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16.579664616574608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16.579664616574608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13.599999999999998</v>
      </c>
      <c r="BD41" s="12">
        <f>IF('Données projet'!$A$88&gt;35,BD40+BC41-BL40,IF(A41&lt;'Données projet'!$A$88,$BA$205^A41,IF(A41='Données projet'!$A$88,'Données projet'!$B$88,BD40+BC41-BL40)))</f>
        <v>136.90999999999997</v>
      </c>
      <c r="BE41" s="13">
        <f>BD41*VLOOKUP('Données projet'!$B$11,Paramètres!$A$1:$I$89,3,0)*VLOOKUP('Données projet'!$B$11,Paramètres!$A$1:$I$89,5,0)</f>
        <v>115.33298399999998</v>
      </c>
      <c r="BF41" s="13">
        <f t="shared" si="37"/>
        <v>30.583994208557012</v>
      </c>
      <c r="BG41" s="20">
        <f t="shared" si="7"/>
        <v>254.1387370465701</v>
      </c>
      <c r="BH41" s="59">
        <f t="shared" si="8"/>
        <v>500.33033034012885</v>
      </c>
      <c r="BI41" s="59">
        <f ca="1">AVERAGE(OFFSET($BH$3,0,0,'Données projet'!$E$11+1,1))-AVERAGE(OFFSET($H$3,0,0,'Données projet'!$E$11+1,1))</f>
        <v>458.88102603650725</v>
      </c>
      <c r="BJ41" s="59">
        <f t="shared" si="38"/>
        <v>277.79020316059552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38.330642342329448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38.330642342329448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173.47511999999998</v>
      </c>
      <c r="CA41" s="13">
        <f t="shared" si="39"/>
        <v>43.867415861334891</v>
      </c>
      <c r="CB41" s="20">
        <f t="shared" si="10"/>
        <v>378.53824995849158</v>
      </c>
      <c r="CC41" s="59">
        <f t="shared" si="11"/>
        <v>624.72984325205027</v>
      </c>
      <c r="CD41" s="59">
        <f ca="1">AVERAGE(OFFSET($CC$3,0,0,'Données projet'!$E$12+1,1))-AVERAGE(OFFSET($H$3,0,0,'Données projet'!$E$12+1,1))</f>
        <v>400.48995908576177</v>
      </c>
      <c r="CE41" s="59">
        <f t="shared" si="40"/>
        <v>384.86917865380076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13.793825944465429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13.793825944465429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</v>
      </c>
      <c r="CT41" s="12">
        <f>IF('Données projet'!$A$140&gt;35,CT40+CS41-DB40,IF(A41&lt;'Données projet'!$A$140,$CQ$205^A41,IF(A41='Données projet'!$A$140,'Données projet'!$B$140,CT40+CS41-DB40)))</f>
        <v>221.99999999999994</v>
      </c>
      <c r="CU41" s="17">
        <f>CT41*VLOOKUP('Données projet'!$B$13,Paramètres!$A$1:$I$89,3,0)*VLOOKUP('Données projet'!$B$13,Paramètres!$A$1:$I$89,5,0)</f>
        <v>121.21199999999996</v>
      </c>
      <c r="CV41" s="13">
        <f t="shared" si="41"/>
        <v>31.95751284761706</v>
      </c>
      <c r="CW41" s="20">
        <f t="shared" si="13"/>
        <v>266.77023487626633</v>
      </c>
      <c r="CX41" s="59">
        <f t="shared" si="14"/>
        <v>512.96182816982503</v>
      </c>
      <c r="CY41" s="59">
        <f ca="1">AVERAGE(OFFSET($CX$3,0,0,'Données projet'!$E$13+1,1))-AVERAGE(OFFSET($H$3,0,0,'Données projet'!$E$13+1,1))</f>
        <v>215.37314197175104</v>
      </c>
      <c r="CZ41" s="59">
        <f t="shared" si="42"/>
        <v>361.17630426655978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31.32793715261645</v>
      </c>
      <c r="DG41" s="21">
        <f>EXP(-LN(2)/25)*DG40+(1-EXP(-LN(2)/25))/(LN(2)/25)*Calculateur!DB41*Calculateur!DD41*VLOOKUP('Données projet'!$B$13,Paramètres!$A$1:$I$89,3,0)*0.475*44/12</f>
        <v>76.935928905963877</v>
      </c>
      <c r="DH41" s="21">
        <f>EXP(-LN(2)/2)*DH40+(1-EXP(-LN(2)/2))/(LN(2)/2)*DB41*DE41*VLOOKUP('Données projet'!$B$13,Paramètres!$A$1:$I$89,3,0)*0.475*44/12</f>
        <v>1.5847382230759835E-3</v>
      </c>
      <c r="DI41" s="22">
        <f t="shared" si="15"/>
        <v>108.26545079680341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183.15666666666675</v>
      </c>
      <c r="O42" s="13">
        <f>N42*VLOOKUP('Données projet'!$B$9,Paramètres!$A$1:$I$89,3,0)*VLOOKUP('Données projet'!$B$9,Paramètres!$A$1:$I$89,5,0)</f>
        <v>165.72015200000007</v>
      </c>
      <c r="P42" s="13">
        <f t="shared" si="33"/>
        <v>42.130062193248868</v>
      </c>
      <c r="Q42" s="20">
        <f t="shared" si="53"/>
        <v>362.00578971990859</v>
      </c>
      <c r="R42" s="59">
        <f t="shared" si="0"/>
        <v>609.01518681001573</v>
      </c>
      <c r="S42" s="59">
        <f ca="1">AVERAGE(OFFSET($R$3,0,0,'Données projet'!$E$9+1,1))-AVERAGE(OFFSET($H$3,0,0,'Données projet'!$E$9+1,1))</f>
        <v>567.42635821336114</v>
      </c>
      <c r="T42" s="59">
        <f t="shared" si="34"/>
        <v>299.0473530693472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</v>
      </c>
      <c r="AI42" s="13">
        <f>IF('Données projet'!$A$62&gt;35,AI41+AH42-AQ41,IF(A42&lt;'Données projet'!$A$62,$AF$205^A42,IF(A42='Données projet'!$A$62,'Données projet'!$B$62,AI41+AH42-AQ41)))</f>
        <v>193.60000000000008</v>
      </c>
      <c r="AJ42" s="13">
        <f>AI42*VLOOKUP('Données projet'!$B$10,Paramètres!$A$1:$I$89,3,0)*VLOOKUP('Données projet'!$B$10,Paramètres!$A$1:$I$89,5,0)</f>
        <v>166.10880000000009</v>
      </c>
      <c r="AK42" s="13">
        <f t="shared" si="35"/>
        <v>42.217353238107833</v>
      </c>
      <c r="AL42" s="20">
        <f t="shared" si="4"/>
        <v>362.83471688970462</v>
      </c>
      <c r="AM42" s="59">
        <f t="shared" si="5"/>
        <v>609.84411397981171</v>
      </c>
      <c r="AN42" s="59">
        <f ca="1">AVERAGE(OFFSET($AM$3,0,0,'Données projet'!$E$10+1,1))-AVERAGE(OFFSET($H$3,0,0,'Données projet'!$E$10+1,1))</f>
        <v>569.97793593332699</v>
      </c>
      <c r="AO42" s="59">
        <f t="shared" si="36"/>
        <v>331.25104323342907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16.25454750604046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16.25454750604046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13.599999999999998</v>
      </c>
      <c r="BD42" s="12">
        <f>IF('Données projet'!$A$88&gt;35,BD41+BC42-BL41,IF(A42&lt;'Données projet'!$A$88,$BA$205^A42,IF(A42='Données projet'!$A$88,'Données projet'!$B$88,BD41+BC42-BL41)))</f>
        <v>150.50999999999996</v>
      </c>
      <c r="BE42" s="13">
        <f>BD42*VLOOKUP('Données projet'!$B$11,Paramètres!$A$1:$I$89,3,0)*VLOOKUP('Données projet'!$B$11,Paramètres!$A$1:$I$89,5,0)</f>
        <v>126.78962399999999</v>
      </c>
      <c r="BF42" s="13">
        <f t="shared" si="37"/>
        <v>33.253459575543594</v>
      </c>
      <c r="BG42" s="20">
        <f t="shared" si="7"/>
        <v>278.74170389407175</v>
      </c>
      <c r="BH42" s="59">
        <f t="shared" si="8"/>
        <v>525.75110098417883</v>
      </c>
      <c r="BI42" s="59">
        <f ca="1">AVERAGE(OFFSET($BH$3,0,0,'Données projet'!$E$11+1,1))-AVERAGE(OFFSET($H$3,0,0,'Données projet'!$E$11+1,1))</f>
        <v>458.88102603650725</v>
      </c>
      <c r="BJ42" s="59">
        <f t="shared" si="38"/>
        <v>277.79020316059552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37.57900182537967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37.57900182537967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183.15335999999996</v>
      </c>
      <c r="CA42" s="13">
        <f t="shared" si="39"/>
        <v>46.023039984246878</v>
      </c>
      <c r="CB42" s="20">
        <f t="shared" si="10"/>
        <v>399.14889663922986</v>
      </c>
      <c r="CC42" s="59">
        <f t="shared" si="11"/>
        <v>646.15829372933695</v>
      </c>
      <c r="CD42" s="59">
        <f ca="1">AVERAGE(OFFSET($CC$3,0,0,'Données projet'!$E$12+1,1))-AVERAGE(OFFSET($H$3,0,0,'Données projet'!$E$12+1,1))</f>
        <v>400.48995908576177</v>
      </c>
      <c r="CE42" s="59">
        <f t="shared" si="40"/>
        <v>384.86917865380076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13.523337431097533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13.523337431097533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</v>
      </c>
      <c r="CT42" s="12">
        <f>IF('Données projet'!$A$140&gt;35,CT41+CS42-DB41,IF(A42&lt;'Données projet'!$A$140,$CQ$205^A42,IF(A42='Données projet'!$A$140,'Données projet'!$B$140,CT41+CS42-DB41)))</f>
        <v>235.99999999999994</v>
      </c>
      <c r="CU42" s="17">
        <f>CT42*VLOOKUP('Données projet'!$B$13,Paramètres!$A$1:$I$89,3,0)*VLOOKUP('Données projet'!$B$13,Paramètres!$A$1:$I$89,5,0)</f>
        <v>128.85599999999997</v>
      </c>
      <c r="CV42" s="13">
        <f t="shared" si="41"/>
        <v>33.731878688740906</v>
      </c>
      <c r="CW42" s="20">
        <f t="shared" si="13"/>
        <v>283.1738887162237</v>
      </c>
      <c r="CX42" s="59">
        <f t="shared" si="14"/>
        <v>530.18328580633079</v>
      </c>
      <c r="CY42" s="59">
        <f ca="1">AVERAGE(OFFSET($CX$3,0,0,'Données projet'!$E$13+1,1))-AVERAGE(OFFSET($H$3,0,0,'Données projet'!$E$13+1,1))</f>
        <v>215.37314197175104</v>
      </c>
      <c r="CZ42" s="59">
        <f t="shared" si="42"/>
        <v>361.17630426655978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30.71361541320853</v>
      </c>
      <c r="DG42" s="21">
        <f>EXP(-LN(2)/25)*DG41+(1-EXP(-LN(2)/25))/(LN(2)/25)*Calculateur!DB42*Calculateur!DD42*VLOOKUP('Données projet'!$B$13,Paramètres!$A$1:$I$89,3,0)*0.475*44/12</f>
        <v>74.832111884145633</v>
      </c>
      <c r="DH42" s="21">
        <f>EXP(-LN(2)/2)*DH41+(1-EXP(-LN(2)/2))/(LN(2)/2)*DB42*DE42*VLOOKUP('Données projet'!$B$13,Paramètres!$A$1:$I$89,3,0)*0.475*44/12</f>
        <v>1.1205791439425476E-3</v>
      </c>
      <c r="DI42" s="22">
        <f t="shared" si="15"/>
        <v>105.54684787649811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196.01833333333343</v>
      </c>
      <c r="O43" s="13">
        <f>N43*VLOOKUP('Données projet'!$B$9,Paramètres!$A$1:$I$89,3,0)*VLOOKUP('Données projet'!$B$9,Paramètres!$A$1:$I$89,5,0)</f>
        <v>177.35738800000007</v>
      </c>
      <c r="P43" s="13">
        <f t="shared" si="33"/>
        <v>44.733748562033469</v>
      </c>
      <c r="Q43" s="20">
        <f t="shared" si="53"/>
        <v>386.8087295122084</v>
      </c>
      <c r="R43" s="59">
        <f t="shared" si="0"/>
        <v>634.62174333132918</v>
      </c>
      <c r="S43" s="59">
        <f ca="1">AVERAGE(OFFSET($R$3,0,0,'Données projet'!$E$9+1,1))-AVERAGE(OFFSET($H$3,0,0,'Données projet'!$E$9+1,1))</f>
        <v>567.42635821336114</v>
      </c>
      <c r="T43" s="59">
        <f t="shared" si="34"/>
        <v>299.0473530693472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207</v>
      </c>
      <c r="AG43" s="12">
        <f>VLOOKUP(A43,'Données projet'!$A$61:$I$81,9,0)</f>
        <v>13.4</v>
      </c>
      <c r="AH43" s="12">
        <f t="array" ref="AH43">INDEX(AG:AG,MIN(IF(ISNUMBER(AG43:AG239),ROW(AG43:AG239),"")))</f>
        <v>13.4</v>
      </c>
      <c r="AI43" s="13">
        <f>IF('Données projet'!$A$62&gt;35,AI42+AH43-AQ42,IF(A43&lt;'Données projet'!$A$62,$AF$205^A43,IF(A43='Données projet'!$A$62,'Données projet'!$B$62,AI42+AH43-AQ42)))</f>
        <v>207.00000000000009</v>
      </c>
      <c r="AJ43" s="13">
        <f>AI43*VLOOKUP('Données projet'!$B$10,Paramètres!$A$1:$I$89,3,0)*VLOOKUP('Données projet'!$B$10,Paramètres!$A$1:$I$89,5,0)</f>
        <v>177.60600000000008</v>
      </c>
      <c r="AK43" s="13">
        <f t="shared" si="35"/>
        <v>44.789150937858665</v>
      </c>
      <c r="AL43" s="20">
        <f t="shared" si="4"/>
        <v>387.33822121677059</v>
      </c>
      <c r="AM43" s="59">
        <f t="shared" si="5"/>
        <v>635.15123503589143</v>
      </c>
      <c r="AN43" s="59">
        <f ca="1">AVERAGE(OFFSET($AM$3,0,0,'Données projet'!$E$10+1,1))-AVERAGE(OFFSET($H$3,0,0,'Données projet'!$E$10+1,1))</f>
        <v>569.97793593332699</v>
      </c>
      <c r="AO43" s="59">
        <f t="shared" si="36"/>
        <v>331.25104323342907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33.530361757350519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33.530361757350519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13.599999999999998</v>
      </c>
      <c r="BD43" s="12">
        <f>IF('Données projet'!$A$88&gt;35,BD42+BC43-BL42,IF(A43&lt;'Données projet'!$A$88,$BA$205^A43,IF(A43='Données projet'!$A$88,'Données projet'!$B$88,BD42+BC43-BL42)))</f>
        <v>164.10999999999996</v>
      </c>
      <c r="BE43" s="13">
        <f>BD43*VLOOKUP('Données projet'!$B$11,Paramètres!$A$1:$I$89,3,0)*VLOOKUP('Données projet'!$B$11,Paramètres!$A$1:$I$89,5,0)</f>
        <v>138.24626399999997</v>
      </c>
      <c r="BF43" s="13">
        <f t="shared" si="37"/>
        <v>35.894954927995002</v>
      </c>
      <c r="BG43" s="20">
        <f t="shared" si="7"/>
        <v>303.29595629959118</v>
      </c>
      <c r="BH43" s="59">
        <f t="shared" si="8"/>
        <v>551.10897011871202</v>
      </c>
      <c r="BI43" s="59">
        <f ca="1">AVERAGE(OFFSET($BH$3,0,0,'Données projet'!$E$11+1,1))-AVERAGE(OFFSET($H$3,0,0,'Données projet'!$E$11+1,1))</f>
        <v>458.88102603650725</v>
      </c>
      <c r="BJ43" s="59">
        <f t="shared" si="38"/>
        <v>277.79020316059552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36.842100520511835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36.842100520511835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192.83159999999995</v>
      </c>
      <c r="CA43" s="13">
        <f t="shared" si="39"/>
        <v>48.165439402688818</v>
      </c>
      <c r="CB43" s="20">
        <f t="shared" si="10"/>
        <v>419.73651029301618</v>
      </c>
      <c r="CC43" s="59">
        <f t="shared" si="11"/>
        <v>667.54952411213696</v>
      </c>
      <c r="CD43" s="59">
        <f ca="1">AVERAGE(OFFSET($CC$3,0,0,'Données projet'!$E$12+1,1))-AVERAGE(OFFSET($H$3,0,0,'Données projet'!$E$12+1,1))</f>
        <v>400.48995908576177</v>
      </c>
      <c r="CE43" s="59">
        <f t="shared" si="40"/>
        <v>384.86917865380076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27.199284207600293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27.199284207600293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14</v>
      </c>
      <c r="CT43" s="12">
        <f>IF('Données projet'!$A$140&gt;35,CT42+CS43-DB42,IF(A43&lt;'Données projet'!$A$140,$CQ$205^A43,IF(A43='Données projet'!$A$140,'Données projet'!$B$140,CT42+CS43-DB42)))</f>
        <v>249.99999999999994</v>
      </c>
      <c r="CU43" s="17">
        <f>CT43*VLOOKUP('Données projet'!$B$13,Paramètres!$A$1:$I$89,3,0)*VLOOKUP('Données projet'!$B$13,Paramètres!$A$1:$I$89,5,0)</f>
        <v>136.49999999999997</v>
      </c>
      <c r="CV43" s="13">
        <f t="shared" si="41"/>
        <v>35.494027024087352</v>
      </c>
      <c r="CW43" s="20">
        <f t="shared" si="13"/>
        <v>299.55626373361878</v>
      </c>
      <c r="CX43" s="59">
        <f t="shared" si="14"/>
        <v>547.36927755273962</v>
      </c>
      <c r="CY43" s="59">
        <f ca="1">AVERAGE(OFFSET($CX$3,0,0,'Données projet'!$E$13+1,1))-AVERAGE(OFFSET($H$3,0,0,'Données projet'!$E$13+1,1))</f>
        <v>215.37314197175104</v>
      </c>
      <c r="CZ43" s="59">
        <f t="shared" si="42"/>
        <v>361.17630426655978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30.111340148411138</v>
      </c>
      <c r="DG43" s="21">
        <f>EXP(-LN(2)/25)*DG42+(1-EXP(-LN(2)/25))/(LN(2)/25)*Calculateur!DB43*Calculateur!DD43*VLOOKUP('Données projet'!$B$13,Paramètres!$A$1:$I$89,3,0)*0.475*44/12</f>
        <v>72.785823849423934</v>
      </c>
      <c r="DH43" s="21">
        <f>EXP(-LN(2)/2)*DH42+(1-EXP(-LN(2)/2))/(LN(2)/2)*DB43*DE43*VLOOKUP('Données projet'!$B$13,Paramètres!$A$1:$I$89,3,0)*0.475*44/12</f>
        <v>7.9236911153799175E-4</v>
      </c>
      <c r="DI43" s="22">
        <f t="shared" si="15"/>
        <v>102.8979563669466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208.88000000000011</v>
      </c>
      <c r="O44" s="13">
        <f>N44*VLOOKUP('Données projet'!$B$9,Paramètres!$A$1:$I$89,3,0)*VLOOKUP('Données projet'!$B$9,Paramètres!$A$1:$I$89,5,0)</f>
        <v>188.9946240000001</v>
      </c>
      <c r="P44" s="13">
        <f t="shared" si="33"/>
        <v>47.317609904825126</v>
      </c>
      <c r="Q44" s="20">
        <f t="shared" si="53"/>
        <v>411.57714071757056</v>
      </c>
      <c r="R44" s="59">
        <f t="shared" si="0"/>
        <v>660.1798303120745</v>
      </c>
      <c r="S44" s="59">
        <f ca="1">AVERAGE(OFFSET($R$3,0,0,'Données projet'!$E$9+1,1))-AVERAGE(OFFSET($H$3,0,0,'Données projet'!$E$9+1,1))</f>
        <v>567.42635821336114</v>
      </c>
      <c r="T44" s="59">
        <f t="shared" si="34"/>
        <v>299.0473530693472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</v>
      </c>
      <c r="AI44" s="13">
        <f>IF('Données projet'!$A$62&gt;35,AI43+AH44-AQ43,IF(A44&lt;'Données projet'!$A$62,$AF$205^A44,IF(A44='Données projet'!$A$62,'Données projet'!$B$62,AI43+AH44-AQ43)))</f>
        <v>185.8000000000001</v>
      </c>
      <c r="AJ44" s="13">
        <f>AI44*VLOOKUP('Données projet'!$B$10,Paramètres!$A$1:$I$89,3,0)*VLOOKUP('Données projet'!$B$10,Paramètres!$A$1:$I$89,5,0)</f>
        <v>159.4164000000001</v>
      </c>
      <c r="AK44" s="13">
        <f t="shared" si="35"/>
        <v>40.710854816108295</v>
      </c>
      <c r="AL44" s="20">
        <f t="shared" si="4"/>
        <v>348.55496880472214</v>
      </c>
      <c r="AM44" s="59">
        <f t="shared" si="5"/>
        <v>597.15765839922608</v>
      </c>
      <c r="AN44" s="59">
        <f ca="1">AVERAGE(OFFSET($AM$3,0,0,'Données projet'!$E$10+1,1))-AVERAGE(OFFSET($H$3,0,0,'Données projet'!$E$10+1,1))</f>
        <v>569.97793593332699</v>
      </c>
      <c r="AO44" s="59">
        <f t="shared" si="36"/>
        <v>331.25104323342907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32.872851814790131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32.872851814790131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13.599999999999998</v>
      </c>
      <c r="BD44" s="12">
        <f>IF('Données projet'!$A$88&gt;35,BD43+BC44-BL43,IF(A44&lt;'Données projet'!$A$88,$BA$205^A44,IF(A44='Données projet'!$A$88,'Données projet'!$B$88,BD43+BC44-BL43)))</f>
        <v>177.70999999999995</v>
      </c>
      <c r="BE44" s="13">
        <f>BD44*VLOOKUP('Données projet'!$B$11,Paramètres!$A$1:$I$89,3,0)*VLOOKUP('Données projet'!$B$11,Paramètres!$A$1:$I$89,5,0)</f>
        <v>149.70290399999996</v>
      </c>
      <c r="BF44" s="13">
        <f t="shared" si="37"/>
        <v>38.511061700218832</v>
      </c>
      <c r="BG44" s="20">
        <f t="shared" si="7"/>
        <v>327.80599026121445</v>
      </c>
      <c r="BH44" s="59">
        <f t="shared" si="8"/>
        <v>576.40867985571845</v>
      </c>
      <c r="BI44" s="59">
        <f ca="1">AVERAGE(OFFSET($BH$3,0,0,'Données projet'!$E$11+1,1))-AVERAGE(OFFSET($H$3,0,0,'Données projet'!$E$11+1,1))</f>
        <v>458.88102603650725</v>
      </c>
      <c r="BJ44" s="59">
        <f t="shared" si="38"/>
        <v>277.79020316059552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36.119649400767045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36.119649400767045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171.86207999999993</v>
      </c>
      <c r="CA44" s="13">
        <f t="shared" si="39"/>
        <v>43.506802778694762</v>
      </c>
      <c r="CB44" s="20">
        <f t="shared" si="10"/>
        <v>375.10080417289322</v>
      </c>
      <c r="CC44" s="59">
        <f t="shared" si="11"/>
        <v>623.70349376739716</v>
      </c>
      <c r="CD44" s="59">
        <f ca="1">AVERAGE(OFFSET($CC$3,0,0,'Données projet'!$E$12+1,1))-AVERAGE(OFFSET($H$3,0,0,'Données projet'!$E$12+1,1))</f>
        <v>400.48995908576177</v>
      </c>
      <c r="CE44" s="59">
        <f t="shared" si="40"/>
        <v>384.86917865380076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26.665922834214498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26.665922834214498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14</v>
      </c>
      <c r="CT44" s="12">
        <f>IF('Données projet'!$A$140&gt;35,CT43+CS44-DB43,IF(A44&lt;'Données projet'!$A$140,$CQ$205^A44,IF(A44='Données projet'!$A$140,'Données projet'!$B$140,CT43+CS44-DB43)))</f>
        <v>263.99999999999994</v>
      </c>
      <c r="CU44" s="17">
        <f>CT44*VLOOKUP('Données projet'!$B$13,Paramètres!$A$1:$I$89,3,0)*VLOOKUP('Données projet'!$B$13,Paramètres!$A$1:$I$89,5,0)</f>
        <v>144.14399999999995</v>
      </c>
      <c r="CV44" s="13">
        <f t="shared" si="41"/>
        <v>37.244720006976216</v>
      </c>
      <c r="CW44" s="20">
        <f t="shared" si="13"/>
        <v>315.91868734548348</v>
      </c>
      <c r="CX44" s="59">
        <f t="shared" si="14"/>
        <v>564.52137693998748</v>
      </c>
      <c r="CY44" s="59">
        <f ca="1">AVERAGE(OFFSET($CX$3,0,0,'Données projet'!$E$13+1,1))-AVERAGE(OFFSET($H$3,0,0,'Données projet'!$E$13+1,1))</f>
        <v>215.37314197175104</v>
      </c>
      <c r="CZ44" s="59">
        <f t="shared" si="42"/>
        <v>361.17630426655978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29.520875134204783</v>
      </c>
      <c r="DG44" s="21">
        <f>EXP(-LN(2)/25)*DG43+(1-EXP(-LN(2)/25))/(LN(2)/25)*Calculateur!DB44*Calculateur!DD44*VLOOKUP('Données projet'!$B$13,Paramètres!$A$1:$I$89,3,0)*0.475*44/12</f>
        <v>70.79549166862131</v>
      </c>
      <c r="DH44" s="21">
        <f>EXP(-LN(2)/2)*DH43+(1-EXP(-LN(2)/2))/(LN(2)/2)*DB44*DE44*VLOOKUP('Données projet'!$B$13,Paramètres!$A$1:$I$89,3,0)*0.475*44/12</f>
        <v>5.6028957197127379E-4</v>
      </c>
      <c r="DI44" s="22">
        <f t="shared" si="15"/>
        <v>100.31692709239806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174.53000000000011</v>
      </c>
      <c r="O45" s="13">
        <f>N45*VLOOKUP('Données projet'!$B$9,Paramètres!$A$1:$I$89,3,0)*VLOOKUP('Données projet'!$B$9,Paramètres!$A$1:$I$89,5,0)</f>
        <v>157.9147440000001</v>
      </c>
      <c r="P45" s="13">
        <f t="shared" si="33"/>
        <v>40.371821598059007</v>
      </c>
      <c r="Q45" s="20">
        <f t="shared" si="53"/>
        <v>345.34910174995292</v>
      </c>
      <c r="R45" s="59">
        <f t="shared" si="0"/>
        <v>594.72776801058762</v>
      </c>
      <c r="S45" s="59">
        <f ca="1">AVERAGE(OFFSET($R$3,0,0,'Données projet'!$E$9+1,1))-AVERAGE(OFFSET($H$3,0,0,'Données projet'!$E$9+1,1))</f>
        <v>567.42635821336114</v>
      </c>
      <c r="T45" s="59">
        <f t="shared" si="34"/>
        <v>299.0473530693472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13.8</v>
      </c>
      <c r="AI45" s="13">
        <f>IF('Données projet'!$A$62&gt;35,AI44+AH45-AQ44,IF(A45&lt;'Données projet'!$A$62,$AF$205^A45,IF(A45='Données projet'!$A$62,'Données projet'!$B$62,AI44+AH45-AQ44)))</f>
        <v>199.60000000000011</v>
      </c>
      <c r="AJ45" s="13">
        <f>AI45*VLOOKUP('Données projet'!$B$10,Paramètres!$A$1:$I$89,3,0)*VLOOKUP('Données projet'!$B$10,Paramètres!$A$1:$I$89,5,0)</f>
        <v>171.25680000000011</v>
      </c>
      <c r="AK45" s="13">
        <f t="shared" si="35"/>
        <v>43.371384196183378</v>
      </c>
      <c r="AL45" s="20">
        <f t="shared" si="4"/>
        <v>373.81075414168623</v>
      </c>
      <c r="AM45" s="59">
        <f t="shared" si="5"/>
        <v>623.18942040232093</v>
      </c>
      <c r="AN45" s="59">
        <f ca="1">AVERAGE(OFFSET($AM$3,0,0,'Données projet'!$E$10+1,1))-AVERAGE(OFFSET($H$3,0,0,'Données projet'!$E$10+1,1))</f>
        <v>569.97793593332699</v>
      </c>
      <c r="AO45" s="59">
        <f t="shared" si="36"/>
        <v>331.25104323342907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32.228235241161883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32.228235241161883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13.599999999999998</v>
      </c>
      <c r="BD45" s="12">
        <f>IF('Données projet'!$A$88&gt;35,BD44+BC45-BL44,IF(A45&lt;'Données projet'!$A$88,$BA$205^A45,IF(A45='Données projet'!$A$88,'Données projet'!$B$88,BD44+BC45-BL44)))</f>
        <v>191.30999999999995</v>
      </c>
      <c r="BE45" s="13">
        <f>BD45*VLOOKUP('Données projet'!$B$11,Paramètres!$A$1:$I$89,3,0)*VLOOKUP('Données projet'!$B$11,Paramètres!$A$1:$I$89,5,0)</f>
        <v>161.15954399999995</v>
      </c>
      <c r="BF45" s="13">
        <f t="shared" si="37"/>
        <v>41.103943776196729</v>
      </c>
      <c r="BG45" s="20">
        <f t="shared" si="7"/>
        <v>352.27557454354252</v>
      </c>
      <c r="BH45" s="59">
        <f t="shared" si="8"/>
        <v>601.65424080417722</v>
      </c>
      <c r="BI45" s="59">
        <f ca="1">AVERAGE(OFFSET($BH$3,0,0,'Données projet'!$E$11+1,1))-AVERAGE(OFFSET($H$3,0,0,'Données projet'!$E$11+1,1))</f>
        <v>458.88102603650725</v>
      </c>
      <c r="BJ45" s="59">
        <f t="shared" si="38"/>
        <v>277.79020316059552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35.411365106828775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35.411365106828775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180.22055999999992</v>
      </c>
      <c r="CA45" s="13">
        <f t="shared" si="39"/>
        <v>45.371253205145926</v>
      </c>
      <c r="CB45" s="20">
        <f t="shared" si="10"/>
        <v>392.90574133229569</v>
      </c>
      <c r="CC45" s="59">
        <f t="shared" si="11"/>
        <v>642.28440759293039</v>
      </c>
      <c r="CD45" s="59">
        <f ca="1">AVERAGE(OFFSET($CC$3,0,0,'Données projet'!$E$12+1,1))-AVERAGE(OFFSET($H$3,0,0,'Données projet'!$E$12+1,1))</f>
        <v>400.48995908576177</v>
      </c>
      <c r="CE45" s="59">
        <f t="shared" si="40"/>
        <v>384.86917865380076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26.143020352042484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26.143020352042484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278</v>
      </c>
      <c r="CR45" s="12">
        <f>VLOOKUP(A45,'Données projet'!$A$139:$I$159,9,0)</f>
        <v>14</v>
      </c>
      <c r="CS45" s="12">
        <f t="array" ref="CS45">INDEX(CR:CR,MIN(IF(ISNUMBER(CR45:CR241),ROW(CR45:CR241),"")))</f>
        <v>14</v>
      </c>
      <c r="CT45" s="12">
        <f>IF('Données projet'!$A$140&gt;35,CT44+CS45-DB44,IF(A45&lt;'Données projet'!$A$140,$CQ$205^A45,IF(A45='Données projet'!$A$140,'Données projet'!$B$140,CT44+CS45-DB44)))</f>
        <v>277.99999999999994</v>
      </c>
      <c r="CU45" s="17">
        <f>CT45*VLOOKUP('Données projet'!$B$13,Paramètres!$A$1:$I$89,3,0)*VLOOKUP('Données projet'!$B$13,Paramètres!$A$1:$I$89,5,0)</f>
        <v>151.78799999999998</v>
      </c>
      <c r="CV45" s="13">
        <f t="shared" si="41"/>
        <v>38.984634390835623</v>
      </c>
      <c r="CW45" s="20">
        <f t="shared" si="13"/>
        <v>332.26233823070532</v>
      </c>
      <c r="CX45" s="59">
        <f t="shared" si="14"/>
        <v>581.64100449134003</v>
      </c>
      <c r="CY45" s="59">
        <f ca="1">AVERAGE(OFFSET($CX$3,0,0,'Données projet'!$E$13+1,1))-AVERAGE(OFFSET($H$3,0,0,'Données projet'!$E$13+1,1))</f>
        <v>215.37314197175104</v>
      </c>
      <c r="CZ45" s="59">
        <f t="shared" si="42"/>
        <v>361.17630426655978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28.941988778778917</v>
      </c>
      <c r="DG45" s="21">
        <f>EXP(-LN(2)/25)*DG44+(1-EXP(-LN(2)/25))/(LN(2)/25)*Calculateur!DB45*Calculateur!DD45*VLOOKUP('Données projet'!$B$13,Paramètres!$A$1:$I$89,3,0)*0.475*44/12</f>
        <v>68.859585225969752</v>
      </c>
      <c r="DH45" s="21">
        <f>EXP(-LN(2)/2)*DH44+(1-EXP(-LN(2)/2))/(LN(2)/2)*DB45*DE45*VLOOKUP('Données projet'!$B$13,Paramètres!$A$1:$I$89,3,0)*0.475*44/12</f>
        <v>3.9618455576899587E-4</v>
      </c>
      <c r="DI45" s="22">
        <f t="shared" si="15"/>
        <v>97.801970189304441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187.59000000000012</v>
      </c>
      <c r="O46" s="13">
        <f>N46*VLOOKUP('Données projet'!$B$9,Paramètres!$A$1:$I$89,3,0)*VLOOKUP('Données projet'!$B$9,Paramètres!$A$1:$I$89,5,0)</f>
        <v>169.7314320000001</v>
      </c>
      <c r="P46" s="13">
        <f t="shared" si="33"/>
        <v>43.029867753624529</v>
      </c>
      <c r="Q46" s="20">
        <f t="shared" si="53"/>
        <v>370.55926373756284</v>
      </c>
      <c r="R46" s="59">
        <f t="shared" si="0"/>
        <v>620.70044520399483</v>
      </c>
      <c r="S46" s="59">
        <f ca="1">AVERAGE(OFFSET($R$3,0,0,'Données projet'!$E$9+1,1))-AVERAGE(OFFSET($H$3,0,0,'Données projet'!$E$9+1,1))</f>
        <v>567.42635821336114</v>
      </c>
      <c r="T46" s="59">
        <f t="shared" si="34"/>
        <v>299.0473530693472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13.8</v>
      </c>
      <c r="AI46" s="13">
        <f>IF('Données projet'!$A$62&gt;35,AI45+AH46-AQ45,IF(A46&lt;'Données projet'!$A$62,$AF$205^A46,IF(A46='Données projet'!$A$62,'Données projet'!$B$62,AI45+AH46-AQ45)))</f>
        <v>213.40000000000012</v>
      </c>
      <c r="AJ46" s="13">
        <f>AI46*VLOOKUP('Données projet'!$B$10,Paramètres!$A$1:$I$89,3,0)*VLOOKUP('Données projet'!$B$10,Paramètres!$A$1:$I$89,5,0)</f>
        <v>183.09720000000013</v>
      </c>
      <c r="AK46" s="13">
        <f t="shared" si="35"/>
        <v>46.010570428845895</v>
      </c>
      <c r="AL46" s="20">
        <f t="shared" si="4"/>
        <v>399.02936683024018</v>
      </c>
      <c r="AM46" s="59">
        <f t="shared" si="5"/>
        <v>649.17054829667222</v>
      </c>
      <c r="AN46" s="59">
        <f ca="1">AVERAGE(OFFSET($AM$3,0,0,'Données projet'!$E$10+1,1))-AVERAGE(OFFSET($H$3,0,0,'Données projet'!$E$10+1,1))</f>
        <v>569.97793593332699</v>
      </c>
      <c r="AO46" s="59">
        <f t="shared" si="36"/>
        <v>331.25104323342907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31.5962592053652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31.5962592053652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13.599999999999998</v>
      </c>
      <c r="BD46" s="12">
        <f>IF('Données projet'!$A$88&gt;35,BD45+BC46-BL45,IF(A46&lt;'Données projet'!$A$88,$BA$205^A46,IF(A46='Données projet'!$A$88,'Données projet'!$B$88,BD45+BC46-BL45)))</f>
        <v>204.90999999999994</v>
      </c>
      <c r="BE46" s="13">
        <f>BD46*VLOOKUP('Données projet'!$B$11,Paramètres!$A$1:$I$89,3,0)*VLOOKUP('Données projet'!$B$11,Paramètres!$A$1:$I$89,5,0)</f>
        <v>172.61618399999998</v>
      </c>
      <c r="BF46" s="13">
        <f t="shared" si="37"/>
        <v>43.67543995309358</v>
      </c>
      <c r="BG46" s="20">
        <f t="shared" si="7"/>
        <v>376.70791171830462</v>
      </c>
      <c r="BH46" s="59">
        <f t="shared" si="8"/>
        <v>626.8490931847366</v>
      </c>
      <c r="BI46" s="59">
        <f ca="1">AVERAGE(OFFSET($BH$3,0,0,'Données projet'!$E$11+1,1))-AVERAGE(OFFSET($H$3,0,0,'Données projet'!$E$11+1,1))</f>
        <v>458.88102603650725</v>
      </c>
      <c r="BJ46" s="59">
        <f t="shared" si="38"/>
        <v>277.79020316059552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34.716969835883873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34.716969835883873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188.57903999999994</v>
      </c>
      <c r="CA46" s="13">
        <f t="shared" si="39"/>
        <v>47.22566164876563</v>
      </c>
      <c r="CB46" s="20">
        <f t="shared" si="10"/>
        <v>410.69318870493333</v>
      </c>
      <c r="CC46" s="59">
        <f t="shared" si="11"/>
        <v>660.83437017136544</v>
      </c>
      <c r="CD46" s="59">
        <f ca="1">AVERAGE(OFFSET($CC$3,0,0,'Données projet'!$E$12+1,1))-AVERAGE(OFFSET($H$3,0,0,'Données projet'!$E$12+1,1))</f>
        <v>400.48995908576177</v>
      </c>
      <c r="CE46" s="59">
        <f t="shared" si="40"/>
        <v>384.86917865380076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25.630371668606841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25.630371668606841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277.99999999999994</v>
      </c>
      <c r="CU46" s="17">
        <f>CT46*VLOOKUP('Données projet'!$B$13,Paramètres!$A$1:$I$89,3,0)*VLOOKUP('Données projet'!$B$13,Paramètres!$A$1:$I$89,5,0)</f>
        <v>151.78799999999998</v>
      </c>
      <c r="CV46" s="13">
        <f t="shared" si="41"/>
        <v>38.984634390835623</v>
      </c>
      <c r="CW46" s="20">
        <f t="shared" si="13"/>
        <v>332.26233823070532</v>
      </c>
      <c r="CX46" s="59">
        <f t="shared" si="14"/>
        <v>582.40351969713743</v>
      </c>
      <c r="CY46" s="59">
        <f ca="1">AVERAGE(OFFSET($CX$3,0,0,'Données projet'!$E$13+1,1))-AVERAGE(OFFSET($H$3,0,0,'Données projet'!$E$13+1,1))</f>
        <v>215.37314197175104</v>
      </c>
      <c r="CZ46" s="59">
        <f t="shared" si="42"/>
        <v>361.17630426655978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28.374454031697141</v>
      </c>
      <c r="DG46" s="21">
        <f>EXP(-LN(2)/25)*DG45+(1-EXP(-LN(2)/25))/(LN(2)/25)*Calculateur!DB46*Calculateur!DD46*VLOOKUP('Données projet'!$B$13,Paramètres!$A$1:$I$89,3,0)*0.475*44/12</f>
        <v>66.976616246797406</v>
      </c>
      <c r="DH46" s="21">
        <f>EXP(-LN(2)/2)*DH45+(1-EXP(-LN(2)/2))/(LN(2)/2)*DB46*DE46*VLOOKUP('Données projet'!$B$13,Paramètres!$A$1:$I$89,3,0)*0.475*44/12</f>
        <v>2.8014478598563689E-4</v>
      </c>
      <c r="DI46" s="22">
        <f t="shared" si="15"/>
        <v>95.351350423280536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200.65000000000012</v>
      </c>
      <c r="O47" s="13">
        <f>N47*VLOOKUP('Données projet'!$B$9,Paramètres!$A$1:$I$89,3,0)*VLOOKUP('Données projet'!$B$9,Paramètres!$A$1:$I$89,5,0)</f>
        <v>181.5481200000001</v>
      </c>
      <c r="P47" s="13">
        <f t="shared" si="33"/>
        <v>45.666442486896024</v>
      </c>
      <c r="Q47" s="20">
        <f t="shared" si="53"/>
        <v>395.73202966467738</v>
      </c>
      <c r="R47" s="59">
        <f t="shared" si="0"/>
        <v>646.62249840281481</v>
      </c>
      <c r="S47" s="59">
        <f ca="1">AVERAGE(OFFSET($R$3,0,0,'Données projet'!$E$9+1,1))-AVERAGE(OFFSET($H$3,0,0,'Données projet'!$E$9+1,1))</f>
        <v>567.42635821336114</v>
      </c>
      <c r="T47" s="59">
        <f t="shared" si="34"/>
        <v>299.0473530693472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13.8</v>
      </c>
      <c r="AI47" s="13">
        <f>IF('Données projet'!$A$62&gt;35,AI46+AH47-AQ46,IF(A47&lt;'Données projet'!$A$62,$AF$205^A47,IF(A47='Données projet'!$A$62,'Données projet'!$B$62,AI46+AH47-AQ46)))</f>
        <v>227.20000000000013</v>
      </c>
      <c r="AJ47" s="13">
        <f>AI47*VLOOKUP('Données projet'!$B$10,Paramètres!$A$1:$I$89,3,0)*VLOOKUP('Données projet'!$B$10,Paramètres!$A$1:$I$89,5,0)</f>
        <v>194.93760000000012</v>
      </c>
      <c r="AK47" s="13">
        <f t="shared" si="35"/>
        <v>48.629950800142524</v>
      </c>
      <c r="AL47" s="20">
        <f t="shared" si="4"/>
        <v>424.21348431024836</v>
      </c>
      <c r="AM47" s="59">
        <f t="shared" si="5"/>
        <v>675.10395304838585</v>
      </c>
      <c r="AN47" s="59">
        <f ca="1">AVERAGE(OFFSET($AM$3,0,0,'Données projet'!$E$10+1,1))-AVERAGE(OFFSET($H$3,0,0,'Données projet'!$E$10+1,1))</f>
        <v>569.97793593332699</v>
      </c>
      <c r="AO47" s="59">
        <f t="shared" si="36"/>
        <v>331.25104323342907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30.976675834163171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30.976675834163171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218.51</v>
      </c>
      <c r="BB47" s="12">
        <f>VLOOKUP(A47,'Données projet'!$A$87:$I$107,9,0)</f>
        <v>13.599999999999998</v>
      </c>
      <c r="BC47" s="12">
        <f t="array" ref="BC47">INDEX(BB:BB,MIN(IF(ISNUMBER(BB47:BB243),ROW(BB47:BB243),"")))</f>
        <v>13.599999999999998</v>
      </c>
      <c r="BD47" s="12">
        <f>IF('Données projet'!$A$88&gt;35,BD46+BC47-BL46,IF(A47&lt;'Données projet'!$A$88,$BA$205^A47,IF(A47='Données projet'!$A$88,'Données projet'!$B$88,BD46+BC47-BL46)))</f>
        <v>218.50999999999993</v>
      </c>
      <c r="BE47" s="13">
        <f>BD47*VLOOKUP('Données projet'!$B$11,Paramètres!$A$1:$I$89,3,0)*VLOOKUP('Données projet'!$B$11,Paramètres!$A$1:$I$89,5,0)</f>
        <v>184.07282399999997</v>
      </c>
      <c r="BF47" s="13">
        <f t="shared" si="37"/>
        <v>46.227131136084772</v>
      </c>
      <c r="BG47" s="20">
        <f t="shared" si="7"/>
        <v>401.10575519534763</v>
      </c>
      <c r="BH47" s="59">
        <f t="shared" si="8"/>
        <v>651.996223933485</v>
      </c>
      <c r="BI47" s="59">
        <f ca="1">AVERAGE(OFFSET($BH$3,0,0,'Données projet'!$E$11+1,1))-AVERAGE(OFFSET($H$3,0,0,'Données projet'!$E$11+1,1))</f>
        <v>458.88102603650725</v>
      </c>
      <c r="BJ47" s="59">
        <f t="shared" si="38"/>
        <v>277.79020316059552</v>
      </c>
      <c r="BK47" s="15">
        <f>IF(ISNA(VLOOKUP(A47,'Données projet'!$A$87:$I$107,3,0)),0,VLOOKUP(A47,'Données projet'!$A$87:$I$107,3,0))</f>
        <v>3</v>
      </c>
      <c r="BL47" s="15">
        <f>IF(ISNA(VLOOKUP(A47,'Données projet'!$A$87:$I$107,4,0)),0,VLOOKUP(A47,'Données projet'!$A$87:$I$107,4,0))</f>
        <v>52.08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54.890936991371362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54.890936991371362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196.93751999999992</v>
      </c>
      <c r="CA47" s="13">
        <f t="shared" si="39"/>
        <v>49.070524066369494</v>
      </c>
      <c r="CB47" s="20">
        <f t="shared" si="10"/>
        <v>428.46401008226007</v>
      </c>
      <c r="CC47" s="59">
        <f t="shared" si="11"/>
        <v>679.3544788203975</v>
      </c>
      <c r="CD47" s="59">
        <f ca="1">AVERAGE(OFFSET($CC$3,0,0,'Données projet'!$E$12+1,1))-AVERAGE(OFFSET($H$3,0,0,'Données projet'!$E$12+1,1))</f>
        <v>400.48995908576177</v>
      </c>
      <c r="CE47" s="59">
        <f t="shared" si="40"/>
        <v>384.86917865380076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25.12777571316855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25.12777571316855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277.99999999999994</v>
      </c>
      <c r="CU47" s="17">
        <f>CT47*VLOOKUP('Données projet'!$B$13,Paramètres!$A$1:$I$89,3,0)*VLOOKUP('Données projet'!$B$13,Paramètres!$A$1:$I$89,5,0)</f>
        <v>151.78799999999998</v>
      </c>
      <c r="CV47" s="13">
        <f t="shared" si="41"/>
        <v>38.984634390835623</v>
      </c>
      <c r="CW47" s="20">
        <f t="shared" si="13"/>
        <v>332.26233823070532</v>
      </c>
      <c r="CX47" s="59">
        <f t="shared" si="14"/>
        <v>583.1528069688427</v>
      </c>
      <c r="CY47" s="59">
        <f ca="1">AVERAGE(OFFSET($CX$3,0,0,'Données projet'!$E$13+1,1))-AVERAGE(OFFSET($H$3,0,0,'Données projet'!$E$13+1,1))</f>
        <v>215.37314197175104</v>
      </c>
      <c r="CZ47" s="59">
        <f t="shared" si="42"/>
        <v>361.17630426655978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27.818048294843624</v>
      </c>
      <c r="DG47" s="21">
        <f>EXP(-LN(2)/25)*DG46+(1-EXP(-LN(2)/25))/(LN(2)/25)*Calculateur!DB47*Calculateur!DD47*VLOOKUP('Données projet'!$B$13,Paramètres!$A$1:$I$89,3,0)*0.475*44/12</f>
        <v>65.145137153381555</v>
      </c>
      <c r="DH47" s="21">
        <f>EXP(-LN(2)/2)*DH46+(1-EXP(-LN(2)/2))/(LN(2)/2)*DB47*DE47*VLOOKUP('Données projet'!$B$13,Paramètres!$A$1:$I$89,3,0)*0.475*44/12</f>
        <v>1.9809227788449794E-4</v>
      </c>
      <c r="DI47" s="22">
        <f t="shared" si="15"/>
        <v>92.96338354050306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213.71000000000012</v>
      </c>
      <c r="O48" s="13">
        <f>N48*VLOOKUP('Données projet'!$B$9,Paramètres!$A$1:$I$89,3,0)*VLOOKUP('Données projet'!$B$9,Paramètres!$A$1:$I$89,5,0)</f>
        <v>193.3648080000001</v>
      </c>
      <c r="P48" s="13">
        <f t="shared" si="33"/>
        <v>48.283102387258907</v>
      </c>
      <c r="Q48" s="20">
        <f t="shared" si="53"/>
        <v>420.87011059114275</v>
      </c>
      <c r="R48" s="59">
        <f t="shared" si="0"/>
        <v>672.49686814197685</v>
      </c>
      <c r="S48" s="59">
        <f ca="1">AVERAGE(OFFSET($R$3,0,0,'Données projet'!$E$9+1,1))-AVERAGE(OFFSET($H$3,0,0,'Données projet'!$E$9+1,1))</f>
        <v>567.42635821336114</v>
      </c>
      <c r="T48" s="59">
        <f t="shared" si="34"/>
        <v>299.0473530693472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241</v>
      </c>
      <c r="AG48" s="12">
        <f>VLOOKUP(A48,'Données projet'!$A$61:$I$81,9,0)</f>
        <v>13.8</v>
      </c>
      <c r="AH48" s="12">
        <f t="array" ref="AH48">INDEX(AG:AG,MIN(IF(ISNUMBER(AG48:AG244),ROW(AG48:AG244),"")))</f>
        <v>13.8</v>
      </c>
      <c r="AI48" s="13">
        <f>IF('Données projet'!$A$62&gt;35,AI47+AH48-AQ47,IF(A48&lt;'Données projet'!$A$62,$AF$205^A48,IF(A48='Données projet'!$A$62,'Données projet'!$B$62,AI47+AH48-AQ47)))</f>
        <v>241.00000000000014</v>
      </c>
      <c r="AJ48" s="13">
        <f>AI48*VLOOKUP('Données projet'!$B$10,Paramètres!$A$1:$I$89,3,0)*VLOOKUP('Données projet'!$B$10,Paramètres!$A$1:$I$89,5,0)</f>
        <v>206.77800000000016</v>
      </c>
      <c r="AK48" s="13">
        <f t="shared" si="35"/>
        <v>51.230865296361145</v>
      </c>
      <c r="AL48" s="20">
        <f t="shared" si="4"/>
        <v>449.36544039116256</v>
      </c>
      <c r="AM48" s="59">
        <f t="shared" si="5"/>
        <v>700.99219794199666</v>
      </c>
      <c r="AN48" s="59">
        <f ca="1">AVERAGE(OFFSET($AM$3,0,0,'Données projet'!$E$10+1,1))-AVERAGE(OFFSET($H$3,0,0,'Données projet'!$E$10+1,1))</f>
        <v>569.97793593332699</v>
      </c>
      <c r="AO48" s="59">
        <f t="shared" si="36"/>
        <v>331.25104323342907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35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47.96379812857036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47.96379812857036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13.598571428571429</v>
      </c>
      <c r="BD48" s="12">
        <f>IF('Données projet'!$A$88&gt;35,BD47+BC48-BL47,IF(A48&lt;'Données projet'!$A$88,$BA$205^A48,IF(A48='Données projet'!$A$88,'Données projet'!$B$88,BD47+BC48-BL47)))</f>
        <v>180.02857142857135</v>
      </c>
      <c r="BE48" s="13">
        <f>BD48*VLOOKUP('Données projet'!$B$11,Paramètres!$A$1:$I$89,3,0)*VLOOKUP('Données projet'!$B$11,Paramètres!$A$1:$I$89,5,0)</f>
        <v>151.65606857142851</v>
      </c>
      <c r="BF48" s="13">
        <f t="shared" si="37"/>
        <v>38.954692310226129</v>
      </c>
      <c r="BG48" s="20">
        <f t="shared" si="7"/>
        <v>331.98040853554852</v>
      </c>
      <c r="BH48" s="59">
        <f t="shared" si="8"/>
        <v>583.60716608638268</v>
      </c>
      <c r="BI48" s="59">
        <f ca="1">AVERAGE(OFFSET($BH$3,0,0,'Données projet'!$E$11+1,1))-AVERAGE(OFFSET($H$3,0,0,'Données projet'!$E$11+1,1))</f>
        <v>458.88102603650725</v>
      </c>
      <c r="BJ48" s="59">
        <f t="shared" si="38"/>
        <v>277.79020316059552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53.814559197136241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53.814559197136241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205.29599999999991</v>
      </c>
      <c r="CA48" s="13">
        <f t="shared" si="39"/>
        <v>50.906291934375353</v>
      </c>
      <c r="CB48" s="20">
        <f t="shared" si="10"/>
        <v>446.21899178570357</v>
      </c>
      <c r="CC48" s="59">
        <f t="shared" si="11"/>
        <v>697.84574933653766</v>
      </c>
      <c r="CD48" s="59">
        <f ca="1">AVERAGE(OFFSET($CC$3,0,0,'Données projet'!$E$12+1,1))-AVERAGE(OFFSET($H$3,0,0,'Données projet'!$E$12+1,1))</f>
        <v>400.48995908576177</v>
      </c>
      <c r="CE48" s="59">
        <f t="shared" si="40"/>
        <v>384.86917865380076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33.69677062168153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33.69677062168153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277.99999999999994</v>
      </c>
      <c r="CU48" s="17">
        <f>CT48*VLOOKUP('Données projet'!$B$13,Paramètres!$A$1:$I$89,3,0)*VLOOKUP('Données projet'!$B$13,Paramètres!$A$1:$I$89,5,0)</f>
        <v>151.78799999999998</v>
      </c>
      <c r="CV48" s="13">
        <f t="shared" si="41"/>
        <v>38.984634390835623</v>
      </c>
      <c r="CW48" s="20">
        <f t="shared" si="13"/>
        <v>332.26233823070532</v>
      </c>
      <c r="CX48" s="59">
        <f t="shared" si="14"/>
        <v>583.88909578153948</v>
      </c>
      <c r="CY48" s="59">
        <f ca="1">AVERAGE(OFFSET($CX$3,0,0,'Données projet'!$E$13+1,1))-AVERAGE(OFFSET($H$3,0,0,'Données projet'!$E$13+1,1))</f>
        <v>215.37314197175104</v>
      </c>
      <c r="CZ48" s="59">
        <f t="shared" si="42"/>
        <v>361.17630426655978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27.272553335115816</v>
      </c>
      <c r="DG48" s="21">
        <f>EXP(-LN(2)/25)*DG47+(1-EXP(-LN(2)/25))/(LN(2)/25)*Calculateur!DB48*Calculateur!DD48*VLOOKUP('Données projet'!$B$13,Paramètres!$A$1:$I$89,3,0)*0.475*44/12</f>
        <v>63.363739952088466</v>
      </c>
      <c r="DH48" s="21">
        <f>EXP(-LN(2)/2)*DH47+(1-EXP(-LN(2)/2))/(LN(2)/2)*DB48*DE48*VLOOKUP('Données projet'!$B$13,Paramètres!$A$1:$I$89,3,0)*0.475*44/12</f>
        <v>1.4007239299281845E-4</v>
      </c>
      <c r="DI48" s="22">
        <f t="shared" si="15"/>
        <v>90.636433359597277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226.77000000000012</v>
      </c>
      <c r="O49" s="13">
        <f>N49*VLOOKUP('Données projet'!$B$9,Paramètres!$A$1:$I$89,3,0)*VLOOKUP('Données projet'!$B$9,Paramètres!$A$1:$I$89,5,0)</f>
        <v>205.1814960000001</v>
      </c>
      <c r="P49" s="13">
        <f t="shared" si="33"/>
        <v>50.88120304468918</v>
      </c>
      <c r="Q49" s="20">
        <f t="shared" si="53"/>
        <v>445.97586750283381</v>
      </c>
      <c r="R49" s="59">
        <f t="shared" si="0"/>
        <v>698.32614090155948</v>
      </c>
      <c r="S49" s="59">
        <f ca="1">AVERAGE(OFFSET($R$3,0,0,'Données projet'!$E$9+1,1))-AVERAGE(OFFSET($H$3,0,0,'Données projet'!$E$9+1,1))</f>
        <v>567.42635821336114</v>
      </c>
      <c r="T49" s="59">
        <f t="shared" si="34"/>
        <v>299.0473530693472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13.6</v>
      </c>
      <c r="AI49" s="13">
        <f>IF('Données projet'!$A$62&gt;35,AI48+AH49-AQ48,IF(A49&lt;'Données projet'!$A$62,$AF$205^A49,IF(A49='Données projet'!$A$62,'Données projet'!$B$62,AI48+AH49-AQ48)))</f>
        <v>219.60000000000014</v>
      </c>
      <c r="AJ49" s="13">
        <f>AI49*VLOOKUP('Données projet'!$B$10,Paramètres!$A$1:$I$89,3,0)*VLOOKUP('Données projet'!$B$10,Paramètres!$A$1:$I$89,5,0)</f>
        <v>188.41680000000014</v>
      </c>
      <c r="AK49" s="13">
        <f t="shared" si="35"/>
        <v>47.189759534268717</v>
      </c>
      <c r="AL49" s="20">
        <f t="shared" si="4"/>
        <v>410.34809118885158</v>
      </c>
      <c r="AM49" s="59">
        <f t="shared" si="5"/>
        <v>662.6983645875772</v>
      </c>
      <c r="AN49" s="59">
        <f ca="1">AVERAGE(OFFSET($AM$3,0,0,'Données projet'!$E$10+1,1))-AVERAGE(OFFSET($H$3,0,0,'Données projet'!$E$10+1,1))</f>
        <v>569.97793593332699</v>
      </c>
      <c r="AO49" s="59">
        <f t="shared" si="36"/>
        <v>331.25104323342907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47.02325730229726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47.02325730229726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13.598571428571429</v>
      </c>
      <c r="BD49" s="12">
        <f>IF('Données projet'!$A$88&gt;35,BD48+BC49-BL48,IF(A49&lt;'Données projet'!$A$88,$BA$205^A49,IF(A49='Données projet'!$A$88,'Données projet'!$B$88,BD48+BC49-BL48)))</f>
        <v>193.62714285714279</v>
      </c>
      <c r="BE49" s="13">
        <f>BD49*VLOOKUP('Données projet'!$B$11,Paramètres!$A$1:$I$89,3,0)*VLOOKUP('Données projet'!$B$11,Paramètres!$A$1:$I$89,5,0)</f>
        <v>163.11150514285711</v>
      </c>
      <c r="BF49" s="13">
        <f t="shared" si="37"/>
        <v>41.543535452734282</v>
      </c>
      <c r="BG49" s="20">
        <f t="shared" si="7"/>
        <v>356.440862370655</v>
      </c>
      <c r="BH49" s="59">
        <f t="shared" si="8"/>
        <v>608.79113576938062</v>
      </c>
      <c r="BI49" s="59">
        <f ca="1">AVERAGE(OFFSET($BH$3,0,0,'Données projet'!$E$11+1,1))-AVERAGE(OFFSET($H$3,0,0,'Données projet'!$E$11+1,1))</f>
        <v>458.88102603650725</v>
      </c>
      <c r="BJ49" s="59">
        <f t="shared" si="38"/>
        <v>277.79020316059552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52.759288514920442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52.759288514920442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193.41815999999992</v>
      </c>
      <c r="CA49" s="13">
        <f t="shared" si="39"/>
        <v>48.294873490521283</v>
      </c>
      <c r="CB49" s="20">
        <f t="shared" si="10"/>
        <v>420.98353332932442</v>
      </c>
      <c r="CC49" s="59">
        <f t="shared" si="11"/>
        <v>673.33380672805004</v>
      </c>
      <c r="CD49" s="59">
        <f ca="1">AVERAGE(OFFSET($CC$3,0,0,'Données projet'!$E$12+1,1))-AVERAGE(OFFSET($H$3,0,0,'Données projet'!$E$12+1,1))</f>
        <v>400.48995908576177</v>
      </c>
      <c r="CE49" s="59">
        <f t="shared" si="40"/>
        <v>384.86917865380076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33.035997502790991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33.035997502790991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277.99999999999994</v>
      </c>
      <c r="CU49" s="17">
        <f>CT49*VLOOKUP('Données projet'!$B$13,Paramètres!$A$1:$I$89,3,0)*VLOOKUP('Données projet'!$B$13,Paramètres!$A$1:$I$89,5,0)</f>
        <v>151.78799999999998</v>
      </c>
      <c r="CV49" s="13">
        <f t="shared" si="41"/>
        <v>38.984634390835623</v>
      </c>
      <c r="CW49" s="20">
        <f t="shared" si="13"/>
        <v>332.26233823070532</v>
      </c>
      <c r="CX49" s="59">
        <f t="shared" si="14"/>
        <v>584.61261162943094</v>
      </c>
      <c r="CY49" s="59">
        <f ca="1">AVERAGE(OFFSET($CX$3,0,0,'Données projet'!$E$13+1,1))-AVERAGE(OFFSET($H$3,0,0,'Données projet'!$E$13+1,1))</f>
        <v>215.37314197175104</v>
      </c>
      <c r="CZ49" s="59">
        <f t="shared" si="42"/>
        <v>361.17630426655978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26.737755198829198</v>
      </c>
      <c r="DG49" s="21">
        <f>EXP(-LN(2)/25)*DG48+(1-EXP(-LN(2)/25))/(LN(2)/25)*Calculateur!DB49*Calculateur!DD49*VLOOKUP('Données projet'!$B$13,Paramètres!$A$1:$I$89,3,0)*0.475*44/12</f>
        <v>61.631055150944341</v>
      </c>
      <c r="DH49" s="21">
        <f>EXP(-LN(2)/2)*DH48+(1-EXP(-LN(2)/2))/(LN(2)/2)*DB49*DE49*VLOOKUP('Données projet'!$B$13,Paramètres!$A$1:$I$89,3,0)*0.475*44/12</f>
        <v>9.9046138942248969E-5</v>
      </c>
      <c r="DI49" s="22">
        <f t="shared" si="15"/>
        <v>88.368909395912482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239.83000000000013</v>
      </c>
      <c r="O50" s="13">
        <f>N50*VLOOKUP('Données projet'!$B$9,Paramètres!$A$1:$I$89,3,0)*VLOOKUP('Données projet'!$B$9,Paramètres!$A$1:$I$89,5,0)</f>
        <v>216.99818400000012</v>
      </c>
      <c r="P50" s="13">
        <f t="shared" si="33"/>
        <v>53.461935088977889</v>
      </c>
      <c r="Q50" s="20">
        <f t="shared" si="53"/>
        <v>471.05137407996995</v>
      </c>
      <c r="R50" s="59">
        <f t="shared" si="0"/>
        <v>724.11261194416534</v>
      </c>
      <c r="S50" s="59">
        <f ca="1">AVERAGE(OFFSET($R$3,0,0,'Données projet'!$E$9+1,1))-AVERAGE(OFFSET($H$3,0,0,'Données projet'!$E$9+1,1))</f>
        <v>567.42635821336114</v>
      </c>
      <c r="T50" s="59">
        <f t="shared" si="34"/>
        <v>299.0473530693472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13.6</v>
      </c>
      <c r="AI50" s="13">
        <f>IF('Données projet'!$A$62&gt;35,AI49+AH50-AQ49,IF(A50&lt;'Données projet'!$A$62,$AF$205^A50,IF(A50='Données projet'!$A$62,'Données projet'!$B$62,AI49+AH50-AQ49)))</f>
        <v>233.20000000000013</v>
      </c>
      <c r="AJ50" s="13">
        <f>AI50*VLOOKUP('Données projet'!$B$10,Paramètres!$A$1:$I$89,3,0)*VLOOKUP('Données projet'!$B$10,Paramètres!$A$1:$I$89,5,0)</f>
        <v>200.08560000000011</v>
      </c>
      <c r="AK50" s="13">
        <f t="shared" si="35"/>
        <v>49.762979545996977</v>
      </c>
      <c r="AL50" s="20">
        <f t="shared" si="4"/>
        <v>435.15294270927825</v>
      </c>
      <c r="AM50" s="59">
        <f t="shared" si="5"/>
        <v>688.21418057347364</v>
      </c>
      <c r="AN50" s="59">
        <f ca="1">AVERAGE(OFFSET($AM$3,0,0,'Données projet'!$E$10+1,1))-AVERAGE(OFFSET($H$3,0,0,'Données projet'!$E$10+1,1))</f>
        <v>569.97793593332699</v>
      </c>
      <c r="AO50" s="59">
        <f t="shared" si="36"/>
        <v>331.25104323342907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46.10115990795412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46.10115990795412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13.598571428571429</v>
      </c>
      <c r="BD50" s="12">
        <f>IF('Données projet'!$A$88&gt;35,BD49+BC50-BL49,IF(A50&lt;'Données projet'!$A$88,$BA$205^A50,IF(A50='Données projet'!$A$88,'Données projet'!$B$88,BD49+BC50-BL49)))</f>
        <v>207.22571428571422</v>
      </c>
      <c r="BE50" s="13">
        <f>BD50*VLOOKUP('Données projet'!$B$11,Paramètres!$A$1:$I$89,3,0)*VLOOKUP('Données projet'!$B$11,Paramètres!$A$1:$I$89,5,0)</f>
        <v>174.56694171428566</v>
      </c>
      <c r="BF50" s="13">
        <f t="shared" si="37"/>
        <v>44.111283150015282</v>
      </c>
      <c r="BG50" s="20">
        <f t="shared" si="7"/>
        <v>380.86457497199081</v>
      </c>
      <c r="BH50" s="59">
        <f t="shared" si="8"/>
        <v>633.9258128361862</v>
      </c>
      <c r="BI50" s="59">
        <f ca="1">AVERAGE(OFFSET($BH$3,0,0,'Données projet'!$E$11+1,1))-AVERAGE(OFFSET($H$3,0,0,'Données projet'!$E$11+1,1))</f>
        <v>458.88102603650725</v>
      </c>
      <c r="BJ50" s="59">
        <f t="shared" si="38"/>
        <v>277.79020316059552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51.724711047131336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51.724711047131336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200.60351999999995</v>
      </c>
      <c r="CA50" s="13">
        <f t="shared" si="39"/>
        <v>49.87677988675906</v>
      </c>
      <c r="CB50" s="20">
        <f t="shared" si="10"/>
        <v>436.25318896943855</v>
      </c>
      <c r="CC50" s="59">
        <f t="shared" si="11"/>
        <v>689.31442683363389</v>
      </c>
      <c r="CD50" s="59">
        <f ca="1">AVERAGE(OFFSET($CC$3,0,0,'Données projet'!$E$12+1,1))-AVERAGE(OFFSET($H$3,0,0,'Données projet'!$E$12+1,1))</f>
        <v>400.48995908576177</v>
      </c>
      <c r="CE50" s="59">
        <f t="shared" si="40"/>
        <v>384.86917865380076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32.388181741730094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32.388181741730094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277.99999999999994</v>
      </c>
      <c r="CU50" s="17">
        <f>CT50*VLOOKUP('Données projet'!$B$13,Paramètres!$A$1:$I$89,3,0)*VLOOKUP('Données projet'!$B$13,Paramètres!$A$1:$I$89,5,0)</f>
        <v>151.78799999999998</v>
      </c>
      <c r="CV50" s="13">
        <f t="shared" si="41"/>
        <v>38.984634390835623</v>
      </c>
      <c r="CW50" s="20">
        <f t="shared" si="13"/>
        <v>332.26233823070532</v>
      </c>
      <c r="CX50" s="59">
        <f t="shared" si="14"/>
        <v>585.32357609490077</v>
      </c>
      <c r="CY50" s="59">
        <f ca="1">AVERAGE(OFFSET($CX$3,0,0,'Données projet'!$E$13+1,1))-AVERAGE(OFFSET($H$3,0,0,'Données projet'!$E$13+1,1))</f>
        <v>215.37314197175104</v>
      </c>
      <c r="CZ50" s="59">
        <f t="shared" si="42"/>
        <v>361.17630426655978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26.213444127800507</v>
      </c>
      <c r="DG50" s="21">
        <f>EXP(-LN(2)/25)*DG49+(1-EXP(-LN(2)/25))/(LN(2)/25)*Calculateur!DB50*Calculateur!DD50*VLOOKUP('Données projet'!$B$13,Paramètres!$A$1:$I$89,3,0)*0.475*44/12</f>
        <v>59.945750706805441</v>
      </c>
      <c r="DH50" s="21">
        <f>EXP(-LN(2)/2)*DH49+(1-EXP(-LN(2)/2))/(LN(2)/2)*DB50*DE50*VLOOKUP('Données projet'!$B$13,Paramètres!$A$1:$I$89,3,0)*0.475*44/12</f>
        <v>7.0036196496409223E-5</v>
      </c>
      <c r="DI50" s="22">
        <f t="shared" si="15"/>
        <v>86.159264870802446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252.89000000000013</v>
      </c>
      <c r="O51" s="13">
        <f>N51*VLOOKUP('Données projet'!$B$9,Paramètres!$A$1:$I$89,3,0)*VLOOKUP('Données projet'!$B$9,Paramètres!$A$1:$I$89,5,0)</f>
        <v>228.81487200000009</v>
      </c>
      <c r="P51" s="13">
        <f t="shared" si="33"/>
        <v>56.026352154237983</v>
      </c>
      <c r="Q51" s="20">
        <f t="shared" si="53"/>
        <v>496.09846540196463</v>
      </c>
      <c r="R51" s="59">
        <f t="shared" si="0"/>
        <v>749.85833408763233</v>
      </c>
      <c r="S51" s="59">
        <f ca="1">AVERAGE(OFFSET($R$3,0,0,'Données projet'!$E$9+1,1))-AVERAGE(OFFSET($H$3,0,0,'Données projet'!$E$9+1,1))</f>
        <v>567.42635821336114</v>
      </c>
      <c r="T51" s="59">
        <f t="shared" si="34"/>
        <v>299.0473530693472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13.6</v>
      </c>
      <c r="AI51" s="13">
        <f>IF('Données projet'!$A$62&gt;35,AI50+AH51-AQ50,IF(A51&lt;'Données projet'!$A$62,$AF$205^A51,IF(A51='Données projet'!$A$62,'Données projet'!$B$62,AI50+AH51-AQ50)))</f>
        <v>246.80000000000013</v>
      </c>
      <c r="AJ51" s="13">
        <f>AI51*VLOOKUP('Données projet'!$B$10,Paramètres!$A$1:$I$89,3,0)*VLOOKUP('Données projet'!$B$10,Paramètres!$A$1:$I$89,5,0)</f>
        <v>211.75440000000012</v>
      </c>
      <c r="AK51" s="13">
        <f t="shared" si="35"/>
        <v>52.318780408268793</v>
      </c>
      <c r="AL51" s="20">
        <f t="shared" si="4"/>
        <v>459.92745587773499</v>
      </c>
      <c r="AM51" s="59">
        <f t="shared" si="5"/>
        <v>713.68732456340263</v>
      </c>
      <c r="AN51" s="59">
        <f ca="1">AVERAGE(OFFSET($AM$3,0,0,'Données projet'!$E$10+1,1))-AVERAGE(OFFSET($H$3,0,0,'Données projet'!$E$10+1,1))</f>
        <v>569.97793593332699</v>
      </c>
      <c r="AO51" s="59">
        <f t="shared" si="36"/>
        <v>331.25104323342907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45.197144281090168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45.197144281090168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13.598571428571429</v>
      </c>
      <c r="BD51" s="12">
        <f>IF('Données projet'!$A$88&gt;35,BD50+BC51-BL50,IF(A51&lt;'Données projet'!$A$88,$BA$205^A51,IF(A51='Données projet'!$A$88,'Données projet'!$B$88,BD50+BC51-BL50)))</f>
        <v>220.82428571428565</v>
      </c>
      <c r="BE51" s="13">
        <f>BD51*VLOOKUP('Données projet'!$B$11,Paramètres!$A$1:$I$89,3,0)*VLOOKUP('Données projet'!$B$11,Paramètres!$A$1:$I$89,5,0)</f>
        <v>186.02237828571427</v>
      </c>
      <c r="BF51" s="13">
        <f t="shared" si="37"/>
        <v>46.659477261313029</v>
      </c>
      <c r="BG51" s="20">
        <f t="shared" si="7"/>
        <v>405.25423174440584</v>
      </c>
      <c r="BH51" s="59">
        <f t="shared" si="8"/>
        <v>659.01410043007354</v>
      </c>
      <c r="BI51" s="59">
        <f ca="1">AVERAGE(OFFSET($BH$3,0,0,'Données projet'!$E$11+1,1))-AVERAGE(OFFSET($H$3,0,0,'Données projet'!$E$11+1,1))</f>
        <v>458.88102603650725</v>
      </c>
      <c r="BJ51" s="59">
        <f t="shared" si="38"/>
        <v>277.79020316059552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50.710421012455626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50.710421012455626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207.78887999999992</v>
      </c>
      <c r="CA51" s="13">
        <f t="shared" si="39"/>
        <v>51.452103086551489</v>
      </c>
      <c r="CB51" s="20">
        <f t="shared" si="10"/>
        <v>451.51137887574367</v>
      </c>
      <c r="CC51" s="59">
        <f t="shared" si="11"/>
        <v>705.27124756141143</v>
      </c>
      <c r="CD51" s="59">
        <f ca="1">AVERAGE(OFFSET($CC$3,0,0,'Données projet'!$E$12+1,1))-AVERAGE(OFFSET($H$3,0,0,'Données projet'!$E$12+1,1))</f>
        <v>400.48995908576177</v>
      </c>
      <c r="CE51" s="59">
        <f t="shared" si="40"/>
        <v>384.86917865380076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31.753069252614999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31.753069252614999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277.99999999999994</v>
      </c>
      <c r="CU51" s="17">
        <f>CT51*VLOOKUP('Données projet'!$B$13,Paramètres!$A$1:$I$89,3,0)*VLOOKUP('Données projet'!$B$13,Paramètres!$A$1:$I$89,5,0)</f>
        <v>151.78799999999998</v>
      </c>
      <c r="CV51" s="13">
        <f t="shared" si="41"/>
        <v>38.984634390835623</v>
      </c>
      <c r="CW51" s="20">
        <f t="shared" si="13"/>
        <v>332.26233823070532</v>
      </c>
      <c r="CX51" s="59">
        <f t="shared" si="14"/>
        <v>586.02220691637308</v>
      </c>
      <c r="CY51" s="59">
        <f ca="1">AVERAGE(OFFSET($CX$3,0,0,'Données projet'!$E$13+1,1))-AVERAGE(OFFSET($H$3,0,0,'Données projet'!$E$13+1,1))</f>
        <v>215.37314197175104</v>
      </c>
      <c r="CZ51" s="59">
        <f t="shared" si="42"/>
        <v>361.17630426655978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25.699414477076512</v>
      </c>
      <c r="DG51" s="21">
        <f>EXP(-LN(2)/25)*DG50+(1-EXP(-LN(2)/25))/(LN(2)/25)*Calculateur!DB51*Calculateur!DD51*VLOOKUP('Données projet'!$B$13,Paramètres!$A$1:$I$89,3,0)*0.475*44/12</f>
        <v>58.306531001317822</v>
      </c>
      <c r="DH51" s="21">
        <f>EXP(-LN(2)/2)*DH50+(1-EXP(-LN(2)/2))/(LN(2)/2)*DB51*DE51*VLOOKUP('Données projet'!$B$13,Paramètres!$A$1:$I$89,3,0)*0.475*44/12</f>
        <v>4.9523069471124484E-5</v>
      </c>
      <c r="DI51" s="22">
        <f t="shared" si="15"/>
        <v>84.005995001463816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204.0414285714287</v>
      </c>
      <c r="O52" s="13">
        <f>N52*VLOOKUP('Données projet'!$B$9,Paramètres!$A$1:$I$89,3,0)*VLOOKUP('Données projet'!$B$9,Paramètres!$A$1:$I$89,5,0)</f>
        <v>184.61668457142869</v>
      </c>
      <c r="P52" s="13">
        <f t="shared" si="33"/>
        <v>46.347794643176776</v>
      </c>
      <c r="Q52" s="20">
        <f t="shared" si="53"/>
        <v>402.26313463210448</v>
      </c>
      <c r="R52" s="59">
        <f t="shared" si="0"/>
        <v>656.70951445639639</v>
      </c>
      <c r="S52" s="59">
        <f ca="1">AVERAGE(OFFSET($R$3,0,0,'Données projet'!$E$9+1,1))-AVERAGE(OFFSET($H$3,0,0,'Données projet'!$E$9+1,1))</f>
        <v>567.42635821336114</v>
      </c>
      <c r="T52" s="59">
        <f t="shared" si="34"/>
        <v>299.0473530693472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13.6</v>
      </c>
      <c r="AI52" s="13">
        <f>IF('Données projet'!$A$62&gt;35,AI51+AH52-AQ51,IF(A52&lt;'Données projet'!$A$62,$AF$205^A52,IF(A52='Données projet'!$A$62,'Données projet'!$B$62,AI51+AH52-AQ51)))</f>
        <v>260.40000000000015</v>
      </c>
      <c r="AJ52" s="13">
        <f>AI52*VLOOKUP('Données projet'!$B$10,Paramètres!$A$1:$I$89,3,0)*VLOOKUP('Données projet'!$B$10,Paramètres!$A$1:$I$89,5,0)</f>
        <v>223.42320000000015</v>
      </c>
      <c r="AK52" s="13">
        <f t="shared" si="35"/>
        <v>54.858231422257631</v>
      </c>
      <c r="AL52" s="20">
        <f t="shared" si="4"/>
        <v>484.67349306043229</v>
      </c>
      <c r="AM52" s="59">
        <f t="shared" si="5"/>
        <v>739.11987288472426</v>
      </c>
      <c r="AN52" s="59">
        <f ca="1">AVERAGE(OFFSET($AM$3,0,0,'Données projet'!$E$10+1,1))-AVERAGE(OFFSET($H$3,0,0,'Données projet'!$E$10+1,1))</f>
        <v>569.97793593332699</v>
      </c>
      <c r="AO52" s="59">
        <f t="shared" si="36"/>
        <v>331.25104323342907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44.310855849273935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44.310855849273935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13.598571428571429</v>
      </c>
      <c r="BD52" s="12">
        <f>IF('Données projet'!$A$88&gt;35,BD51+BC52-BL51,IF(A52&lt;'Données projet'!$A$88,$BA$205^A52,IF(A52='Données projet'!$A$88,'Données projet'!$B$88,BD51+BC52-BL51)))</f>
        <v>234.42285714285708</v>
      </c>
      <c r="BE52" s="13">
        <f>BD52*VLOOKUP('Données projet'!$B$11,Paramètres!$A$1:$I$89,3,0)*VLOOKUP('Données projet'!$B$11,Paramètres!$A$1:$I$89,5,0)</f>
        <v>197.47781485714282</v>
      </c>
      <c r="BF52" s="13">
        <f t="shared" si="37"/>
        <v>49.189459016144667</v>
      </c>
      <c r="BG52" s="20">
        <f t="shared" si="7"/>
        <v>429.61216866264232</v>
      </c>
      <c r="BH52" s="59">
        <f t="shared" si="8"/>
        <v>684.05854848693434</v>
      </c>
      <c r="BI52" s="59">
        <f ca="1">AVERAGE(OFFSET($BH$3,0,0,'Données projet'!$E$11+1,1))-AVERAGE(OFFSET($H$3,0,0,'Données projet'!$E$11+1,1))</f>
        <v>458.88102603650725</v>
      </c>
      <c r="BJ52" s="59">
        <f t="shared" si="38"/>
        <v>277.79020316059552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49.716020586704076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49.716020586704076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214.97423999999995</v>
      </c>
      <c r="CA52" s="13">
        <f t="shared" si="39"/>
        <v>53.021096827639134</v>
      </c>
      <c r="CB52" s="20">
        <f t="shared" si="10"/>
        <v>466.75854497480481</v>
      </c>
      <c r="CC52" s="59">
        <f t="shared" si="11"/>
        <v>721.20492479909672</v>
      </c>
      <c r="CD52" s="59">
        <f ca="1">AVERAGE(OFFSET($CC$3,0,0,'Données projet'!$E$12+1,1))-AVERAGE(OFFSET($H$3,0,0,'Données projet'!$E$12+1,1))</f>
        <v>400.48995908576177</v>
      </c>
      <c r="CE52" s="59">
        <f t="shared" si="40"/>
        <v>384.86917865380076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31.130410932031086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31.130410932031086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277.99999999999994</v>
      </c>
      <c r="CU52" s="17">
        <f>CT52*VLOOKUP('Données projet'!$B$13,Paramètres!$A$1:$I$89,3,0)*VLOOKUP('Données projet'!$B$13,Paramètres!$A$1:$I$89,5,0)</f>
        <v>151.78799999999998</v>
      </c>
      <c r="CV52" s="13">
        <f t="shared" si="41"/>
        <v>38.984634390835623</v>
      </c>
      <c r="CW52" s="20">
        <f t="shared" si="13"/>
        <v>332.26233823070532</v>
      </c>
      <c r="CX52" s="59">
        <f t="shared" si="14"/>
        <v>586.70871805499723</v>
      </c>
      <c r="CY52" s="59">
        <f ca="1">AVERAGE(OFFSET($CX$3,0,0,'Données projet'!$E$13+1,1))-AVERAGE(OFFSET($H$3,0,0,'Données projet'!$E$13+1,1))</f>
        <v>215.37314197175104</v>
      </c>
      <c r="CZ52" s="59">
        <f t="shared" si="42"/>
        <v>361.17630426655978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25.195464634276085</v>
      </c>
      <c r="DG52" s="21">
        <f>EXP(-LN(2)/25)*DG51+(1-EXP(-LN(2)/25))/(LN(2)/25)*Calculateur!DB52*Calculateur!DD52*VLOOKUP('Données projet'!$B$13,Paramètres!$A$1:$I$89,3,0)*0.475*44/12</f>
        <v>56.712135844879583</v>
      </c>
      <c r="DH52" s="21">
        <f>EXP(-LN(2)/2)*DH51+(1-EXP(-LN(2)/2))/(LN(2)/2)*DB52*DE52*VLOOKUP('Données projet'!$B$13,Paramètres!$A$1:$I$89,3,0)*0.475*44/12</f>
        <v>3.5018098248204612E-5</v>
      </c>
      <c r="DI52" s="22">
        <f t="shared" si="15"/>
        <v>81.907635497253906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216.31285714285727</v>
      </c>
      <c r="O53" s="13">
        <f>N53*VLOOKUP('Données projet'!$B$9,Paramètres!$A$1:$I$89,3,0)*VLOOKUP('Données projet'!$B$9,Paramètres!$A$1:$I$89,5,0)</f>
        <v>195.71987314285727</v>
      </c>
      <c r="P53" s="13">
        <f t="shared" si="33"/>
        <v>48.8023443653355</v>
      </c>
      <c r="Q53" s="20">
        <f t="shared" si="53"/>
        <v>425.87619549343572</v>
      </c>
      <c r="R53" s="59">
        <f t="shared" si="0"/>
        <v>680.99717702290582</v>
      </c>
      <c r="S53" s="59">
        <f ca="1">AVERAGE(OFFSET($R$3,0,0,'Données projet'!$E$9+1,1))-AVERAGE(OFFSET($H$3,0,0,'Données projet'!$E$9+1,1))</f>
        <v>567.42635821336114</v>
      </c>
      <c r="T53" s="59">
        <f t="shared" si="34"/>
        <v>299.0473530693472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274</v>
      </c>
      <c r="AG53" s="12">
        <f>VLOOKUP(A53,'Données projet'!$A$61:$I$81,9,0)</f>
        <v>13.6</v>
      </c>
      <c r="AH53" s="12">
        <f t="array" ref="AH53">INDEX(AG:AG,MIN(IF(ISNUMBER(AG53:AG249),ROW(AG53:AG249),"")))</f>
        <v>13.6</v>
      </c>
      <c r="AI53" s="13">
        <f>IF('Données projet'!$A$62&gt;35,AI52+AH53-AQ52,IF(A53&lt;'Données projet'!$A$62,$AF$205^A53,IF(A53='Données projet'!$A$62,'Données projet'!$B$62,AI52+AH53-AQ52)))</f>
        <v>274.00000000000017</v>
      </c>
      <c r="AJ53" s="13">
        <f>AI53*VLOOKUP('Données projet'!$B$10,Paramètres!$A$1:$I$89,3,0)*VLOOKUP('Données projet'!$B$10,Paramètres!$A$1:$I$89,5,0)</f>
        <v>235.09200000000016</v>
      </c>
      <c r="AK53" s="13">
        <f t="shared" si="35"/>
        <v>57.38228388709345</v>
      </c>
      <c r="AL53" s="20">
        <f t="shared" si="4"/>
        <v>509.39271110335471</v>
      </c>
      <c r="AM53" s="59">
        <f t="shared" si="5"/>
        <v>764.51369263282481</v>
      </c>
      <c r="AN53" s="59">
        <f ca="1">AVERAGE(OFFSET($AM$3,0,0,'Données projet'!$E$10+1,1))-AVERAGE(OFFSET($H$3,0,0,'Données projet'!$E$10+1,1))</f>
        <v>569.97793593332699</v>
      </c>
      <c r="AO53" s="59">
        <f t="shared" si="36"/>
        <v>331.25104323342907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61.036503006631534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61.036503006631534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13.598571428571429</v>
      </c>
      <c r="BD53" s="12">
        <f>IF('Données projet'!$A$88&gt;35,BD52+BC53-BL52,IF(A53&lt;'Données projet'!$A$88,$BA$205^A53,IF(A53='Données projet'!$A$88,'Données projet'!$B$88,BD52+BC53-BL52)))</f>
        <v>248.02142857142852</v>
      </c>
      <c r="BE53" s="13">
        <f>BD53*VLOOKUP('Données projet'!$B$11,Paramètres!$A$1:$I$89,3,0)*VLOOKUP('Données projet'!$B$11,Paramètres!$A$1:$I$89,5,0)</f>
        <v>208.9332514285714</v>
      </c>
      <c r="BF53" s="13">
        <f t="shared" si="37"/>
        <v>51.702405248349578</v>
      </c>
      <c r="BG53" s="20">
        <f t="shared" si="7"/>
        <v>453.94043537897068</v>
      </c>
      <c r="BH53" s="59">
        <f t="shared" si="8"/>
        <v>709.06141690844083</v>
      </c>
      <c r="BI53" s="59">
        <f ca="1">AVERAGE(OFFSET($BH$3,0,0,'Données projet'!$E$11+1,1))-AVERAGE(OFFSET($H$3,0,0,'Données projet'!$E$11+1,1))</f>
        <v>458.88102603650725</v>
      </c>
      <c r="BJ53" s="59">
        <f t="shared" si="38"/>
        <v>277.79020316059552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48.741119746777144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48.741119746777144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222.15959999999995</v>
      </c>
      <c r="CA53" s="13">
        <f t="shared" si="39"/>
        <v>54.583996923291004</v>
      </c>
      <c r="CB53" s="20">
        <f t="shared" si="10"/>
        <v>481.99509797473166</v>
      </c>
      <c r="CC53" s="59">
        <f t="shared" si="11"/>
        <v>737.11607950420171</v>
      </c>
      <c r="CD53" s="59">
        <f ca="1">AVERAGE(OFFSET($CC$3,0,0,'Données projet'!$E$12+1,1))-AVERAGE(OFFSET($H$3,0,0,'Données projet'!$E$12+1,1))</f>
        <v>400.48995908576177</v>
      </c>
      <c r="CE53" s="59">
        <f t="shared" si="40"/>
        <v>384.86917865380076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37.839056428259987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37.839056428259987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277.99999999999994</v>
      </c>
      <c r="CU53" s="17">
        <f>CT53*VLOOKUP('Données projet'!$B$13,Paramètres!$A$1:$I$89,3,0)*VLOOKUP('Données projet'!$B$13,Paramètres!$A$1:$I$89,5,0)</f>
        <v>151.78799999999998</v>
      </c>
      <c r="CV53" s="13">
        <f t="shared" si="41"/>
        <v>38.984634390835623</v>
      </c>
      <c r="CW53" s="20">
        <f t="shared" si="13"/>
        <v>332.26233823070532</v>
      </c>
      <c r="CX53" s="59">
        <f t="shared" si="14"/>
        <v>587.38331976017548</v>
      </c>
      <c r="CY53" s="59">
        <f ca="1">AVERAGE(OFFSET($CX$3,0,0,'Données projet'!$E$13+1,1))-AVERAGE(OFFSET($H$3,0,0,'Données projet'!$E$13+1,1))</f>
        <v>215.37314197175104</v>
      </c>
      <c r="CZ53" s="59">
        <f t="shared" si="42"/>
        <v>361.17630426655978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24.701396940513924</v>
      </c>
      <c r="DG53" s="21">
        <f>EXP(-LN(2)/25)*DG52+(1-EXP(-LN(2)/25))/(LN(2)/25)*Calculateur!DB53*Calculateur!DD53*VLOOKUP('Données projet'!$B$13,Paramètres!$A$1:$I$89,3,0)*0.475*44/12</f>
        <v>55.161339507839742</v>
      </c>
      <c r="DH53" s="21">
        <f>EXP(-LN(2)/2)*DH52+(1-EXP(-LN(2)/2))/(LN(2)/2)*DB53*DE53*VLOOKUP('Données projet'!$B$13,Paramètres!$A$1:$I$89,3,0)*0.475*44/12</f>
        <v>2.4761534735562242E-5</v>
      </c>
      <c r="DI53" s="22">
        <f t="shared" si="15"/>
        <v>79.862761209888404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228.58428571428584</v>
      </c>
      <c r="O54" s="13">
        <f>N54*VLOOKUP('Données projet'!$B$9,Paramètres!$A$1:$I$89,3,0)*VLOOKUP('Données projet'!$B$9,Paramètres!$A$1:$I$89,5,0)</f>
        <v>206.82306171428581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705.24498435418263</v>
      </c>
      <c r="S54" s="59">
        <f ca="1">AVERAGE(OFFSET($R$3,0,0,'Données projet'!$E$9+1,1))-AVERAGE(OFFSET($H$3,0,0,'Données projet'!$E$9+1,1))</f>
        <v>567.42635821336114</v>
      </c>
      <c r="T54" s="59">
        <f t="shared" si="34"/>
        <v>299.0473530693472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</v>
      </c>
      <c r="AI54" s="13">
        <f>IF('Données projet'!$A$62&gt;35,AI53+AH54-AQ53,IF(A54&lt;'Données projet'!$A$62,$AF$205^A54,IF(A54='Données projet'!$A$62,'Données projet'!$B$62,AI53+AH54-AQ53)))</f>
        <v>252.40000000000015</v>
      </c>
      <c r="AJ54" s="13">
        <f>AI54*VLOOKUP('Données projet'!$B$10,Paramètres!$A$1:$I$89,3,0)*VLOOKUP('Données projet'!$B$10,Paramètres!$A$1:$I$89,5,0)</f>
        <v>216.55920000000012</v>
      </c>
      <c r="AK54" s="13">
        <f t="shared" si="35"/>
        <v>53.366360125240526</v>
      </c>
      <c r="AL54" s="20">
        <f t="shared" si="4"/>
        <v>470.12035055146072</v>
      </c>
      <c r="AM54" s="59">
        <f t="shared" si="5"/>
        <v>725.9042309547076</v>
      </c>
      <c r="AN54" s="59">
        <f ca="1">AVERAGE(OFFSET($AM$3,0,0,'Données projet'!$E$10+1,1))-AVERAGE(OFFSET($H$3,0,0,'Données projet'!$E$10+1,1))</f>
        <v>569.97793593332699</v>
      </c>
      <c r="AO54" s="59">
        <f t="shared" si="36"/>
        <v>331.25104323342907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59.839614411262303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59.839614411262303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261.62</v>
      </c>
      <c r="BB54" s="12">
        <f>VLOOKUP(A54,'Données projet'!$A$87:$I$107,9,0)</f>
        <v>13.598571428571429</v>
      </c>
      <c r="BC54" s="12">
        <f t="array" ref="BC54">INDEX(BB:BB,MIN(IF(ISNUMBER(BB54:BB250),ROW(BB54:BB250),"")))</f>
        <v>13.598571428571429</v>
      </c>
      <c r="BD54" s="12">
        <f>IF('Données projet'!$A$88&gt;35,BD53+BC54-BL53,IF(A54&lt;'Données projet'!$A$88,$BA$205^A54,IF(A54='Données projet'!$A$88,'Données projet'!$B$88,BD53+BC54-BL53)))</f>
        <v>261.61999999999995</v>
      </c>
      <c r="BE54" s="13">
        <f>BD54*VLOOKUP('Données projet'!$B$11,Paramètres!$A$1:$I$89,3,0)*VLOOKUP('Données projet'!$B$11,Paramètres!$A$1:$I$89,5,0)</f>
        <v>220.38868799999997</v>
      </c>
      <c r="BF54" s="13">
        <f t="shared" si="37"/>
        <v>54.199356456019601</v>
      </c>
      <c r="BG54" s="20">
        <f t="shared" si="7"/>
        <v>478.24084409423403</v>
      </c>
      <c r="BH54" s="59">
        <f t="shared" si="8"/>
        <v>734.02472449748086</v>
      </c>
      <c r="BI54" s="59">
        <f ca="1">AVERAGE(OFFSET($BH$3,0,0,'Données projet'!$E$11+1,1))-AVERAGE(OFFSET($H$3,0,0,'Données projet'!$E$11+1,1))</f>
        <v>458.88102603650725</v>
      </c>
      <c r="BJ54" s="59">
        <f t="shared" si="38"/>
        <v>277.79020316059552</v>
      </c>
      <c r="BK54" s="15">
        <f>IF(ISNA(VLOOKUP(A54,'Données projet'!$A$87:$I$107,3,0)),0,VLOOKUP(A54,'Données projet'!$A$87:$I$107,3,0))</f>
        <v>4</v>
      </c>
      <c r="BL54" s="15">
        <f>IF(ISNA(VLOOKUP(A54,'Données projet'!$A$87:$I$107,4,0)),0,VLOOKUP(A54,'Données projet'!$A$87:$I$107,4,0))</f>
        <v>50.63</v>
      </c>
      <c r="BM54" s="16">
        <f>IF(ISNA(VLOOKUP(A54,'Données projet'!$A$87:$I$107,5,0)),0%,VLOOKUP(A54,'Données projet'!$A$87:$I$107,5,0)*VLOOKUP('Données projet'!$B$11,Paramètres!$A$1:$I$89,7,0))</f>
        <v>0.43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68.059448593946314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68.059448593946314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212.92127999999991</v>
      </c>
      <c r="CA54" s="13">
        <f t="shared" si="39"/>
        <v>52.57344469809297</v>
      </c>
      <c r="CB54" s="20">
        <f t="shared" si="10"/>
        <v>462.4033121825118</v>
      </c>
      <c r="CC54" s="59">
        <f t="shared" si="11"/>
        <v>718.18719258575857</v>
      </c>
      <c r="CD54" s="59">
        <f ca="1">AVERAGE(OFFSET($CC$3,0,0,'Données projet'!$E$12+1,1))-AVERAGE(OFFSET($H$3,0,0,'Données projet'!$E$12+1,1))</f>
        <v>400.48995908576177</v>
      </c>
      <c r="CE54" s="59">
        <f t="shared" si="40"/>
        <v>384.86917865380076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37.097055611247313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37.097055611247313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277.99999999999994</v>
      </c>
      <c r="CU54" s="17">
        <f>CT54*VLOOKUP('Données projet'!$B$13,Paramètres!$A$1:$I$89,3,0)*VLOOKUP('Données projet'!$B$13,Paramètres!$A$1:$I$89,5,0)</f>
        <v>151.78799999999998</v>
      </c>
      <c r="CV54" s="13">
        <f t="shared" si="41"/>
        <v>38.984634390835623</v>
      </c>
      <c r="CW54" s="20">
        <f t="shared" si="13"/>
        <v>332.26233823070532</v>
      </c>
      <c r="CX54" s="59">
        <f t="shared" si="14"/>
        <v>588.04621863395209</v>
      </c>
      <c r="CY54" s="59">
        <f ca="1">AVERAGE(OFFSET($CX$3,0,0,'Données projet'!$E$13+1,1))-AVERAGE(OFFSET($H$3,0,0,'Données projet'!$E$13+1,1))</f>
        <v>215.37314197175104</v>
      </c>
      <c r="CZ54" s="59">
        <f t="shared" si="42"/>
        <v>361.17630426655978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24.217017612874898</v>
      </c>
      <c r="DG54" s="21">
        <f>EXP(-LN(2)/25)*DG53+(1-EXP(-LN(2)/25))/(LN(2)/25)*Calculateur!DB54*Calculateur!DD54*VLOOKUP('Données projet'!$B$13,Paramètres!$A$1:$I$89,3,0)*0.475*44/12</f>
        <v>53.65294977818909</v>
      </c>
      <c r="DH54" s="21">
        <f>EXP(-LN(2)/2)*DH53+(1-EXP(-LN(2)/2))/(LN(2)/2)*DB54*DE54*VLOOKUP('Données projet'!$B$13,Paramètres!$A$1:$I$89,3,0)*0.475*44/12</f>
        <v>1.7509049124102306E-5</v>
      </c>
      <c r="DI54" s="22">
        <f t="shared" si="15"/>
        <v>77.869984900113124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240.85571428571441</v>
      </c>
      <c r="O55" s="13">
        <f>N55*VLOOKUP('Données projet'!$B$9,Paramètres!$A$1:$I$89,3,0)*VLOOKUP('Données projet'!$B$9,Paramètres!$A$1:$I$89,5,0)</f>
        <v>217.92625028571439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729.45482313495472</v>
      </c>
      <c r="S55" s="59">
        <f ca="1">AVERAGE(OFFSET($R$3,0,0,'Données projet'!$E$9+1,1))-AVERAGE(OFFSET($H$3,0,0,'Données projet'!$E$9+1,1))</f>
        <v>567.42635821336114</v>
      </c>
      <c r="T55" s="59">
        <f t="shared" si="34"/>
        <v>299.0473530693472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</v>
      </c>
      <c r="AI55" s="13">
        <f>IF('Données projet'!$A$62&gt;35,AI54+AH55-AQ54,IF(A55&lt;'Données projet'!$A$62,$AF$205^A55,IF(A55='Données projet'!$A$62,'Données projet'!$B$62,AI54+AH55-AQ54)))</f>
        <v>265.80000000000013</v>
      </c>
      <c r="AJ55" s="13">
        <f>AI55*VLOOKUP('Données projet'!$B$10,Paramètres!$A$1:$I$89,3,0)*VLOOKUP('Données projet'!$B$10,Paramètres!$A$1:$I$89,5,0)</f>
        <v>228.05640000000014</v>
      </c>
      <c r="AK55" s="13">
        <f t="shared" si="35"/>
        <v>55.862222430632038</v>
      </c>
      <c r="AL55" s="20">
        <f t="shared" si="4"/>
        <v>494.49160073335105</v>
      </c>
      <c r="AM55" s="59">
        <f t="shared" si="5"/>
        <v>750.92688019693446</v>
      </c>
      <c r="AN55" s="59">
        <f ca="1">AVERAGE(OFFSET($AM$3,0,0,'Données projet'!$E$10+1,1))-AVERAGE(OFFSET($H$3,0,0,'Données projet'!$E$10+1,1))</f>
        <v>569.97793593332699</v>
      </c>
      <c r="AO55" s="59">
        <f t="shared" si="36"/>
        <v>331.25104323342907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58.666196071218309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58.666196071218309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13.447142857142856</v>
      </c>
      <c r="BD55" s="12">
        <f>IF('Données projet'!$A$88&gt;35,BD54+BC55-BL54,IF(A55&lt;'Données projet'!$A$88,$BA$205^A55,IF(A55='Données projet'!$A$88,'Données projet'!$B$88,BD54+BC55-BL54)))</f>
        <v>224.43714285714282</v>
      </c>
      <c r="BE55" s="13">
        <f>BD55*VLOOKUP('Données projet'!$B$11,Paramètres!$A$1:$I$89,3,0)*VLOOKUP('Données projet'!$B$11,Paramètres!$A$1:$I$89,5,0)</f>
        <v>189.06584914285713</v>
      </c>
      <c r="BF55" s="13">
        <f t="shared" si="37"/>
        <v>47.333366154738869</v>
      </c>
      <c r="BG55" s="20">
        <f t="shared" si="7"/>
        <v>411.72863330997967</v>
      </c>
      <c r="BH55" s="59">
        <f t="shared" si="8"/>
        <v>668.16391277356297</v>
      </c>
      <c r="BI55" s="59">
        <f ca="1">AVERAGE(OFFSET($BH$3,0,0,'Données projet'!$E$11+1,1))-AVERAGE(OFFSET($H$3,0,0,'Données projet'!$E$11+1,1))</f>
        <v>458.88102603650725</v>
      </c>
      <c r="BJ55" s="59">
        <f t="shared" si="38"/>
        <v>277.79020316059552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66.724844319183688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66.724844319183688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219.08015999999992</v>
      </c>
      <c r="CA55" s="13">
        <f t="shared" si="39"/>
        <v>53.914914316401685</v>
      </c>
      <c r="CB55" s="20">
        <f t="shared" si="10"/>
        <v>475.46642110106609</v>
      </c>
      <c r="CC55" s="59">
        <f t="shared" si="11"/>
        <v>731.90170056464945</v>
      </c>
      <c r="CD55" s="59">
        <f ca="1">AVERAGE(OFFSET($CC$3,0,0,'Données projet'!$E$12+1,1))-AVERAGE(OFFSET($H$3,0,0,'Données projet'!$E$12+1,1))</f>
        <v>400.48995908576177</v>
      </c>
      <c r="CE55" s="59">
        <f t="shared" si="40"/>
        <v>384.86917865380076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36.369604977680446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36.369604977680446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277.99999999999994</v>
      </c>
      <c r="CU55" s="17">
        <f>CT55*VLOOKUP('Données projet'!$B$13,Paramètres!$A$1:$I$89,3,0)*VLOOKUP('Données projet'!$B$13,Paramètres!$A$1:$I$89,5,0)</f>
        <v>151.78799999999998</v>
      </c>
      <c r="CV55" s="13">
        <f t="shared" si="41"/>
        <v>38.984634390835623</v>
      </c>
      <c r="CW55" s="20">
        <f t="shared" si="13"/>
        <v>332.26233823070532</v>
      </c>
      <c r="CX55" s="59">
        <f t="shared" si="14"/>
        <v>588.69761769428874</v>
      </c>
      <c r="CY55" s="59">
        <f ca="1">AVERAGE(OFFSET($CX$3,0,0,'Données projet'!$E$13+1,1))-AVERAGE(OFFSET($H$3,0,0,'Données projet'!$E$13+1,1))</f>
        <v>215.37314197175104</v>
      </c>
      <c r="CZ55" s="59">
        <f t="shared" si="42"/>
        <v>361.17630426655978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23.742136668408659</v>
      </c>
      <c r="DG55" s="21">
        <f>EXP(-LN(2)/25)*DG54+(1-EXP(-LN(2)/25))/(LN(2)/25)*Calculateur!DB55*Calculateur!DD55*VLOOKUP('Données projet'!$B$13,Paramètres!$A$1:$I$89,3,0)*0.475*44/12</f>
        <v>52.185807045018507</v>
      </c>
      <c r="DH55" s="21">
        <f>EXP(-LN(2)/2)*DH54+(1-EXP(-LN(2)/2))/(LN(2)/2)*DB55*DE55*VLOOKUP('Données projet'!$B$13,Paramètres!$A$1:$I$89,3,0)*0.475*44/12</f>
        <v>1.2380767367781121E-5</v>
      </c>
      <c r="DI55" s="22">
        <f t="shared" si="15"/>
        <v>75.927956094194542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253.12714285714299</v>
      </c>
      <c r="O56" s="13">
        <f>N56*VLOOKUP('Données projet'!$B$9,Paramètres!$A$1:$I$89,3,0)*VLOOKUP('Données projet'!$B$9,Paramètres!$A$1:$I$89,5,0)</f>
        <v>229.02943885714296</v>
      </c>
      <c r="P56" s="13">
        <f t="shared" si="33"/>
        <v>56.072771899312158</v>
      </c>
      <c r="Q56" s="20">
        <f t="shared" si="53"/>
        <v>496.55301706749265</v>
      </c>
      <c r="R56" s="59">
        <f t="shared" si="0"/>
        <v>753.62839527402593</v>
      </c>
      <c r="S56" s="59">
        <f ca="1">AVERAGE(OFFSET($R$3,0,0,'Données projet'!$E$9+1,1))-AVERAGE(OFFSET($H$3,0,0,'Données projet'!$E$9+1,1))</f>
        <v>567.42635821336114</v>
      </c>
      <c r="T56" s="59">
        <f t="shared" si="34"/>
        <v>299.0473530693472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</v>
      </c>
      <c r="AI56" s="13">
        <f>IF('Données projet'!$A$62&gt;35,AI55+AH56-AQ55,IF(A56&lt;'Données projet'!$A$62,$AF$205^A56,IF(A56='Données projet'!$A$62,'Données projet'!$B$62,AI55+AH56-AQ55)))</f>
        <v>279.2000000000001</v>
      </c>
      <c r="AJ56" s="13">
        <f>AI56*VLOOKUP('Données projet'!$B$10,Paramètres!$A$1:$I$89,3,0)*VLOOKUP('Données projet'!$B$10,Paramètres!$A$1:$I$89,5,0)</f>
        <v>239.5536000000001</v>
      </c>
      <c r="AK56" s="13">
        <f t="shared" si="35"/>
        <v>58.343474943343601</v>
      </c>
      <c r="AL56" s="20">
        <f t="shared" si="4"/>
        <v>518.83740552632355</v>
      </c>
      <c r="AM56" s="59">
        <f t="shared" si="5"/>
        <v>775.91278373285672</v>
      </c>
      <c r="AN56" s="59">
        <f ca="1">AVERAGE(OFFSET($AM$3,0,0,'Données projet'!$E$10+1,1))-AVERAGE(OFFSET($H$3,0,0,'Données projet'!$E$10+1,1))</f>
        <v>569.97793593332699</v>
      </c>
      <c r="AO56" s="59">
        <f t="shared" si="36"/>
        <v>331.25104323342907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57.515787749108057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57.515787749108057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13.447142857142856</v>
      </c>
      <c r="BD56" s="12">
        <f>IF('Données projet'!$A$88&gt;35,BD55+BC56-BL55,IF(A56&lt;'Données projet'!$A$88,$BA$205^A56,IF(A56='Données projet'!$A$88,'Données projet'!$B$88,BD55+BC56-BL55)))</f>
        <v>237.88428571428568</v>
      </c>
      <c r="BE56" s="13">
        <f>BD56*VLOOKUP('Données projet'!$B$11,Paramètres!$A$1:$I$89,3,0)*VLOOKUP('Données projet'!$B$11,Paramètres!$A$1:$I$89,5,0)</f>
        <v>200.39372228571426</v>
      </c>
      <c r="BF56" s="13">
        <f t="shared" si="37"/>
        <v>49.830686060433919</v>
      </c>
      <c r="BG56" s="20">
        <f t="shared" si="7"/>
        <v>435.80751120287476</v>
      </c>
      <c r="BH56" s="59">
        <f t="shared" si="8"/>
        <v>692.88288940940799</v>
      </c>
      <c r="BI56" s="59">
        <f ca="1">AVERAGE(OFFSET($BH$3,0,0,'Données projet'!$E$11+1,1))-AVERAGE(OFFSET($H$3,0,0,'Données projet'!$E$11+1,1))</f>
        <v>458.88102603650725</v>
      </c>
      <c r="BJ56" s="59">
        <f t="shared" si="38"/>
        <v>277.79020316059552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65.416410820220918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65.416410820220918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225.2390399999999</v>
      </c>
      <c r="CA56" s="13">
        <f t="shared" si="39"/>
        <v>55.252000822487368</v>
      </c>
      <c r="CB56" s="20">
        <f t="shared" si="10"/>
        <v>488.5218960991653</v>
      </c>
      <c r="CC56" s="59">
        <f t="shared" si="11"/>
        <v>745.59727430569853</v>
      </c>
      <c r="CD56" s="59">
        <f ca="1">AVERAGE(OFFSET($CC$3,0,0,'Données projet'!$E$12+1,1))-AVERAGE(OFFSET($H$3,0,0,'Données projet'!$E$12+1,1))</f>
        <v>400.48995908576177</v>
      </c>
      <c r="CE56" s="59">
        <f t="shared" si="40"/>
        <v>384.86917865380076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35.656419207336754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35.656419207336754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277.99999999999994</v>
      </c>
      <c r="CU56" s="17">
        <f>CT56*VLOOKUP('Données projet'!$B$13,Paramètres!$A$1:$I$89,3,0)*VLOOKUP('Données projet'!$B$13,Paramètres!$A$1:$I$89,5,0)</f>
        <v>151.78799999999998</v>
      </c>
      <c r="CV56" s="13">
        <f t="shared" si="41"/>
        <v>38.984634390835623</v>
      </c>
      <c r="CW56" s="20">
        <f t="shared" si="13"/>
        <v>332.26233823070532</v>
      </c>
      <c r="CX56" s="59">
        <f t="shared" si="14"/>
        <v>589.33771643723856</v>
      </c>
      <c r="CY56" s="59">
        <f ca="1">AVERAGE(OFFSET($CX$3,0,0,'Données projet'!$E$13+1,1))-AVERAGE(OFFSET($H$3,0,0,'Données projet'!$E$13+1,1))</f>
        <v>215.37314197175104</v>
      </c>
      <c r="CZ56" s="59">
        <f t="shared" si="42"/>
        <v>361.17630426655978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23.276567849614626</v>
      </c>
      <c r="DG56" s="21">
        <f>EXP(-LN(2)/25)*DG55+(1-EXP(-LN(2)/25))/(LN(2)/25)*Calculateur!DB56*Calculateur!DD56*VLOOKUP('Données projet'!$B$13,Paramètres!$A$1:$I$89,3,0)*0.475*44/12</f>
        <v>50.758783407040156</v>
      </c>
      <c r="DH56" s="21">
        <f>EXP(-LN(2)/2)*DH55+(1-EXP(-LN(2)/2))/(LN(2)/2)*DB56*DE56*VLOOKUP('Données projet'!$B$13,Paramètres!$A$1:$I$89,3,0)*0.475*44/12</f>
        <v>8.7545245620511529E-6</v>
      </c>
      <c r="DI56" s="22">
        <f t="shared" si="15"/>
        <v>74.035360011179336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265.39857142857159</v>
      </c>
      <c r="O57" s="13">
        <f>N57*VLOOKUP('Données projet'!$B$9,Paramètres!$A$1:$I$89,3,0)*VLOOKUP('Données projet'!$B$9,Paramètres!$A$1:$I$89,5,0)</f>
        <v>240.13262742857154</v>
      </c>
      <c r="P57" s="13">
        <f t="shared" si="33"/>
        <v>58.468065001979532</v>
      </c>
      <c r="Q57" s="20">
        <f t="shared" si="53"/>
        <v>520.06287264987645</v>
      </c>
      <c r="R57" s="59">
        <f t="shared" si="0"/>
        <v>777.76724531721584</v>
      </c>
      <c r="S57" s="59">
        <f ca="1">AVERAGE(OFFSET($R$3,0,0,'Données projet'!$E$9+1,1))-AVERAGE(OFFSET($H$3,0,0,'Données projet'!$E$9+1,1))</f>
        <v>567.42635821336114</v>
      </c>
      <c r="T57" s="59">
        <f t="shared" si="34"/>
        <v>299.0473530693472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</v>
      </c>
      <c r="AI57" s="13">
        <f>IF('Données projet'!$A$62&gt;35,AI56+AH57-AQ56,IF(A57&lt;'Données projet'!$A$62,$AF$205^A57,IF(A57='Données projet'!$A$62,'Données projet'!$B$62,AI56+AH57-AQ56)))</f>
        <v>292.60000000000008</v>
      </c>
      <c r="AJ57" s="13">
        <f>AI57*VLOOKUP('Données projet'!$B$10,Paramètres!$A$1:$I$89,3,0)*VLOOKUP('Données projet'!$B$10,Paramètres!$A$1:$I$89,5,0)</f>
        <v>251.05080000000009</v>
      </c>
      <c r="AK57" s="13">
        <f t="shared" si="35"/>
        <v>60.810898898941176</v>
      </c>
      <c r="AL57" s="20">
        <f t="shared" si="4"/>
        <v>543.15912558232264</v>
      </c>
      <c r="AM57" s="59">
        <f t="shared" si="5"/>
        <v>800.86349824966192</v>
      </c>
      <c r="AN57" s="59">
        <f ca="1">AVERAGE(OFFSET($AM$3,0,0,'Données projet'!$E$10+1,1))-AVERAGE(OFFSET($H$3,0,0,'Données projet'!$E$10+1,1))</f>
        <v>569.97793593332699</v>
      </c>
      <c r="AO57" s="59">
        <f t="shared" si="36"/>
        <v>331.25104323342907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56.3879382325146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56.3879382325146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13.447142857142856</v>
      </c>
      <c r="BD57" s="12">
        <f>IF('Données projet'!$A$88&gt;35,BD56+BC57-BL56,IF(A57&lt;'Données projet'!$A$88,$BA$205^A57,IF(A57='Données projet'!$A$88,'Données projet'!$B$88,BD56+BC57-BL56)))</f>
        <v>251.33142857142855</v>
      </c>
      <c r="BE57" s="13">
        <f>BD57*VLOOKUP('Données projet'!$B$11,Paramètres!$A$1:$I$89,3,0)*VLOOKUP('Données projet'!$B$11,Paramètres!$A$1:$I$89,5,0)</f>
        <v>211.72159542857142</v>
      </c>
      <c r="BF57" s="13">
        <f t="shared" si="37"/>
        <v>52.311618658216112</v>
      </c>
      <c r="BG57" s="20">
        <f t="shared" si="7"/>
        <v>459.85784786782165</v>
      </c>
      <c r="BH57" s="59">
        <f t="shared" si="8"/>
        <v>717.56222053516103</v>
      </c>
      <c r="BI57" s="59">
        <f ca="1">AVERAGE(OFFSET($BH$3,0,0,'Données projet'!$E$11+1,1))-AVERAGE(OFFSET($H$3,0,0,'Données projet'!$E$11+1,1))</f>
        <v>458.88102603650725</v>
      </c>
      <c r="BJ57" s="59">
        <f t="shared" si="38"/>
        <v>277.79020316059552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64.133634904107183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64.133634904107183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231.39791999999986</v>
      </c>
      <c r="CA57" s="13">
        <f t="shared" si="39"/>
        <v>56.584837838715806</v>
      </c>
      <c r="CB57" s="20">
        <f t="shared" si="10"/>
        <v>501.5699699024297</v>
      </c>
      <c r="CC57" s="59">
        <f t="shared" si="11"/>
        <v>759.27434256976903</v>
      </c>
      <c r="CD57" s="59">
        <f ca="1">AVERAGE(OFFSET($CC$3,0,0,'Données projet'!$E$12+1,1))-AVERAGE(OFFSET($H$3,0,0,'Données projet'!$E$12+1,1))</f>
        <v>400.48995908576177</v>
      </c>
      <c r="CE57" s="59">
        <f t="shared" si="40"/>
        <v>384.86917865380076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34.957218574949131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34.957218574949131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277.99999999999994</v>
      </c>
      <c r="CU57" s="17">
        <f>CT57*VLOOKUP('Données projet'!$B$13,Paramètres!$A$1:$I$89,3,0)*VLOOKUP('Données projet'!$B$13,Paramètres!$A$1:$I$89,5,0)</f>
        <v>151.78799999999998</v>
      </c>
      <c r="CV57" s="13">
        <f t="shared" si="41"/>
        <v>38.984634390835623</v>
      </c>
      <c r="CW57" s="20">
        <f t="shared" si="13"/>
        <v>332.26233823070532</v>
      </c>
      <c r="CX57" s="59">
        <f t="shared" si="14"/>
        <v>589.96671089804465</v>
      </c>
      <c r="CY57" s="59">
        <f ca="1">AVERAGE(OFFSET($CX$3,0,0,'Données projet'!$E$13+1,1))-AVERAGE(OFFSET($H$3,0,0,'Données projet'!$E$13+1,1))</f>
        <v>215.37314197175104</v>
      </c>
      <c r="CZ57" s="59">
        <f t="shared" si="42"/>
        <v>361.17630426655978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22.820128551388205</v>
      </c>
      <c r="DG57" s="21">
        <f>EXP(-LN(2)/25)*DG56+(1-EXP(-LN(2)/25))/(LN(2)/25)*Calculateur!DB57*Calculateur!DD57*VLOOKUP('Données projet'!$B$13,Paramètres!$A$1:$I$89,3,0)*0.475*44/12</f>
        <v>49.370781805486232</v>
      </c>
      <c r="DH57" s="21">
        <f>EXP(-LN(2)/2)*DH56+(1-EXP(-LN(2)/2))/(LN(2)/2)*DB57*DE57*VLOOKUP('Données projet'!$B$13,Paramètres!$A$1:$I$89,3,0)*0.475*44/12</f>
        <v>6.1903836838905605E-6</v>
      </c>
      <c r="DI57" s="22">
        <f t="shared" si="15"/>
        <v>72.190916547258126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277.67000000000019</v>
      </c>
      <c r="O58" s="13">
        <f>N58*VLOOKUP('Données projet'!$B$9,Paramètres!$A$1:$I$89,3,0)*VLOOKUP('Données projet'!$B$9,Paramètres!$A$1:$I$89,5,0)</f>
        <v>251.23581600000017</v>
      </c>
      <c r="P58" s="13">
        <f t="shared" si="33"/>
        <v>60.850496254681879</v>
      </c>
      <c r="Q58" s="20">
        <f t="shared" si="53"/>
        <v>543.55032717690449</v>
      </c>
      <c r="R58" s="59">
        <f t="shared" si="0"/>
        <v>801.87278265737586</v>
      </c>
      <c r="S58" s="59">
        <f ca="1">AVERAGE(OFFSET($R$3,0,0,'Données projet'!$E$9+1,1))-AVERAGE(OFFSET($H$3,0,0,'Données projet'!$E$9+1,1))</f>
        <v>567.42635821336114</v>
      </c>
      <c r="T58" s="59">
        <f t="shared" si="34"/>
        <v>299.0473530693472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306</v>
      </c>
      <c r="AG58" s="12">
        <f>VLOOKUP(A58,'Données projet'!$A$61:$I$81,9,0)</f>
        <v>13.4</v>
      </c>
      <c r="AH58" s="12">
        <f t="array" ref="AH58">INDEX(AG:AG,MIN(IF(ISNUMBER(AG58:AG254),ROW(AG58:AG254),"")))</f>
        <v>13.4</v>
      </c>
      <c r="AI58" s="13">
        <f>IF('Données projet'!$A$62&gt;35,AI57+AH58-AQ57,IF(A58&lt;'Données projet'!$A$62,$AF$205^A58,IF(A58='Données projet'!$A$62,'Données projet'!$B$62,AI57+AH58-AQ57)))</f>
        <v>306.00000000000006</v>
      </c>
      <c r="AJ58" s="13">
        <f>AI58*VLOOKUP('Données projet'!$B$10,Paramètres!$A$1:$I$89,3,0)*VLOOKUP('Données projet'!$B$10,Paramètres!$A$1:$I$89,5,0)</f>
        <v>262.54800000000006</v>
      </c>
      <c r="AK58" s="13">
        <f t="shared" si="35"/>
        <v>63.265199933079444</v>
      </c>
      <c r="AL58" s="20">
        <f t="shared" si="4"/>
        <v>567.45798988344677</v>
      </c>
      <c r="AM58" s="59">
        <f t="shared" si="5"/>
        <v>825.78044536391815</v>
      </c>
      <c r="AN58" s="59">
        <f ca="1">AVERAGE(OFFSET($AM$3,0,0,'Données projet'!$E$10+1,1))-AVERAGE(OFFSET($H$3,0,0,'Données projet'!$E$10+1,1))</f>
        <v>569.97793593332699</v>
      </c>
      <c r="AO58" s="59">
        <f t="shared" si="36"/>
        <v>331.25104323342907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72.876761170629749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72.876761170629749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13.447142857142856</v>
      </c>
      <c r="BD58" s="12">
        <f>IF('Données projet'!$A$88&gt;35,BD57+BC58-BL57,IF(A58&lt;'Données projet'!$A$88,$BA$205^A58,IF(A58='Données projet'!$A$88,'Données projet'!$B$88,BD57+BC58-BL57)))</f>
        <v>264.77857142857141</v>
      </c>
      <c r="BE58" s="13">
        <f>BD58*VLOOKUP('Données projet'!$B$11,Paramètres!$A$1:$I$89,3,0)*VLOOKUP('Données projet'!$B$11,Paramètres!$A$1:$I$89,5,0)</f>
        <v>223.04946857142858</v>
      </c>
      <c r="BF58" s="13">
        <f t="shared" si="37"/>
        <v>54.777140700245397</v>
      </c>
      <c r="BG58" s="20">
        <f t="shared" si="7"/>
        <v>483.88134448149884</v>
      </c>
      <c r="BH58" s="59">
        <f t="shared" si="8"/>
        <v>742.20379996197016</v>
      </c>
      <c r="BI58" s="59">
        <f ca="1">AVERAGE(OFFSET($BH$3,0,0,'Données projet'!$E$11+1,1))-AVERAGE(OFFSET($H$3,0,0,'Données projet'!$E$11+1,1))</f>
        <v>458.88102603650725</v>
      </c>
      <c r="BJ58" s="59">
        <f t="shared" si="38"/>
        <v>277.79020316059552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62.876013441292386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62.876013441292386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237.55679999999987</v>
      </c>
      <c r="CA58" s="13">
        <f t="shared" si="39"/>
        <v>57.913551469467308</v>
      </c>
      <c r="CB58" s="20">
        <f t="shared" si="10"/>
        <v>514.61086214265526</v>
      </c>
      <c r="CC58" s="59">
        <f t="shared" si="11"/>
        <v>772.93331762312664</v>
      </c>
      <c r="CD58" s="59">
        <f ca="1">AVERAGE(OFFSET($CC$3,0,0,'Données projet'!$E$12+1,1))-AVERAGE(OFFSET($H$3,0,0,'Données projet'!$E$12+1,1))</f>
        <v>400.48995908576177</v>
      </c>
      <c r="CE58" s="59">
        <f t="shared" si="40"/>
        <v>384.86917865380076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40.545237869289707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40.545237869289707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277.99999999999994</v>
      </c>
      <c r="CU58" s="17">
        <f>CT58*VLOOKUP('Données projet'!$B$13,Paramètres!$A$1:$I$89,3,0)*VLOOKUP('Données projet'!$B$13,Paramètres!$A$1:$I$89,5,0)</f>
        <v>151.78799999999998</v>
      </c>
      <c r="CV58" s="13">
        <f t="shared" si="41"/>
        <v>38.984634390835623</v>
      </c>
      <c r="CW58" s="20">
        <f t="shared" si="13"/>
        <v>332.26233823070532</v>
      </c>
      <c r="CX58" s="59">
        <f t="shared" si="14"/>
        <v>590.58479371117664</v>
      </c>
      <c r="CY58" s="59">
        <f ca="1">AVERAGE(OFFSET($CX$3,0,0,'Données projet'!$E$13+1,1))-AVERAGE(OFFSET($H$3,0,0,'Données projet'!$E$13+1,1))</f>
        <v>215.37314197175104</v>
      </c>
      <c r="CZ58" s="59">
        <f t="shared" si="42"/>
        <v>361.17630426655978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22.372639749399521</v>
      </c>
      <c r="DG58" s="21">
        <f>EXP(-LN(2)/25)*DG57+(1-EXP(-LN(2)/25))/(LN(2)/25)*Calculateur!DB58*Calculateur!DD58*VLOOKUP('Données projet'!$B$13,Paramètres!$A$1:$I$89,3,0)*0.475*44/12</f>
        <v>48.020735180718631</v>
      </c>
      <c r="DH58" s="21">
        <f>EXP(-LN(2)/2)*DH57+(1-EXP(-LN(2)/2))/(LN(2)/2)*DB58*DE58*VLOOKUP('Données projet'!$B$13,Paramètres!$A$1:$I$89,3,0)*0.475*44/12</f>
        <v>4.3772622810255764E-6</v>
      </c>
      <c r="DI58" s="22">
        <f t="shared" si="15"/>
        <v>70.393379307380442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231.07500000000016</v>
      </c>
      <c r="O59" s="13">
        <f>N59*VLOOKUP('Données projet'!$B$9,Paramètres!$A$1:$I$89,3,0)*VLOOKUP('Données projet'!$B$9,Paramètres!$A$1:$I$89,5,0)</f>
        <v>209.07666000000012</v>
      </c>
      <c r="P59" s="13">
        <f t="shared" si="33"/>
        <v>51.733760959596957</v>
      </c>
      <c r="Q59" s="20">
        <f t="shared" si="53"/>
        <v>454.24481650463161</v>
      </c>
      <c r="R59" s="59">
        <f t="shared" si="0"/>
        <v>713.17463244325336</v>
      </c>
      <c r="S59" s="59">
        <f ca="1">AVERAGE(OFFSET($R$3,0,0,'Données projet'!$E$9+1,1))-AVERAGE(OFFSET($H$3,0,0,'Données projet'!$E$9+1,1))</f>
        <v>567.42635821336114</v>
      </c>
      <c r="T59" s="59">
        <f t="shared" si="34"/>
        <v>299.0473530693472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</v>
      </c>
      <c r="AI59" s="13">
        <f>IF('Données projet'!$A$62&gt;35,AI58+AH59-AQ58,IF(A59&lt;'Données projet'!$A$62,$AF$205^A59,IF(A59='Données projet'!$A$62,'Données projet'!$B$62,AI58+AH59-AQ58)))</f>
        <v>284.00000000000006</v>
      </c>
      <c r="AJ59" s="13">
        <f>AI59*VLOOKUP('Données projet'!$B$10,Paramètres!$A$1:$I$89,3,0)*VLOOKUP('Données projet'!$B$10,Paramètres!$A$1:$I$89,5,0)</f>
        <v>243.67200000000008</v>
      </c>
      <c r="AK59" s="13">
        <f t="shared" si="35"/>
        <v>59.228879636606202</v>
      </c>
      <c r="AL59" s="20">
        <f t="shared" si="4"/>
        <v>527.55236536708924</v>
      </c>
      <c r="AM59" s="59">
        <f t="shared" si="5"/>
        <v>786.48218130571104</v>
      </c>
      <c r="AN59" s="59">
        <f ca="1">AVERAGE(OFFSET($AM$3,0,0,'Données projet'!$E$10+1,1))-AVERAGE(OFFSET($H$3,0,0,'Données projet'!$E$10+1,1))</f>
        <v>569.97793593332699</v>
      </c>
      <c r="AO59" s="59">
        <f t="shared" si="36"/>
        <v>331.25104323342907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71.447692334508901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71.447692334508901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13.447142857142856</v>
      </c>
      <c r="BD59" s="12">
        <f>IF('Données projet'!$A$88&gt;35,BD58+BC59-BL58,IF(A59&lt;'Données projet'!$A$88,$BA$205^A59,IF(A59='Données projet'!$A$88,'Données projet'!$B$88,BD58+BC59-BL58)))</f>
        <v>278.22571428571428</v>
      </c>
      <c r="BE59" s="13">
        <f>BD59*VLOOKUP('Données projet'!$B$11,Paramètres!$A$1:$I$89,3,0)*VLOOKUP('Données projet'!$B$11,Paramètres!$A$1:$I$89,5,0)</f>
        <v>234.37734171428573</v>
      </c>
      <c r="BF59" s="13">
        <f t="shared" si="37"/>
        <v>57.228124123262056</v>
      </c>
      <c r="BG59" s="20">
        <f t="shared" si="7"/>
        <v>507.87951966706237</v>
      </c>
      <c r="BH59" s="59">
        <f t="shared" si="8"/>
        <v>766.80933560568405</v>
      </c>
      <c r="BI59" s="59">
        <f ca="1">AVERAGE(OFFSET($BH$3,0,0,'Données projet'!$E$11+1,1))-AVERAGE(OFFSET($H$3,0,0,'Données projet'!$E$11+1,1))</f>
        <v>458.88102603650725</v>
      </c>
      <c r="BJ59" s="59">
        <f t="shared" si="38"/>
        <v>277.79020316059552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61.643053168290038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61.643053168290038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229.78487999999984</v>
      </c>
      <c r="CA59" s="13">
        <f t="shared" si="39"/>
        <v>56.236165024777975</v>
      </c>
      <c r="CB59" s="20">
        <f t="shared" si="10"/>
        <v>498.15332008482136</v>
      </c>
      <c r="CC59" s="59">
        <f t="shared" si="11"/>
        <v>757.0831360234431</v>
      </c>
      <c r="CD59" s="59">
        <f ca="1">AVERAGE(OFFSET($CC$3,0,0,'Données projet'!$E$12+1,1))-AVERAGE(OFFSET($H$3,0,0,'Données projet'!$E$12+1,1))</f>
        <v>400.48995908576177</v>
      </c>
      <c r="CE59" s="59">
        <f t="shared" si="40"/>
        <v>384.86917865380076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39.750170484826135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39.750170484826135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277.99999999999994</v>
      </c>
      <c r="CU59" s="17">
        <f>CT59*VLOOKUP('Données projet'!$B$13,Paramètres!$A$1:$I$89,3,0)*VLOOKUP('Données projet'!$B$13,Paramètres!$A$1:$I$89,5,0)</f>
        <v>151.78799999999998</v>
      </c>
      <c r="CV59" s="13">
        <f t="shared" si="41"/>
        <v>38.984634390835623</v>
      </c>
      <c r="CW59" s="20">
        <f t="shared" si="13"/>
        <v>332.26233823070532</v>
      </c>
      <c r="CX59" s="59">
        <f t="shared" si="14"/>
        <v>591.19215416932707</v>
      </c>
      <c r="CY59" s="59">
        <f ca="1">AVERAGE(OFFSET($CX$3,0,0,'Données projet'!$E$13+1,1))-AVERAGE(OFFSET($H$3,0,0,'Données projet'!$E$13+1,1))</f>
        <v>215.37314197175104</v>
      </c>
      <c r="CZ59" s="59">
        <f t="shared" si="42"/>
        <v>361.17630426655978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21.933925929876619</v>
      </c>
      <c r="DG59" s="21">
        <f>EXP(-LN(2)/25)*DG58+(1-EXP(-LN(2)/25))/(LN(2)/25)*Calculateur!DB59*Calculateur!DD59*VLOOKUP('Données projet'!$B$13,Paramètres!$A$1:$I$89,3,0)*0.475*44/12</f>
        <v>46.707605651901169</v>
      </c>
      <c r="DH59" s="21">
        <f>EXP(-LN(2)/2)*DH58+(1-EXP(-LN(2)/2))/(LN(2)/2)*DB59*DE59*VLOOKUP('Données projet'!$B$13,Paramètres!$A$1:$I$89,3,0)*0.475*44/12</f>
        <v>3.0951918419452803E-6</v>
      </c>
      <c r="DI59" s="22">
        <f t="shared" si="15"/>
        <v>68.641534676969627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242.72000000000014</v>
      </c>
      <c r="O60" s="13">
        <f>N60*VLOOKUP('Données projet'!$B$9,Paramètres!$A$1:$I$89,3,0)*VLOOKUP('Données projet'!$B$9,Paramètres!$A$1:$I$89,5,0)</f>
        <v>219.61305600000011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736.12298207197034</v>
      </c>
      <c r="S60" s="59">
        <f ca="1">AVERAGE(OFFSET($R$3,0,0,'Données projet'!$E$9+1,1))-AVERAGE(OFFSET($H$3,0,0,'Données projet'!$E$9+1,1))</f>
        <v>567.42635821336114</v>
      </c>
      <c r="T60" s="59">
        <f t="shared" si="34"/>
        <v>299.0473530693472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</v>
      </c>
      <c r="AI60" s="13">
        <f>IF('Données projet'!$A$62&gt;35,AI59+AH60-AQ59,IF(A60&lt;'Données projet'!$A$62,$AF$205^A60,IF(A60='Données projet'!$A$62,'Données projet'!$B$62,AI59+AH60-AQ59)))</f>
        <v>297.00000000000006</v>
      </c>
      <c r="AJ60" s="13">
        <f>AI60*VLOOKUP('Données projet'!$B$10,Paramètres!$A$1:$I$89,3,0)*VLOOKUP('Données projet'!$B$10,Paramètres!$A$1:$I$89,5,0)</f>
        <v>254.82600000000008</v>
      </c>
      <c r="AK60" s="13">
        <f t="shared" si="35"/>
        <v>61.618203339594587</v>
      </c>
      <c r="AL60" s="20">
        <f t="shared" si="4"/>
        <v>551.14032081646064</v>
      </c>
      <c r="AM60" s="59">
        <f t="shared" si="5"/>
        <v>810.66696086713841</v>
      </c>
      <c r="AN60" s="59">
        <f ca="1">AVERAGE(OFFSET($AM$3,0,0,'Données projet'!$E$10+1,1))-AVERAGE(OFFSET($H$3,0,0,'Données projet'!$E$10+1,1))</f>
        <v>569.97793593332699</v>
      </c>
      <c r="AO60" s="59">
        <f t="shared" si="36"/>
        <v>331.25104323342907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70.046646666618457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70.046646666618457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13.447142857142856</v>
      </c>
      <c r="BD60" s="12">
        <f>IF('Données projet'!$A$88&gt;35,BD59+BC60-BL59,IF(A60&lt;'Données projet'!$A$88,$BA$205^A60,IF(A60='Données projet'!$A$88,'Données projet'!$B$88,BD59+BC60-BL59)))</f>
        <v>291.67285714285714</v>
      </c>
      <c r="BE60" s="13">
        <f>BD60*VLOOKUP('Données projet'!$B$11,Paramètres!$A$1:$I$89,3,0)*VLOOKUP('Données projet'!$B$11,Paramètres!$A$1:$I$89,5,0)</f>
        <v>245.70521485714286</v>
      </c>
      <c r="BF60" s="13">
        <f t="shared" si="37"/>
        <v>59.665351817423399</v>
      </c>
      <c r="BG60" s="20">
        <f t="shared" si="7"/>
        <v>531.85373695820283</v>
      </c>
      <c r="BH60" s="59">
        <f t="shared" si="8"/>
        <v>791.38037700888049</v>
      </c>
      <c r="BI60" s="59">
        <f ca="1">AVERAGE(OFFSET($BH$3,0,0,'Données projet'!$E$11+1,1))-AVERAGE(OFFSET($H$3,0,0,'Données projet'!$E$11+1,1))</f>
        <v>458.88102603650725</v>
      </c>
      <c r="BJ60" s="59">
        <f t="shared" si="38"/>
        <v>277.79020316059552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60.434270494209755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60.434270494209755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235.21055999999984</v>
      </c>
      <c r="CA60" s="13">
        <f t="shared" si="39"/>
        <v>57.407853322119394</v>
      </c>
      <c r="CB60" s="20">
        <f t="shared" si="10"/>
        <v>509.64373653602433</v>
      </c>
      <c r="CC60" s="59">
        <f t="shared" si="11"/>
        <v>769.1703765867021</v>
      </c>
      <c r="CD60" s="59">
        <f ca="1">AVERAGE(OFFSET($CC$3,0,0,'Données projet'!$E$12+1,1))-AVERAGE(OFFSET($H$3,0,0,'Données projet'!$E$12+1,1))</f>
        <v>400.48995908576177</v>
      </c>
      <c r="CE60" s="59">
        <f t="shared" si="40"/>
        <v>384.86917865380076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38.970693886828677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38.970693886828677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277.99999999999994</v>
      </c>
      <c r="CU60" s="17">
        <f>CT60*VLOOKUP('Données projet'!$B$13,Paramètres!$A$1:$I$89,3,0)*VLOOKUP('Données projet'!$B$13,Paramètres!$A$1:$I$89,5,0)</f>
        <v>151.78799999999998</v>
      </c>
      <c r="CV60" s="13">
        <f t="shared" si="41"/>
        <v>38.984634390835623</v>
      </c>
      <c r="CW60" s="20">
        <f t="shared" si="13"/>
        <v>332.26233823070532</v>
      </c>
      <c r="CX60" s="59">
        <f t="shared" si="14"/>
        <v>591.78897828138304</v>
      </c>
      <c r="CY60" s="59">
        <f ca="1">AVERAGE(OFFSET($CX$3,0,0,'Données projet'!$E$13+1,1))-AVERAGE(OFFSET($H$3,0,0,'Données projet'!$E$13+1,1))</f>
        <v>215.37314197175104</v>
      </c>
      <c r="CZ60" s="59">
        <f t="shared" si="42"/>
        <v>361.17630426655978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21.503815020765551</v>
      </c>
      <c r="DG60" s="21">
        <f>EXP(-LN(2)/25)*DG59+(1-EXP(-LN(2)/25))/(LN(2)/25)*Calculateur!DB60*Calculateur!DD60*VLOOKUP('Données projet'!$B$13,Paramètres!$A$1:$I$89,3,0)*0.475*44/12</f>
        <v>45.430383719103702</v>
      </c>
      <c r="DH60" s="21">
        <f>EXP(-LN(2)/2)*DH59+(1-EXP(-LN(2)/2))/(LN(2)/2)*DB60*DE60*VLOOKUP('Données projet'!$B$13,Paramètres!$A$1:$I$89,3,0)*0.475*44/12</f>
        <v>2.1886311405127882E-6</v>
      </c>
      <c r="DI60" s="22">
        <f t="shared" si="15"/>
        <v>66.934200928500402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254.36500000000012</v>
      </c>
      <c r="O61" s="13">
        <f>N61*VLOOKUP('Données projet'!$B$9,Paramètres!$A$1:$I$89,3,0)*VLOOKUP('Données projet'!$B$9,Paramètres!$A$1:$I$89,5,0)</f>
        <v>230.14945200000011</v>
      </c>
      <c r="P61" s="13">
        <f t="shared" si="33"/>
        <v>56.314995325940238</v>
      </c>
      <c r="Q61" s="20">
        <f t="shared" si="53"/>
        <v>498.92557909267936</v>
      </c>
      <c r="R61" s="59">
        <f t="shared" si="0"/>
        <v>759.03868969136784</v>
      </c>
      <c r="S61" s="59">
        <f ca="1">AVERAGE(OFFSET($R$3,0,0,'Données projet'!$E$9+1,1))-AVERAGE(OFFSET($H$3,0,0,'Données projet'!$E$9+1,1))</f>
        <v>567.42635821336114</v>
      </c>
      <c r="T61" s="59">
        <f t="shared" si="34"/>
        <v>299.0473530693472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</v>
      </c>
      <c r="AI61" s="13">
        <f>IF('Données projet'!$A$62&gt;35,AI60+AH61-AQ60,IF(A61&lt;'Données projet'!$A$62,$AF$205^A61,IF(A61='Données projet'!$A$62,'Données projet'!$B$62,AI60+AH61-AQ60)))</f>
        <v>310.00000000000006</v>
      </c>
      <c r="AJ61" s="13">
        <f>AI61*VLOOKUP('Données projet'!$B$10,Paramètres!$A$1:$I$89,3,0)*VLOOKUP('Données projet'!$B$10,Paramètres!$A$1:$I$89,5,0)</f>
        <v>265.98000000000008</v>
      </c>
      <c r="AK61" s="13">
        <f t="shared" si="35"/>
        <v>63.995380422211646</v>
      </c>
      <c r="AL61" s="20">
        <f t="shared" si="4"/>
        <v>574.7071209020188</v>
      </c>
      <c r="AM61" s="59">
        <f t="shared" si="5"/>
        <v>834.82023150070722</v>
      </c>
      <c r="AN61" s="59">
        <f ca="1">AVERAGE(OFFSET($AM$3,0,0,'Données projet'!$E$10+1,1))-AVERAGE(OFFSET($H$3,0,0,'Données projet'!$E$10+1,1))</f>
        <v>569.97793593332699</v>
      </c>
      <c r="AO61" s="59">
        <f t="shared" si="36"/>
        <v>331.25104323342907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68.673074649721869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68.673074649721869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305.12</v>
      </c>
      <c r="BB61" s="12">
        <f>VLOOKUP(A61,'Données projet'!$A$87:$I$107,9,0)</f>
        <v>13.447142857142856</v>
      </c>
      <c r="BC61" s="12">
        <f t="array" ref="BC61">INDEX(BB:BB,MIN(IF(ISNUMBER(BB61:BB257),ROW(BB61:BB257),"")))</f>
        <v>13.447142857142856</v>
      </c>
      <c r="BD61" s="12">
        <f>IF('Données projet'!$A$88&gt;35,BD60+BC61-BL60,IF(A61&lt;'Données projet'!$A$88,$BA$205^A61,IF(A61='Données projet'!$A$88,'Données projet'!$B$88,BD60+BC61-BL60)))</f>
        <v>305.12</v>
      </c>
      <c r="BE61" s="13">
        <f>BD61*VLOOKUP('Données projet'!$B$11,Paramètres!$A$1:$I$89,3,0)*VLOOKUP('Données projet'!$B$11,Paramètres!$A$1:$I$89,5,0)</f>
        <v>257.03308800000002</v>
      </c>
      <c r="BF61" s="13">
        <f t="shared" si="37"/>
        <v>62.08953040488894</v>
      </c>
      <c r="BG61" s="20">
        <f t="shared" si="7"/>
        <v>555.8052270551816</v>
      </c>
      <c r="BH61" s="59">
        <f t="shared" si="8"/>
        <v>815.91833765387003</v>
      </c>
      <c r="BI61" s="59">
        <f ca="1">AVERAGE(OFFSET($BH$3,0,0,'Données projet'!$E$11+1,1))-AVERAGE(OFFSET($H$3,0,0,'Données projet'!$E$11+1,1))</f>
        <v>458.88102603650725</v>
      </c>
      <c r="BJ61" s="59">
        <f t="shared" si="38"/>
        <v>277.79020316059552</v>
      </c>
      <c r="BK61" s="15">
        <f>IF(ISNA(VLOOKUP(A61,'Données projet'!$A$87:$I$107,3,0)),0,VLOOKUP(A61,'Données projet'!$A$87:$I$107,3,0))</f>
        <v>5</v>
      </c>
      <c r="BL61" s="15">
        <f>IF(ISNA(VLOOKUP(A61,'Données projet'!$A$87:$I$107,4,0)),0,VLOOKUP(A61,'Données projet'!$A$87:$I$107,4,0))</f>
        <v>48.81</v>
      </c>
      <c r="BM61" s="16">
        <f>IF(ISNA(VLOOKUP(A61,'Données projet'!$A$87:$I$107,5,0)),0%,VLOOKUP(A61,'Données projet'!$A$87:$I$107,5,0)*VLOOKUP('Données projet'!$B$11,Paramètres!$A$1:$I$89,7,0))</f>
        <v>0.43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78.794508908674956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78.794508908674956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240.63623999999982</v>
      </c>
      <c r="CA61" s="13">
        <f t="shared" si="39"/>
        <v>58.576399517863109</v>
      </c>
      <c r="CB61" s="20">
        <f t="shared" si="10"/>
        <v>521.12868049361134</v>
      </c>
      <c r="CC61" s="59">
        <f t="shared" si="11"/>
        <v>781.24179109229976</v>
      </c>
      <c r="CD61" s="59">
        <f ca="1">AVERAGE(OFFSET($CC$3,0,0,'Données projet'!$E$12+1,1))-AVERAGE(OFFSET($H$3,0,0,'Données projet'!$E$12+1,1))</f>
        <v>400.48995908576177</v>
      </c>
      <c r="CE61" s="59">
        <f t="shared" si="40"/>
        <v>384.86917865380076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38.206502349484168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38.206502349484168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277.99999999999994</v>
      </c>
      <c r="CU61" s="17">
        <f>CT61*VLOOKUP('Données projet'!$B$13,Paramètres!$A$1:$I$89,3,0)*VLOOKUP('Données projet'!$B$13,Paramètres!$A$1:$I$89,5,0)</f>
        <v>151.78799999999998</v>
      </c>
      <c r="CV61" s="13">
        <f t="shared" si="41"/>
        <v>38.984634390835623</v>
      </c>
      <c r="CW61" s="20">
        <f t="shared" si="13"/>
        <v>332.26233823070532</v>
      </c>
      <c r="CX61" s="59">
        <f t="shared" si="14"/>
        <v>592.37544882939369</v>
      </c>
      <c r="CY61" s="59">
        <f ca="1">AVERAGE(OFFSET($CX$3,0,0,'Données projet'!$E$13+1,1))-AVERAGE(OFFSET($H$3,0,0,'Données projet'!$E$13+1,1))</f>
        <v>215.37314197175104</v>
      </c>
      <c r="CZ61" s="59">
        <f t="shared" si="42"/>
        <v>361.17630426655978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21.0821383242404</v>
      </c>
      <c r="DG61" s="21">
        <f>EXP(-LN(2)/25)*DG60+(1-EXP(-LN(2)/25))/(LN(2)/25)*Calculateur!DB61*Calculateur!DD61*VLOOKUP('Données projet'!$B$13,Paramètres!$A$1:$I$89,3,0)*0.475*44/12</f>
        <v>44.188087487224763</v>
      </c>
      <c r="DH61" s="21">
        <f>EXP(-LN(2)/2)*DH60+(1-EXP(-LN(2)/2))/(LN(2)/2)*DB61*DE61*VLOOKUP('Données projet'!$B$13,Paramètres!$A$1:$I$89,3,0)*0.475*44/12</f>
        <v>1.5475959209726401E-6</v>
      </c>
      <c r="DI61" s="22">
        <f t="shared" si="15"/>
        <v>65.270227359061082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266.0100000000001</v>
      </c>
      <c r="O62" s="13">
        <f>N62*VLOOKUP('Données projet'!$B$9,Paramètres!$A$1:$I$89,3,0)*VLOOKUP('Données projet'!$B$9,Paramètres!$A$1:$I$89,5,0)</f>
        <v>240.68584800000008</v>
      </c>
      <c r="P62" s="13">
        <f t="shared" si="33"/>
        <v>58.587069504016014</v>
      </c>
      <c r="Q62" s="20">
        <f t="shared" si="53"/>
        <v>521.233664652828</v>
      </c>
      <c r="R62" s="59">
        <f t="shared" si="0"/>
        <v>781.92307184667084</v>
      </c>
      <c r="S62" s="59">
        <f ca="1">AVERAGE(OFFSET($R$3,0,0,'Données projet'!$E$9+1,1))-AVERAGE(OFFSET($H$3,0,0,'Données projet'!$E$9+1,1))</f>
        <v>567.42635821336114</v>
      </c>
      <c r="T62" s="59">
        <f t="shared" si="34"/>
        <v>299.0473530693472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</v>
      </c>
      <c r="AI62" s="13">
        <f>IF('Données projet'!$A$62&gt;35,AI61+AH62-AQ61,IF(A62&lt;'Données projet'!$A$62,$AF$205^A62,IF(A62='Données projet'!$A$62,'Données projet'!$B$62,AI61+AH62-AQ61)))</f>
        <v>323.00000000000006</v>
      </c>
      <c r="AJ62" s="13">
        <f>AI62*VLOOKUP('Données projet'!$B$10,Paramètres!$A$1:$I$89,3,0)*VLOOKUP('Données projet'!$B$10,Paramètres!$A$1:$I$89,5,0)</f>
        <v>277.13400000000007</v>
      </c>
      <c r="AK62" s="13">
        <f t="shared" si="35"/>
        <v>66.360978503745613</v>
      </c>
      <c r="AL62" s="20">
        <f t="shared" si="4"/>
        <v>598.25375422735704</v>
      </c>
      <c r="AM62" s="59">
        <f t="shared" si="5"/>
        <v>858.94316142119987</v>
      </c>
      <c r="AN62" s="59">
        <f ca="1">AVERAGE(OFFSET($AM$3,0,0,'Données projet'!$E$10+1,1))-AVERAGE(OFFSET($H$3,0,0,'Données projet'!$E$10+1,1))</f>
        <v>569.97793593332699</v>
      </c>
      <c r="AO62" s="59">
        <f t="shared" si="36"/>
        <v>331.25104323342907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67.326437542280416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67.326437542280416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13.102857142857138</v>
      </c>
      <c r="BD62" s="12">
        <f>IF('Données projet'!$A$88&gt;35,BD61+BC62-BL61,IF(A62&lt;'Données projet'!$A$88,$BA$205^A62,IF(A62='Données projet'!$A$88,'Données projet'!$B$88,BD61+BC62-BL61)))</f>
        <v>269.41285714285715</v>
      </c>
      <c r="BE62" s="13">
        <f>BD62*VLOOKUP('Données projet'!$B$11,Paramètres!$A$1:$I$89,3,0)*VLOOKUP('Données projet'!$B$11,Paramètres!$A$1:$I$89,5,0)</f>
        <v>226.95339085714286</v>
      </c>
      <c r="BF62" s="13">
        <f t="shared" si="37"/>
        <v>55.623423038577762</v>
      </c>
      <c r="BG62" s="20">
        <f t="shared" si="7"/>
        <v>492.15461753504678</v>
      </c>
      <c r="BH62" s="59">
        <f t="shared" si="8"/>
        <v>752.84402472888951</v>
      </c>
      <c r="BI62" s="59">
        <f ca="1">AVERAGE(OFFSET($BH$3,0,0,'Données projet'!$E$11+1,1))-AVERAGE(OFFSET($H$3,0,0,'Données projet'!$E$11+1,1))</f>
        <v>458.88102603650725</v>
      </c>
      <c r="BJ62" s="59">
        <f t="shared" si="38"/>
        <v>277.79020316059552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77.249396648880747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77.249396648880747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246.06191999999979</v>
      </c>
      <c r="CA62" s="13">
        <f t="shared" si="39"/>
        <v>59.741882613953308</v>
      </c>
      <c r="CB62" s="20">
        <f t="shared" si="10"/>
        <v>532.60828955263503</v>
      </c>
      <c r="CC62" s="59">
        <f t="shared" si="11"/>
        <v>793.29769674647787</v>
      </c>
      <c r="CD62" s="59">
        <f ca="1">AVERAGE(OFFSET($CC$3,0,0,'Données projet'!$E$12+1,1))-AVERAGE(OFFSET($H$3,0,0,'Données projet'!$E$12+1,1))</f>
        <v>400.48995908576177</v>
      </c>
      <c r="CE62" s="59">
        <f t="shared" si="40"/>
        <v>384.86917865380076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37.457296142076174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37.457296142076174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277.99999999999994</v>
      </c>
      <c r="CU62" s="17">
        <f>CT62*VLOOKUP('Données projet'!$B$13,Paramètres!$A$1:$I$89,3,0)*VLOOKUP('Données projet'!$B$13,Paramètres!$A$1:$I$89,5,0)</f>
        <v>151.78799999999998</v>
      </c>
      <c r="CV62" s="13">
        <f t="shared" si="41"/>
        <v>38.984634390835623</v>
      </c>
      <c r="CW62" s="20">
        <f t="shared" si="13"/>
        <v>332.26233823070532</v>
      </c>
      <c r="CX62" s="59">
        <f t="shared" si="14"/>
        <v>592.95174542454811</v>
      </c>
      <c r="CY62" s="59">
        <f ca="1">AVERAGE(OFFSET($CX$3,0,0,'Données projet'!$E$13+1,1))-AVERAGE(OFFSET($H$3,0,0,'Données projet'!$E$13+1,1))</f>
        <v>215.37314197175104</v>
      </c>
      <c r="CZ62" s="59">
        <f t="shared" si="42"/>
        <v>361.17630426655978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20.668730450536721</v>
      </c>
      <c r="DG62" s="21">
        <f>EXP(-LN(2)/25)*DG61+(1-EXP(-LN(2)/25))/(LN(2)/25)*Calculateur!DB62*Calculateur!DD62*VLOOKUP('Données projet'!$B$13,Paramètres!$A$1:$I$89,3,0)*0.475*44/12</f>
        <v>42.979761911136073</v>
      </c>
      <c r="DH62" s="21">
        <f>EXP(-LN(2)/2)*DH61+(1-EXP(-LN(2)/2))/(LN(2)/2)*DB62*DE62*VLOOKUP('Données projet'!$B$13,Paramètres!$A$1:$I$89,3,0)*0.475*44/12</f>
        <v>1.0943155702563941E-6</v>
      </c>
      <c r="DI62" s="22">
        <f t="shared" si="15"/>
        <v>63.648493455988365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277.65500000000009</v>
      </c>
      <c r="O63" s="13">
        <f>N63*VLOOKUP('Données projet'!$B$9,Paramètres!$A$1:$I$89,3,0)*VLOOKUP('Données projet'!$B$9,Paramètres!$A$1:$I$89,5,0)</f>
        <v>251.22224400000007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804.77733679643052</v>
      </c>
      <c r="S63" s="59">
        <f ca="1">AVERAGE(OFFSET($R$3,0,0,'Données projet'!$E$9+1,1))-AVERAGE(OFFSET($H$3,0,0,'Données projet'!$E$9+1,1))</f>
        <v>567.42635821336114</v>
      </c>
      <c r="T63" s="59">
        <f t="shared" si="34"/>
        <v>299.0473530693472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336</v>
      </c>
      <c r="AG63" s="12">
        <f>VLOOKUP(A63,'Données projet'!$A$61:$I$81,9,0)</f>
        <v>13</v>
      </c>
      <c r="AH63" s="12">
        <f t="array" ref="AH63">INDEX(AG:AG,MIN(IF(ISNUMBER(AG63:AG259),ROW(AG63:AG259),"")))</f>
        <v>13</v>
      </c>
      <c r="AI63" s="13">
        <f>IF('Données projet'!$A$62&gt;35,AI62+AH63-AQ62,IF(A63&lt;'Données projet'!$A$62,$AF$205^A63,IF(A63='Données projet'!$A$62,'Données projet'!$B$62,AI62+AH63-AQ62)))</f>
        <v>336.00000000000006</v>
      </c>
      <c r="AJ63" s="13">
        <f>AI63*VLOOKUP('Données projet'!$B$10,Paramètres!$A$1:$I$89,3,0)*VLOOKUP('Données projet'!$B$10,Paramètres!$A$1:$I$89,5,0)</f>
        <v>288.28800000000007</v>
      </c>
      <c r="AK63" s="13">
        <f t="shared" si="35"/>
        <v>68.715516926722444</v>
      </c>
      <c r="AL63" s="20">
        <f t="shared" si="4"/>
        <v>621.78112531404167</v>
      </c>
      <c r="AM63" s="59">
        <f t="shared" si="5"/>
        <v>883.03683164551921</v>
      </c>
      <c r="AN63" s="59">
        <f ca="1">AVERAGE(OFFSET($AM$3,0,0,'Données projet'!$E$10+1,1))-AVERAGE(OFFSET($H$3,0,0,'Données projet'!$E$10+1,1))</f>
        <v>569.97793593332699</v>
      </c>
      <c r="AO63" s="59">
        <f t="shared" si="36"/>
        <v>331.25104323342907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83.600763180756843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83.600763180756843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13.102857142857138</v>
      </c>
      <c r="BD63" s="12">
        <f>IF('Données projet'!$A$88&gt;35,BD62+BC63-BL62,IF(A63&lt;'Données projet'!$A$88,$BA$205^A63,IF(A63='Données projet'!$A$88,'Données projet'!$B$88,BD62+BC63-BL62)))</f>
        <v>282.5157142857143</v>
      </c>
      <c r="BE63" s="13">
        <f>BD63*VLOOKUP('Données projet'!$B$11,Paramètres!$A$1:$I$89,3,0)*VLOOKUP('Données projet'!$B$11,Paramètres!$A$1:$I$89,5,0)</f>
        <v>237.99123771428575</v>
      </c>
      <c r="BF63" s="13">
        <f t="shared" si="37"/>
        <v>58.007124299386852</v>
      </c>
      <c r="BG63" s="20">
        <f t="shared" si="7"/>
        <v>515.53048050714631</v>
      </c>
      <c r="BH63" s="59">
        <f t="shared" si="8"/>
        <v>776.78618683862373</v>
      </c>
      <c r="BI63" s="59">
        <f ca="1">AVERAGE(OFFSET($BH$3,0,0,'Données projet'!$E$11+1,1))-AVERAGE(OFFSET($H$3,0,0,'Données projet'!$E$11+1,1))</f>
        <v>458.88102603650725</v>
      </c>
      <c r="BJ63" s="59">
        <f t="shared" si="38"/>
        <v>277.79020316059552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75.734583098075689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75.734583098075689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251.48759999999979</v>
      </c>
      <c r="CA63" s="13">
        <f t="shared" si="39"/>
        <v>60.904377929400603</v>
      </c>
      <c r="CB63" s="20">
        <f t="shared" si="10"/>
        <v>544.08269489370571</v>
      </c>
      <c r="CC63" s="59">
        <f t="shared" si="11"/>
        <v>805.33840122518313</v>
      </c>
      <c r="CD63" s="59">
        <f ca="1">AVERAGE(OFFSET($CC$3,0,0,'Données projet'!$E$12+1,1))-AVERAGE(OFFSET($H$3,0,0,'Données projet'!$E$12+1,1))</f>
        <v>400.48995908576177</v>
      </c>
      <c r="CE63" s="59">
        <f t="shared" si="40"/>
        <v>384.86917865380076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42.647762160844501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42.647762160844501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277.99999999999994</v>
      </c>
      <c r="CU63" s="17">
        <f>CT63*VLOOKUP('Données projet'!$B$13,Paramètres!$A$1:$I$89,3,0)*VLOOKUP('Données projet'!$B$13,Paramètres!$A$1:$I$89,5,0)</f>
        <v>151.78799999999998</v>
      </c>
      <c r="CV63" s="13">
        <f t="shared" si="41"/>
        <v>38.984634390835623</v>
      </c>
      <c r="CW63" s="20">
        <f t="shared" si="13"/>
        <v>332.26233823070532</v>
      </c>
      <c r="CX63" s="59">
        <f t="shared" si="14"/>
        <v>593.51804456218281</v>
      </c>
      <c r="CY63" s="59">
        <f ca="1">AVERAGE(OFFSET($CX$3,0,0,'Données projet'!$E$13+1,1))-AVERAGE(OFFSET($H$3,0,0,'Données projet'!$E$13+1,1))</f>
        <v>215.37314197175104</v>
      </c>
      <c r="CZ63" s="59">
        <f t="shared" si="42"/>
        <v>361.17630426655978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20.263429253082464</v>
      </c>
      <c r="DG63" s="21">
        <f>EXP(-LN(2)/25)*DG62+(1-EXP(-LN(2)/25))/(LN(2)/25)*Calculateur!DB63*Calculateur!DD63*VLOOKUP('Données projet'!$B$13,Paramètres!$A$1:$I$89,3,0)*0.475*44/12</f>
        <v>41.804478061468608</v>
      </c>
      <c r="DH63" s="21">
        <f>EXP(-LN(2)/2)*DH62+(1-EXP(-LN(2)/2))/(LN(2)/2)*DB63*DE63*VLOOKUP('Données projet'!$B$13,Paramètres!$A$1:$I$89,3,0)*0.475*44/12</f>
        <v>7.7379796048632007E-7</v>
      </c>
      <c r="DI63" s="22">
        <f t="shared" si="15"/>
        <v>62.067908088349029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289.30000000000007</v>
      </c>
      <c r="O64" s="13">
        <f>N64*VLOOKUP('Données projet'!$B$9,Paramètres!$A$1:$I$89,3,0)*VLOOKUP('Données projet'!$B$9,Paramètres!$A$1:$I$89,5,0)</f>
        <v>261.75864000000007</v>
      </c>
      <c r="P64" s="13">
        <f t="shared" si="33"/>
        <v>63.097101732536537</v>
      </c>
      <c r="Q64" s="20">
        <f t="shared" si="53"/>
        <v>565.79041685083462</v>
      </c>
      <c r="R64" s="59">
        <f t="shared" si="0"/>
        <v>827.60259829596396</v>
      </c>
      <c r="S64" s="59">
        <f ca="1">AVERAGE(OFFSET($R$3,0,0,'Données projet'!$E$9+1,1))-AVERAGE(OFFSET($H$3,0,0,'Données projet'!$E$9+1,1))</f>
        <v>567.42635821336114</v>
      </c>
      <c r="T64" s="59">
        <f t="shared" si="34"/>
        <v>299.0473530693472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12.4</v>
      </c>
      <c r="AI64" s="13">
        <f>IF('Données projet'!$A$62&gt;35,AI63+AH64-AQ63,IF(A64&lt;'Données projet'!$A$62,$AF$205^A64,IF(A64='Données projet'!$A$62,'Données projet'!$B$62,AI63+AH64-AQ63)))</f>
        <v>313.40000000000003</v>
      </c>
      <c r="AJ64" s="13">
        <f>AI64*VLOOKUP('Données projet'!$B$10,Paramètres!$A$1:$I$89,3,0)*VLOOKUP('Données projet'!$B$10,Paramètres!$A$1:$I$89,5,0)</f>
        <v>268.89720000000005</v>
      </c>
      <c r="AK64" s="13">
        <f t="shared" si="35"/>
        <v>64.615171575073688</v>
      </c>
      <c r="AL64" s="20">
        <f t="shared" si="4"/>
        <v>580.86738049325345</v>
      </c>
      <c r="AM64" s="59">
        <f t="shared" si="5"/>
        <v>842.67956193838279</v>
      </c>
      <c r="AN64" s="59">
        <f ca="1">AVERAGE(OFFSET($AM$3,0,0,'Données projet'!$E$10+1,1))-AVERAGE(OFFSET($H$3,0,0,'Données projet'!$E$10+1,1))</f>
        <v>569.97793593332699</v>
      </c>
      <c r="AO64" s="59">
        <f t="shared" si="36"/>
        <v>331.25104323342907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81.961403206212751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81.961403206212751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13.102857142857138</v>
      </c>
      <c r="BD64" s="12">
        <f>IF('Données projet'!$A$88&gt;35,BD63+BC64-BL63,IF(A64&lt;'Données projet'!$A$88,$BA$205^A64,IF(A64='Données projet'!$A$88,'Données projet'!$B$88,BD63+BC64-BL63)))</f>
        <v>295.61857142857144</v>
      </c>
      <c r="BE64" s="13">
        <f>BD64*VLOOKUP('Données projet'!$B$11,Paramètres!$A$1:$I$89,3,0)*VLOOKUP('Données projet'!$B$11,Paramètres!$A$1:$I$89,5,0)</f>
        <v>249.0290845714286</v>
      </c>
      <c r="BF64" s="13">
        <f t="shared" si="37"/>
        <v>60.377986865151989</v>
      </c>
      <c r="BG64" s="20">
        <f t="shared" si="7"/>
        <v>538.88398275204452</v>
      </c>
      <c r="BH64" s="59">
        <f t="shared" si="8"/>
        <v>800.69616419717386</v>
      </c>
      <c r="BI64" s="59">
        <f ca="1">AVERAGE(OFFSET($BH$3,0,0,'Données projet'!$E$11+1,1))-AVERAGE(OFFSET($H$3,0,0,'Données projet'!$E$11+1,1))</f>
        <v>458.88102603650725</v>
      </c>
      <c r="BJ64" s="59">
        <f t="shared" si="38"/>
        <v>277.79020316059552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74.249474117056877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74.249474117056877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243.42239999999978</v>
      </c>
      <c r="CA64" s="13">
        <f t="shared" si="39"/>
        <v>59.175268615646175</v>
      </c>
      <c r="CB64" s="20">
        <f t="shared" si="10"/>
        <v>527.02427283891677</v>
      </c>
      <c r="CC64" s="59">
        <f t="shared" si="11"/>
        <v>788.83645428404611</v>
      </c>
      <c r="CD64" s="59">
        <f ca="1">AVERAGE(OFFSET($CC$3,0,0,'Données projet'!$E$12+1,1))-AVERAGE(OFFSET($H$3,0,0,'Données projet'!$E$12+1,1))</f>
        <v>400.48995908576177</v>
      </c>
      <c r="CE64" s="59">
        <f t="shared" si="40"/>
        <v>384.86917865380076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41.811465557436733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41.811465557436733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277.99999999999994</v>
      </c>
      <c r="CU64" s="17">
        <f>CT64*VLOOKUP('Données projet'!$B$13,Paramètres!$A$1:$I$89,3,0)*VLOOKUP('Données projet'!$B$13,Paramètres!$A$1:$I$89,5,0)</f>
        <v>151.78799999999998</v>
      </c>
      <c r="CV64" s="13">
        <f t="shared" si="41"/>
        <v>38.984634390835623</v>
      </c>
      <c r="CW64" s="20">
        <f t="shared" si="13"/>
        <v>332.26233823070532</v>
      </c>
      <c r="CX64" s="59">
        <f t="shared" si="14"/>
        <v>594.07451967583461</v>
      </c>
      <c r="CY64" s="59">
        <f ca="1">AVERAGE(OFFSET($CX$3,0,0,'Données projet'!$E$13+1,1))-AVERAGE(OFFSET($H$3,0,0,'Données projet'!$E$13+1,1))</f>
        <v>215.37314197175104</v>
      </c>
      <c r="CZ64" s="59">
        <f t="shared" si="42"/>
        <v>361.17630426655978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19.866075764900966</v>
      </c>
      <c r="DG64" s="21">
        <f>EXP(-LN(2)/25)*DG63+(1-EXP(-LN(2)/25))/(LN(2)/25)*Calculateur!DB64*Calculateur!DD64*VLOOKUP('Données projet'!$B$13,Paramètres!$A$1:$I$89,3,0)*0.475*44/12</f>
        <v>40.661332410475794</v>
      </c>
      <c r="DH64" s="21">
        <f>EXP(-LN(2)/2)*DH63+(1-EXP(-LN(2)/2))/(LN(2)/2)*DB64*DE64*VLOOKUP('Données projet'!$B$13,Paramètres!$A$1:$I$89,3,0)*0.475*44/12</f>
        <v>5.4715778512819706E-7</v>
      </c>
      <c r="DI64" s="22">
        <f t="shared" si="15"/>
        <v>60.527408722534545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300.94500000000005</v>
      </c>
      <c r="O65" s="13">
        <f>N65*VLOOKUP('Données projet'!$B$9,Paramètres!$A$1:$I$89,3,0)*VLOOKUP('Données projet'!$B$9,Paramètres!$A$1:$I$89,5,0)</f>
        <v>272.29503600000004</v>
      </c>
      <c r="P65" s="13">
        <f t="shared" si="33"/>
        <v>65.336093654015855</v>
      </c>
      <c r="Q65" s="20">
        <f t="shared" si="53"/>
        <v>588.04088414741102</v>
      </c>
      <c r="R65" s="59">
        <f t="shared" si="0"/>
        <v>850.39988710706234</v>
      </c>
      <c r="S65" s="59">
        <f ca="1">AVERAGE(OFFSET($R$3,0,0,'Données projet'!$E$9+1,1))-AVERAGE(OFFSET($H$3,0,0,'Données projet'!$E$9+1,1))</f>
        <v>567.42635821336114</v>
      </c>
      <c r="T65" s="59">
        <f t="shared" si="34"/>
        <v>299.0473530693472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12.4</v>
      </c>
      <c r="AI65" s="13">
        <f>IF('Données projet'!$A$62&gt;35,AI64+AH65-AQ64,IF(A65&lt;'Données projet'!$A$62,$AF$205^A65,IF(A65='Données projet'!$A$62,'Données projet'!$B$62,AI64+AH65-AQ64)))</f>
        <v>325.8</v>
      </c>
      <c r="AJ65" s="13">
        <f>AI65*VLOOKUP('Données projet'!$B$10,Paramètres!$A$1:$I$89,3,0)*VLOOKUP('Données projet'!$B$10,Paramètres!$A$1:$I$89,5,0)</f>
        <v>279.53640000000007</v>
      </c>
      <c r="AK65" s="13">
        <f t="shared" si="35"/>
        <v>66.869027427528763</v>
      </c>
      <c r="AL65" s="20">
        <f t="shared" si="4"/>
        <v>603.322786102946</v>
      </c>
      <c r="AM65" s="59">
        <f t="shared" si="5"/>
        <v>865.68178906259732</v>
      </c>
      <c r="AN65" s="59">
        <f ca="1">AVERAGE(OFFSET($AM$3,0,0,'Données projet'!$E$10+1,1))-AVERAGE(OFFSET($H$3,0,0,'Données projet'!$E$10+1,1))</f>
        <v>569.97793593332699</v>
      </c>
      <c r="AO65" s="59">
        <f t="shared" si="36"/>
        <v>331.25104323342907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80.354190080858615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80.354190080858615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13.102857142857138</v>
      </c>
      <c r="BD65" s="12">
        <f>IF('Données projet'!$A$88&gt;35,BD64+BC65-BL64,IF(A65&lt;'Données projet'!$A$88,$BA$205^A65,IF(A65='Données projet'!$A$88,'Données projet'!$B$88,BD64+BC65-BL64)))</f>
        <v>308.72142857142859</v>
      </c>
      <c r="BE65" s="13">
        <f>BD65*VLOOKUP('Données projet'!$B$11,Paramètres!$A$1:$I$89,3,0)*VLOOKUP('Données projet'!$B$11,Paramètres!$A$1:$I$89,5,0)</f>
        <v>260.06693142857148</v>
      </c>
      <c r="BF65" s="13">
        <f t="shared" si="37"/>
        <v>62.736644818240087</v>
      </c>
      <c r="BG65" s="20">
        <f t="shared" si="7"/>
        <v>562.21622862986351</v>
      </c>
      <c r="BH65" s="59">
        <f t="shared" si="8"/>
        <v>824.57523158951483</v>
      </c>
      <c r="BI65" s="59">
        <f ca="1">AVERAGE(OFFSET($BH$3,0,0,'Données projet'!$E$11+1,1))-AVERAGE(OFFSET($H$3,0,0,'Données projet'!$E$11+1,1))</f>
        <v>458.88102603650725</v>
      </c>
      <c r="BJ65" s="59">
        <f t="shared" si="38"/>
        <v>277.79020316059552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72.793487217328817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72.793487217328817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247.82159999999982</v>
      </c>
      <c r="CA65" s="13">
        <f t="shared" si="39"/>
        <v>60.119231945607517</v>
      </c>
      <c r="CB65" s="20">
        <f t="shared" si="10"/>
        <v>536.330282305266</v>
      </c>
      <c r="CC65" s="59">
        <f t="shared" si="11"/>
        <v>798.68928526491732</v>
      </c>
      <c r="CD65" s="59">
        <f ca="1">AVERAGE(OFFSET($CC$3,0,0,'Données projet'!$E$12+1,1))-AVERAGE(OFFSET($H$3,0,0,'Données projet'!$E$12+1,1))</f>
        <v>400.48995908576177</v>
      </c>
      <c r="CE65" s="59">
        <f t="shared" si="40"/>
        <v>384.86917865380076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40.991568220331231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40.991568220331231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277.99999999999994</v>
      </c>
      <c r="CU65" s="17">
        <f>CT65*VLOOKUP('Données projet'!$B$13,Paramètres!$A$1:$I$89,3,0)*VLOOKUP('Données projet'!$B$13,Paramètres!$A$1:$I$89,5,0)</f>
        <v>151.78799999999998</v>
      </c>
      <c r="CV65" s="13">
        <f t="shared" si="41"/>
        <v>38.984634390835623</v>
      </c>
      <c r="CW65" s="20">
        <f t="shared" si="13"/>
        <v>332.26233823070532</v>
      </c>
      <c r="CX65" s="59">
        <f t="shared" si="14"/>
        <v>594.62134119035659</v>
      </c>
      <c r="CY65" s="59">
        <f ca="1">AVERAGE(OFFSET($CX$3,0,0,'Données projet'!$E$13+1,1))-AVERAGE(OFFSET($H$3,0,0,'Données projet'!$E$13+1,1))</f>
        <v>215.37314197175104</v>
      </c>
      <c r="CZ65" s="59">
        <f t="shared" si="42"/>
        <v>361.17630426655978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19.476514136261009</v>
      </c>
      <c r="DG65" s="21">
        <f>EXP(-LN(2)/25)*DG64+(1-EXP(-LN(2)/25))/(LN(2)/25)*Calculateur!DB65*Calculateur!DD65*VLOOKUP('Données projet'!$B$13,Paramètres!$A$1:$I$89,3,0)*0.475*44/12</f>
        <v>39.549446137424795</v>
      </c>
      <c r="DH65" s="21">
        <f>EXP(-LN(2)/2)*DH64+(1-EXP(-LN(2)/2))/(LN(2)/2)*DB65*DE65*VLOOKUP('Données projet'!$B$13,Paramètres!$A$1:$I$89,3,0)*0.475*44/12</f>
        <v>3.8689898024316003E-7</v>
      </c>
      <c r="DI65" s="22">
        <f t="shared" si="15"/>
        <v>59.025960660584786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312.59000000000003</v>
      </c>
      <c r="O66" s="13">
        <f>N66*VLOOKUP('Données projet'!$B$9,Paramètres!$A$1:$I$89,3,0)*VLOOKUP('Données projet'!$B$9,Paramètres!$A$1:$I$89,5,0)</f>
        <v>282.83143200000001</v>
      </c>
      <c r="P66" s="13">
        <f t="shared" si="33"/>
        <v>67.565021018325808</v>
      </c>
      <c r="Q66" s="20">
        <f t="shared" si="53"/>
        <v>610.27382234025083</v>
      </c>
      <c r="R66" s="59">
        <f t="shared" si="0"/>
        <v>873.17016068365695</v>
      </c>
      <c r="S66" s="59">
        <f ca="1">AVERAGE(OFFSET($R$3,0,0,'Données projet'!$E$9+1,1))-AVERAGE(OFFSET($H$3,0,0,'Données projet'!$E$9+1,1))</f>
        <v>567.42635821336114</v>
      </c>
      <c r="T66" s="59">
        <f t="shared" si="34"/>
        <v>299.0473530693472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12.4</v>
      </c>
      <c r="AI66" s="13">
        <f>IF('Données projet'!$A$62&gt;35,AI65+AH66-AQ65,IF(A66&lt;'Données projet'!$A$62,$AF$205^A66,IF(A66='Données projet'!$A$62,'Données projet'!$B$62,AI65+AH66-AQ65)))</f>
        <v>338.2</v>
      </c>
      <c r="AJ66" s="13">
        <f>AI66*VLOOKUP('Données projet'!$B$10,Paramètres!$A$1:$I$89,3,0)*VLOOKUP('Données projet'!$B$10,Paramètres!$A$1:$I$89,5,0)</f>
        <v>290.17560000000003</v>
      </c>
      <c r="AK66" s="13">
        <f t="shared" si="35"/>
        <v>69.112917785973508</v>
      </c>
      <c r="AL66" s="20">
        <f t="shared" si="4"/>
        <v>625.76083514390393</v>
      </c>
      <c r="AM66" s="59">
        <f t="shared" si="5"/>
        <v>888.65717348731005</v>
      </c>
      <c r="AN66" s="59">
        <f ca="1">AVERAGE(OFFSET($AM$3,0,0,'Données projet'!$E$10+1,1))-AVERAGE(OFFSET($H$3,0,0,'Données projet'!$E$10+1,1))</f>
        <v>569.97793593332699</v>
      </c>
      <c r="AO66" s="59">
        <f t="shared" si="36"/>
        <v>331.25104323342907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78.77849342458947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78.77849342458947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13.102857142857138</v>
      </c>
      <c r="BD66" s="12">
        <f>IF('Données projet'!$A$88&gt;35,BD65+BC66-BL65,IF(A66&lt;'Données projet'!$A$88,$BA$205^A66,IF(A66='Données projet'!$A$88,'Données projet'!$B$88,BD65+BC66-BL65)))</f>
        <v>321.82428571428574</v>
      </c>
      <c r="BE66" s="13">
        <f>BD66*VLOOKUP('Données projet'!$B$11,Paramètres!$A$1:$I$89,3,0)*VLOOKUP('Données projet'!$B$11,Paramètres!$A$1:$I$89,5,0)</f>
        <v>271.10477828571436</v>
      </c>
      <c r="BF66" s="13">
        <f t="shared" si="37"/>
        <v>65.083675372637074</v>
      </c>
      <c r="BG66" s="20">
        <f t="shared" si="7"/>
        <v>585.5282234549619</v>
      </c>
      <c r="BH66" s="59">
        <f t="shared" si="8"/>
        <v>848.42456179836802</v>
      </c>
      <c r="BI66" s="59">
        <f ca="1">AVERAGE(OFFSET($BH$3,0,0,'Données projet'!$E$11+1,1))-AVERAGE(OFFSET($H$3,0,0,'Données projet'!$E$11+1,1))</f>
        <v>458.88102603650725</v>
      </c>
      <c r="BJ66" s="59">
        <f t="shared" si="38"/>
        <v>277.79020316059552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71.366051332640097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71.366051332640097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252.2207999999998</v>
      </c>
      <c r="CA66" s="13">
        <f t="shared" si="39"/>
        <v>61.061246695931573</v>
      </c>
      <c r="CB66" s="20">
        <f t="shared" si="10"/>
        <v>545.63289799541383</v>
      </c>
      <c r="CC66" s="59">
        <f t="shared" si="11"/>
        <v>808.52923633881994</v>
      </c>
      <c r="CD66" s="59">
        <f ca="1">AVERAGE(OFFSET($CC$3,0,0,'Données projet'!$E$12+1,1))-AVERAGE(OFFSET($H$3,0,0,'Données projet'!$E$12+1,1))</f>
        <v>400.48995908576177</v>
      </c>
      <c r="CE66" s="59">
        <f t="shared" si="40"/>
        <v>384.86917865380076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40.187748569918369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40.187748569918369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277.99999999999994</v>
      </c>
      <c r="CU66" s="17">
        <f>CT66*VLOOKUP('Données projet'!$B$13,Paramètres!$A$1:$I$89,3,0)*VLOOKUP('Données projet'!$B$13,Paramètres!$A$1:$I$89,5,0)</f>
        <v>151.78799999999998</v>
      </c>
      <c r="CV66" s="13">
        <f t="shared" si="41"/>
        <v>38.984634390835623</v>
      </c>
      <c r="CW66" s="20">
        <f t="shared" si="13"/>
        <v>332.26233823070532</v>
      </c>
      <c r="CX66" s="59">
        <f t="shared" si="14"/>
        <v>595.1586765741115</v>
      </c>
      <c r="CY66" s="59">
        <f ca="1">AVERAGE(OFFSET($CX$3,0,0,'Données projet'!$E$13+1,1))-AVERAGE(OFFSET($H$3,0,0,'Données projet'!$E$13+1,1))</f>
        <v>215.37314197175104</v>
      </c>
      <c r="CZ66" s="59">
        <f t="shared" si="42"/>
        <v>361.17630426655978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19.09459157354955</v>
      </c>
      <c r="DG66" s="21">
        <f>EXP(-LN(2)/25)*DG65+(1-EXP(-LN(2)/25))/(LN(2)/25)*Calculateur!DB66*Calculateur!DD66*VLOOKUP('Données projet'!$B$13,Paramètres!$A$1:$I$89,3,0)*0.475*44/12</f>
        <v>38.467964452981931</v>
      </c>
      <c r="DH66" s="21">
        <f>EXP(-LN(2)/2)*DH65+(1-EXP(-LN(2)/2))/(LN(2)/2)*DB66*DE66*VLOOKUP('Données projet'!$B$13,Paramètres!$A$1:$I$89,3,0)*0.475*44/12</f>
        <v>2.7357889256409853E-7</v>
      </c>
      <c r="DI66" s="22">
        <f t="shared" si="15"/>
        <v>57.562556300110373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269.66875000000005</v>
      </c>
      <c r="O67" s="13">
        <f>N67*VLOOKUP('Données projet'!$B$9,Paramètres!$A$1:$I$89,3,0)*VLOOKUP('Données projet'!$B$9,Paramètres!$A$1:$I$89,5,0)</f>
        <v>243.99628500000003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791.66280861572477</v>
      </c>
      <c r="S67" s="59">
        <f ca="1">AVERAGE(OFFSET($R$3,0,0,'Données projet'!$E$9+1,1))-AVERAGE(OFFSET($H$3,0,0,'Données projet'!$E$9+1,1))</f>
        <v>567.42635821336114</v>
      </c>
      <c r="T67" s="59">
        <f t="shared" si="34"/>
        <v>299.0473530693472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12.4</v>
      </c>
      <c r="AI67" s="13">
        <f>IF('Données projet'!$A$62&gt;35,AI66+AH67-AQ66,IF(A67&lt;'Données projet'!$A$62,$AF$205^A67,IF(A67='Données projet'!$A$62,'Données projet'!$B$62,AI66+AH67-AQ66)))</f>
        <v>350.59999999999997</v>
      </c>
      <c r="AJ67" s="13">
        <f>AI67*VLOOKUP('Données projet'!$B$10,Paramètres!$A$1:$I$89,3,0)*VLOOKUP('Données projet'!$B$10,Paramètres!$A$1:$I$89,5,0)</f>
        <v>300.81479999999999</v>
      </c>
      <c r="AK67" s="13">
        <f t="shared" si="35"/>
        <v>71.347249879076941</v>
      </c>
      <c r="AL67" s="20">
        <f t="shared" si="4"/>
        <v>648.18223687272553</v>
      </c>
      <c r="AM67" s="59">
        <f t="shared" si="5"/>
        <v>911.60658903228023</v>
      </c>
      <c r="AN67" s="59">
        <f ca="1">AVERAGE(OFFSET($AM$3,0,0,'Données projet'!$E$10+1,1))-AVERAGE(OFFSET($H$3,0,0,'Données projet'!$E$10+1,1))</f>
        <v>569.97793593332699</v>
      </c>
      <c r="AO67" s="59">
        <f t="shared" si="36"/>
        <v>331.25104323342907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77.233695218669709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77.233695218669709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13.102857142857138</v>
      </c>
      <c r="BD67" s="12">
        <f>IF('Données projet'!$A$88&gt;35,BD66+BC67-BL66,IF(A67&lt;'Données projet'!$A$88,$BA$205^A67,IF(A67='Données projet'!$A$88,'Données projet'!$B$88,BD66+BC67-BL66)))</f>
        <v>334.92714285714288</v>
      </c>
      <c r="BE67" s="13">
        <f>BD67*VLOOKUP('Données projet'!$B$11,Paramètres!$A$1:$I$89,3,0)*VLOOKUP('Données projet'!$B$11,Paramètres!$A$1:$I$89,5,0)</f>
        <v>282.14262514285718</v>
      </c>
      <c r="BF67" s="13">
        <f t="shared" si="37"/>
        <v>67.419606080697235</v>
      </c>
      <c r="BG67" s="20">
        <f t="shared" si="7"/>
        <v>608.82088604769058</v>
      </c>
      <c r="BH67" s="59">
        <f t="shared" si="8"/>
        <v>872.24523820724539</v>
      </c>
      <c r="BI67" s="59">
        <f ca="1">AVERAGE(OFFSET($BH$3,0,0,'Données projet'!$E$11+1,1))-AVERAGE(OFFSET($H$3,0,0,'Données projet'!$E$11+1,1))</f>
        <v>458.88102603650725</v>
      </c>
      <c r="BJ67" s="59">
        <f t="shared" si="38"/>
        <v>277.79020316059552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69.966606595000201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69.966606595000201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256.61999999999978</v>
      </c>
      <c r="CA67" s="13">
        <f t="shared" si="39"/>
        <v>62.001350774926514</v>
      </c>
      <c r="CB67" s="20">
        <f t="shared" si="10"/>
        <v>554.9321859329965</v>
      </c>
      <c r="CC67" s="59">
        <f t="shared" si="11"/>
        <v>818.35653809255132</v>
      </c>
      <c r="CD67" s="59">
        <f ca="1">AVERAGE(OFFSET($CC$3,0,0,'Données projet'!$E$12+1,1))-AVERAGE(OFFSET($H$3,0,0,'Données projet'!$E$12+1,1))</f>
        <v>400.48995908576177</v>
      </c>
      <c r="CE67" s="59">
        <f t="shared" si="40"/>
        <v>384.86917865380076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39.39969133256853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39.39969133256853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277.99999999999994</v>
      </c>
      <c r="CU67" s="17">
        <f>CT67*VLOOKUP('Données projet'!$B$13,Paramètres!$A$1:$I$89,3,0)*VLOOKUP('Données projet'!$B$13,Paramètres!$A$1:$I$89,5,0)</f>
        <v>151.78799999999998</v>
      </c>
      <c r="CV67" s="13">
        <f t="shared" si="41"/>
        <v>38.984634390835623</v>
      </c>
      <c r="CW67" s="20">
        <f t="shared" si="13"/>
        <v>332.26233823070532</v>
      </c>
      <c r="CX67" s="59">
        <f t="shared" si="14"/>
        <v>595.68669039026008</v>
      </c>
      <c r="CY67" s="59">
        <f ca="1">AVERAGE(OFFSET($CX$3,0,0,'Données projet'!$E$13+1,1))-AVERAGE(OFFSET($H$3,0,0,'Données projet'!$E$13+1,1))</f>
        <v>215.37314197175104</v>
      </c>
      <c r="CZ67" s="59">
        <f t="shared" si="42"/>
        <v>361.17630426655978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18.720158279343103</v>
      </c>
      <c r="DG67" s="21">
        <f>EXP(-LN(2)/25)*DG66+(1-EXP(-LN(2)/25))/(LN(2)/25)*Calculateur!DB67*Calculateur!DD67*VLOOKUP('Données projet'!$B$13,Paramètres!$A$1:$I$89,3,0)*0.475*44/12</f>
        <v>37.416055942072809</v>
      </c>
      <c r="DH67" s="21">
        <f>EXP(-LN(2)/2)*DH66+(1-EXP(-LN(2)/2))/(LN(2)/2)*DB67*DE67*VLOOKUP('Données projet'!$B$13,Paramètres!$A$1:$I$89,3,0)*0.475*44/12</f>
        <v>1.9344949012158002E-7</v>
      </c>
      <c r="DI67" s="22">
        <f t="shared" si="15"/>
        <v>56.1362144148654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280.95750000000004</v>
      </c>
      <c r="O68" s="13">
        <f>N68*VLOOKUP('Données projet'!$B$9,Paramètres!$A$1:$I$89,3,0)*VLOOKUP('Données projet'!$B$9,Paramètres!$A$1:$I$89,5,0)</f>
        <v>254.21034600000002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813.78213187611118</v>
      </c>
      <c r="S68" s="59">
        <f ca="1">AVERAGE(OFFSET($R$3,0,0,'Données projet'!$E$9+1,1))-AVERAGE(OFFSET($H$3,0,0,'Données projet'!$E$9+1,1))</f>
        <v>567.42635821336114</v>
      </c>
      <c r="T68" s="59">
        <f t="shared" si="34"/>
        <v>299.0473530693472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363</v>
      </c>
      <c r="AG68" s="12">
        <f>VLOOKUP(A68,'Données projet'!$A$61:$I$81,9,0)</f>
        <v>12.4</v>
      </c>
      <c r="AH68" s="12">
        <f t="array" ref="AH68">INDEX(AG:AG,MIN(IF(ISNUMBER(AG68:AG264),ROW(AG68:AG264),"")))</f>
        <v>12.4</v>
      </c>
      <c r="AI68" s="13">
        <f>IF('Données projet'!$A$62&gt;35,AI67+AH68-AQ67,IF(A68&lt;'Données projet'!$A$62,$AF$205^A68,IF(A68='Données projet'!$A$62,'Données projet'!$B$62,AI67+AH68-AQ67)))</f>
        <v>362.99999999999994</v>
      </c>
      <c r="AJ68" s="13">
        <f>AI68*VLOOKUP('Données projet'!$B$10,Paramètres!$A$1:$I$89,3,0)*VLOOKUP('Données projet'!$B$10,Paramètres!$A$1:$I$89,5,0)</f>
        <v>311.45399999999995</v>
      </c>
      <c r="AK68" s="13">
        <f t="shared" si="35"/>
        <v>73.572400496659426</v>
      </c>
      <c r="AL68" s="20">
        <f t="shared" ref="AL68:AL131" si="58">(AJ68+AK68)*0.475*44/12</f>
        <v>670.5876475316818</v>
      </c>
      <c r="AM68" s="59">
        <f t="shared" ref="AM68:AM131" si="59">AL68+(AD68+AE68)*44/12</f>
        <v>934.53085364813705</v>
      </c>
      <c r="AN68" s="59">
        <f ca="1">AVERAGE(OFFSET($AM$3,0,0,'Données projet'!$E$10+1,1))-AVERAGE(OFFSET($H$3,0,0,'Données projet'!$E$10+1,1))</f>
        <v>569.97793593332699</v>
      </c>
      <c r="AO68" s="59">
        <f t="shared" si="36"/>
        <v>331.25104323342907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35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93.313745576942637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93.313745576942637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348.03</v>
      </c>
      <c r="BB68" s="12">
        <f>VLOOKUP(A68,'Données projet'!$A$87:$I$107,9,0)</f>
        <v>13.102857142857138</v>
      </c>
      <c r="BC68" s="12">
        <f t="array" ref="BC68">INDEX(BB:BB,MIN(IF(ISNUMBER(BB68:BB264),ROW(BB68:BB264),"")))</f>
        <v>13.102857142857138</v>
      </c>
      <c r="BD68" s="12">
        <f>IF('Données projet'!$A$88&gt;35,BD67+BC68-BL67,IF(A68&lt;'Données projet'!$A$88,$BA$205^A68,IF(A68='Données projet'!$A$88,'Données projet'!$B$88,BD67+BC68-BL67)))</f>
        <v>348.03000000000003</v>
      </c>
      <c r="BE68" s="13">
        <f>BD68*VLOOKUP('Données projet'!$B$11,Paramètres!$A$1:$I$89,3,0)*VLOOKUP('Données projet'!$B$11,Paramètres!$A$1:$I$89,5,0)</f>
        <v>293.18047200000007</v>
      </c>
      <c r="BF68" s="13">
        <f t="shared" si="37"/>
        <v>69.744920880406283</v>
      </c>
      <c r="BG68" s="20">
        <f t="shared" ref="BG68:BG131" si="61">(BE68+BF68)*0.475*44/12</f>
        <v>632.09505926670761</v>
      </c>
      <c r="BH68" s="59">
        <f t="shared" ref="BH68:BH131" si="62">BG68+(AY68+AZ68)*44/12</f>
        <v>896.03826538316275</v>
      </c>
      <c r="BI68" s="59">
        <f ca="1">AVERAGE(OFFSET($BH$3,0,0,'Données projet'!$E$11+1,1))-AVERAGE(OFFSET($H$3,0,0,'Données projet'!$E$11+1,1))</f>
        <v>458.88102603650725</v>
      </c>
      <c r="BJ68" s="59">
        <f t="shared" si="38"/>
        <v>277.79020316059552</v>
      </c>
      <c r="BK68" s="15">
        <f>IF(ISNA(VLOOKUP(A68,'Données projet'!$A$87:$I$107,3,0)),0,VLOOKUP(A68,'Données projet'!$A$87:$I$107,3,0))</f>
        <v>6</v>
      </c>
      <c r="BL68" s="15">
        <f>IF(ISNA(VLOOKUP(A68,'Données projet'!$A$87:$I$107,4,0)),0,VLOOKUP(A68,'Données projet'!$A$87:$I$107,4,0))</f>
        <v>50.87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88.964821410508904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88.964821410508904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261.01919999999978</v>
      </c>
      <c r="CA68" s="13">
        <f t="shared" si="39"/>
        <v>62.939580716713571</v>
      </c>
      <c r="CB68" s="20">
        <f t="shared" ref="CB68:CB131" si="64">(BZ68+CA68)*0.475*44/12</f>
        <v>564.22820974827573</v>
      </c>
      <c r="CC68" s="59">
        <f t="shared" ref="CC68:CC131" si="65">CB68+(BT68+BU68)*44/12</f>
        <v>828.17141586473099</v>
      </c>
      <c r="CD68" s="59">
        <f ca="1">AVERAGE(OFFSET($CC$3,0,0,'Données projet'!$E$12+1,1))-AVERAGE(OFFSET($H$3,0,0,'Données projet'!$E$12+1,1))</f>
        <v>400.48995908576177</v>
      </c>
      <c r="CE68" s="59">
        <f t="shared" si="40"/>
        <v>384.86917865380076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44.203539887017754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44.203539887017754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277.99999999999994</v>
      </c>
      <c r="CU68" s="17">
        <f>CT68*VLOOKUP('Données projet'!$B$13,Paramètres!$A$1:$I$89,3,0)*VLOOKUP('Données projet'!$B$13,Paramètres!$A$1:$I$89,5,0)</f>
        <v>151.78799999999998</v>
      </c>
      <c r="CV68" s="13">
        <f t="shared" si="41"/>
        <v>38.984634390835623</v>
      </c>
      <c r="CW68" s="20">
        <f t="shared" ref="CW68:CW131" si="67">(CU68+CV68)*0.475*44/12</f>
        <v>332.26233823070532</v>
      </c>
      <c r="CX68" s="59">
        <f t="shared" ref="CX68:CX131" si="68">CW68+(CO68+CP68)*44/12</f>
        <v>596.20554434716053</v>
      </c>
      <c r="CY68" s="59">
        <f ca="1">AVERAGE(OFFSET($CX$3,0,0,'Données projet'!$E$13+1,1))-AVERAGE(OFFSET($H$3,0,0,'Données projet'!$E$13+1,1))</f>
        <v>215.37314197175104</v>
      </c>
      <c r="CZ68" s="59">
        <f t="shared" si="42"/>
        <v>361.17630426655978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18.353067393654285</v>
      </c>
      <c r="DG68" s="21">
        <f>EXP(-LN(2)/25)*DG67+(1-EXP(-LN(2)/25))/(LN(2)/25)*Calculateur!DB68*Calculateur!DD68*VLOOKUP('Données projet'!$B$13,Paramètres!$A$1:$I$89,3,0)*0.475*44/12</f>
        <v>36.39291192471196</v>
      </c>
      <c r="DH68" s="21">
        <f>EXP(-LN(2)/2)*DH67+(1-EXP(-LN(2)/2))/(LN(2)/2)*DB68*DE68*VLOOKUP('Données projet'!$B$13,Paramètres!$A$1:$I$89,3,0)*0.475*44/12</f>
        <v>1.3678944628204926E-7</v>
      </c>
      <c r="DI68" s="22">
        <f t="shared" ref="DI68:DI131" si="69">SUM(DF68:DH68)</f>
        <v>54.745979455155691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292.24625000000003</v>
      </c>
      <c r="O69" s="13">
        <f>N69*VLOOKUP('Données projet'!$B$9,Paramètres!$A$1:$I$89,3,0)*VLOOKUP('Données projet'!$B$9,Paramètres!$A$1:$I$89,5,0)</f>
        <v>264.42440700000003</v>
      </c>
      <c r="P69" s="13">
        <f t="shared" ref="P69:P132" si="87">EXP(-1.0587+0.8836*LN(O69)+0.284)</f>
        <v>63.664554558165378</v>
      </c>
      <c r="Q69" s="20">
        <f t="shared" si="54"/>
        <v>571.42160804713808</v>
      </c>
      <c r="R69" s="59">
        <f t="shared" si="55"/>
        <v>835.87466716432516</v>
      </c>
      <c r="S69" s="59">
        <f ca="1">AVERAGE(OFFSET($R$3,0,0,'Données projet'!$E$9+1,1))-AVERAGE(OFFSET($H$3,0,0,'Données projet'!$E$9+1,1))</f>
        <v>567.42635821336114</v>
      </c>
      <c r="T69" s="59">
        <f t="shared" ref="T69:T132" si="88">$T$3</f>
        <v>299.0473530693472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</v>
      </c>
      <c r="AI69" s="13">
        <f>IF('Données projet'!$A$62&gt;35,AI68+AH69-AQ68,IF(A69&lt;'Données projet'!$A$62,$AF$205^A69,IF(A69='Données projet'!$A$62,'Données projet'!$B$62,AI68+AH69-AQ68)))</f>
        <v>339.79999999999995</v>
      </c>
      <c r="AJ69" s="13">
        <f>AI69*VLOOKUP('Données projet'!$B$10,Paramètres!$A$1:$I$89,3,0)*VLOOKUP('Données projet'!$B$10,Paramètres!$A$1:$I$89,5,0)</f>
        <v>291.54840000000002</v>
      </c>
      <c r="AK69" s="13">
        <f t="shared" ref="AK69:AK132" si="89">EXP(-1.0587+0.8836*LN(AJ69)+0.284)</f>
        <v>69.40174753959208</v>
      </c>
      <c r="AL69" s="20">
        <f t="shared" si="58"/>
        <v>628.65484029812285</v>
      </c>
      <c r="AM69" s="59">
        <f t="shared" si="59"/>
        <v>893.10789941530993</v>
      </c>
      <c r="AN69" s="59">
        <f ca="1">AVERAGE(OFFSET($AM$3,0,0,'Données projet'!$E$10+1,1))-AVERAGE(OFFSET($H$3,0,0,'Données projet'!$E$10+1,1))</f>
        <v>569.97793593332699</v>
      </c>
      <c r="AO69" s="59">
        <f t="shared" ref="AO69:AO132" si="90">$AO$3</f>
        <v>331.25104323342907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91.483919941943626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91.483919941943626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12.551428571428573</v>
      </c>
      <c r="BD69" s="12">
        <f>IF('Données projet'!$A$88&gt;35,BD68+BC69-BL68,IF(A69&lt;'Données projet'!$A$88,$BA$205^A69,IF(A69='Données projet'!$A$88,'Données projet'!$B$88,BD68+BC69-BL68)))</f>
        <v>309.7114285714286</v>
      </c>
      <c r="BE69" s="13">
        <f>BD69*VLOOKUP('Données projet'!$B$11,Paramètres!$A$1:$I$89,3,0)*VLOOKUP('Données projet'!$B$11,Paramètres!$A$1:$I$89,5,0)</f>
        <v>260.90090742857149</v>
      </c>
      <c r="BF69" s="13">
        <f t="shared" ref="BF69:BF132" si="91">EXP(-1.0587+0.8836*LN(BE69)+0.284)</f>
        <v>62.914376336197464</v>
      </c>
      <c r="BG69" s="20">
        <f t="shared" si="61"/>
        <v>563.97828589030587</v>
      </c>
      <c r="BH69" s="59">
        <f t="shared" si="62"/>
        <v>828.43134500749295</v>
      </c>
      <c r="BI69" s="59">
        <f ca="1">AVERAGE(OFFSET($BH$3,0,0,'Données projet'!$E$11+1,1))-AVERAGE(OFFSET($H$3,0,0,'Données projet'!$E$11+1,1))</f>
        <v>458.88102603650725</v>
      </c>
      <c r="BJ69" s="59">
        <f t="shared" ref="BJ69:BJ132" si="92">$BJ$3</f>
        <v>277.79020316059552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87.220275525831838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87.220275525831838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253.1006399999998</v>
      </c>
      <c r="CA69" s="13">
        <f t="shared" ref="CA69:CA132" si="93">EXP(-1.0587+0.8836*LN(BZ69)+0.284)</f>
        <v>61.249419177028884</v>
      </c>
      <c r="CB69" s="20">
        <f t="shared" si="64"/>
        <v>547.4930197333249</v>
      </c>
      <c r="CC69" s="59">
        <f t="shared" si="65"/>
        <v>811.94607885051198</v>
      </c>
      <c r="CD69" s="59">
        <f ca="1">AVERAGE(OFFSET($CC$3,0,0,'Données projet'!$E$12+1,1))-AVERAGE(OFFSET($H$3,0,0,'Données projet'!$E$12+1,1))</f>
        <v>400.48995908576177</v>
      </c>
      <c r="CE69" s="59">
        <f t="shared" ref="CE69:CE132" si="94">$CE$3</f>
        <v>384.86917865380076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43.336735431330439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43.336735431330439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277.99999999999994</v>
      </c>
      <c r="CU69" s="17">
        <f>CT69*VLOOKUP('Données projet'!$B$13,Paramètres!$A$1:$I$89,3,0)*VLOOKUP('Données projet'!$B$13,Paramètres!$A$1:$I$89,5,0)</f>
        <v>151.78799999999998</v>
      </c>
      <c r="CV69" s="13">
        <f t="shared" ref="CV69:CV132" si="95">EXP(-1.0587+0.8836*LN(CU69)+0.284)</f>
        <v>38.984634390835623</v>
      </c>
      <c r="CW69" s="20">
        <f t="shared" si="67"/>
        <v>332.26233823070532</v>
      </c>
      <c r="CX69" s="59">
        <f t="shared" si="68"/>
        <v>596.71539734789235</v>
      </c>
      <c r="CY69" s="59">
        <f ca="1">AVERAGE(OFFSET($CX$3,0,0,'Données projet'!$E$13+1,1))-AVERAGE(OFFSET($H$3,0,0,'Données projet'!$E$13+1,1))</f>
        <v>215.37314197175104</v>
      </c>
      <c r="CZ69" s="59">
        <f t="shared" ref="CZ69:CZ132" si="96">$CZ$3</f>
        <v>361.17630426655978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17.993174936330494</v>
      </c>
      <c r="DG69" s="21">
        <f>EXP(-LN(2)/25)*DG68+(1-EXP(-LN(2)/25))/(LN(2)/25)*Calculateur!DB69*Calculateur!DD69*VLOOKUP('Données projet'!$B$13,Paramètres!$A$1:$I$89,3,0)*0.475*44/12</f>
        <v>35.397745834310648</v>
      </c>
      <c r="DH69" s="21">
        <f>EXP(-LN(2)/2)*DH68+(1-EXP(-LN(2)/2))/(LN(2)/2)*DB69*DE69*VLOOKUP('Données projet'!$B$13,Paramètres!$A$1:$I$89,3,0)*0.475*44/12</f>
        <v>9.6724745060790008E-8</v>
      </c>
      <c r="DI69" s="22">
        <f t="shared" si="69"/>
        <v>53.390920867365892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303.53500000000003</v>
      </c>
      <c r="O70" s="13">
        <f>N70*VLOOKUP('Données projet'!$B$9,Paramètres!$A$1:$I$89,3,0)*VLOOKUP('Données projet'!$B$9,Paramètres!$A$1:$I$89,5,0)</f>
        <v>274.63846799999999</v>
      </c>
      <c r="P70" s="13">
        <f t="shared" si="87"/>
        <v>65.832691250400728</v>
      </c>
      <c r="Q70" s="20">
        <f t="shared" si="54"/>
        <v>592.98726902778128</v>
      </c>
      <c r="R70" s="59">
        <f t="shared" si="55"/>
        <v>857.94133633599813</v>
      </c>
      <c r="S70" s="59">
        <f ca="1">AVERAGE(OFFSET($R$3,0,0,'Données projet'!$E$9+1,1))-AVERAGE(OFFSET($H$3,0,0,'Données projet'!$E$9+1,1))</f>
        <v>567.42635821336114</v>
      </c>
      <c r="T70" s="59">
        <f t="shared" si="88"/>
        <v>299.0473530693472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</v>
      </c>
      <c r="AI70" s="13">
        <f>IF('Données projet'!$A$62&gt;35,AI69+AH70-AQ69,IF(A70&lt;'Données projet'!$A$62,$AF$205^A70,IF(A70='Données projet'!$A$62,'Données projet'!$B$62,AI69+AH70-AQ69)))</f>
        <v>351.59999999999997</v>
      </c>
      <c r="AJ70" s="13">
        <f>AI70*VLOOKUP('Données projet'!$B$10,Paramètres!$A$1:$I$89,3,0)*VLOOKUP('Données projet'!$B$10,Paramètres!$A$1:$I$89,5,0)</f>
        <v>301.6728</v>
      </c>
      <c r="AK70" s="13">
        <f t="shared" si="89"/>
        <v>71.527033039285058</v>
      </c>
      <c r="AL70" s="20">
        <f t="shared" si="58"/>
        <v>649.98970921008811</v>
      </c>
      <c r="AM70" s="59">
        <f t="shared" si="59"/>
        <v>914.94377651830496</v>
      </c>
      <c r="AN70" s="59">
        <f ca="1">AVERAGE(OFFSET($AM$3,0,0,'Données projet'!$E$10+1,1))-AVERAGE(OFFSET($H$3,0,0,'Données projet'!$E$10+1,1))</f>
        <v>569.97793593332699</v>
      </c>
      <c r="AO70" s="59">
        <f t="shared" si="90"/>
        <v>331.25104323342907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89.689976071563521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89.689976071563521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12.551428571428573</v>
      </c>
      <c r="BD70" s="12">
        <f>IF('Données projet'!$A$88&gt;35,BD69+BC70-BL69,IF(A70&lt;'Données projet'!$A$88,$BA$205^A70,IF(A70='Données projet'!$A$88,'Données projet'!$B$88,BD69+BC70-BL69)))</f>
        <v>322.26285714285717</v>
      </c>
      <c r="BE70" s="13">
        <f>BD70*VLOOKUP('Données projet'!$B$11,Paramètres!$A$1:$I$89,3,0)*VLOOKUP('Données projet'!$B$11,Paramètres!$A$1:$I$89,5,0)</f>
        <v>271.47423085714291</v>
      </c>
      <c r="BF70" s="13">
        <f t="shared" si="91"/>
        <v>65.162039061162432</v>
      </c>
      <c r="BG70" s="20">
        <f t="shared" si="61"/>
        <v>586.30817010771511</v>
      </c>
      <c r="BH70" s="59">
        <f t="shared" si="62"/>
        <v>851.26223741593208</v>
      </c>
      <c r="BI70" s="59">
        <f ca="1">AVERAGE(OFFSET($BH$3,0,0,'Données projet'!$E$11+1,1))-AVERAGE(OFFSET($H$3,0,0,'Données projet'!$E$11+1,1))</f>
        <v>458.88102603650725</v>
      </c>
      <c r="BJ70" s="59">
        <f t="shared" si="92"/>
        <v>277.79020316059552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85.509939121885367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85.509939121885367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256.91327999999976</v>
      </c>
      <c r="CA70" s="13">
        <f t="shared" si="93"/>
        <v>62.063957347667916</v>
      </c>
      <c r="CB70" s="20">
        <f t="shared" si="64"/>
        <v>555.55202171385451</v>
      </c>
      <c r="CC70" s="59">
        <f t="shared" si="65"/>
        <v>820.50608902207136</v>
      </c>
      <c r="CD70" s="59">
        <f ca="1">AVERAGE(OFFSET($CC$3,0,0,'Données projet'!$E$12+1,1))-AVERAGE(OFFSET($H$3,0,0,'Données projet'!$E$12+1,1))</f>
        <v>400.48995908576177</v>
      </c>
      <c r="CE70" s="59">
        <f t="shared" si="94"/>
        <v>384.86917865380076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42.486928482320643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42.486928482320643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277.99999999999994</v>
      </c>
      <c r="CU70" s="17">
        <f>CT70*VLOOKUP('Données projet'!$B$13,Paramètres!$A$1:$I$89,3,0)*VLOOKUP('Données projet'!$B$13,Paramètres!$A$1:$I$89,5,0)</f>
        <v>151.78799999999998</v>
      </c>
      <c r="CV70" s="13">
        <f t="shared" si="95"/>
        <v>38.984634390835623</v>
      </c>
      <c r="CW70" s="20">
        <f t="shared" si="67"/>
        <v>332.26233823070532</v>
      </c>
      <c r="CX70" s="59">
        <f t="shared" si="68"/>
        <v>597.21640553892223</v>
      </c>
      <c r="CY70" s="59">
        <f ca="1">AVERAGE(OFFSET($CX$3,0,0,'Données projet'!$E$13+1,1))-AVERAGE(OFFSET($H$3,0,0,'Données projet'!$E$13+1,1))</f>
        <v>215.37314197175104</v>
      </c>
      <c r="CZ70" s="59">
        <f t="shared" si="96"/>
        <v>361.17630426655978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17.640339750582097</v>
      </c>
      <c r="DG70" s="21">
        <f>EXP(-LN(2)/25)*DG69+(1-EXP(-LN(2)/25))/(LN(2)/25)*Calculateur!DB70*Calculateur!DD70*VLOOKUP('Données projet'!$B$13,Paramètres!$A$1:$I$89,3,0)*0.475*44/12</f>
        <v>34.429792612984869</v>
      </c>
      <c r="DH70" s="21">
        <f>EXP(-LN(2)/2)*DH69+(1-EXP(-LN(2)/2))/(LN(2)/2)*DB70*DE70*VLOOKUP('Données projet'!$B$13,Paramètres!$A$1:$I$89,3,0)*0.475*44/12</f>
        <v>6.8394723141024632E-8</v>
      </c>
      <c r="DI70" s="22">
        <f t="shared" si="69"/>
        <v>52.070132431961696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314.82375000000002</v>
      </c>
      <c r="O71" s="13">
        <f>N71*VLOOKUP('Données projet'!$B$9,Paramètres!$A$1:$I$89,3,0)*VLOOKUP('Données projet'!$B$9,Paramètres!$A$1:$I$89,5,0)</f>
        <v>284.852529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879.98299835622572</v>
      </c>
      <c r="S71" s="59">
        <f ca="1">AVERAGE(OFFSET($R$3,0,0,'Données projet'!$E$9+1,1))-AVERAGE(OFFSET($H$3,0,0,'Données projet'!$E$9+1,1))</f>
        <v>567.42635821336114</v>
      </c>
      <c r="T71" s="59">
        <f t="shared" si="88"/>
        <v>299.0473530693472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</v>
      </c>
      <c r="AI71" s="13">
        <f>IF('Données projet'!$A$62&gt;35,AI70+AH71-AQ70,IF(A71&lt;'Données projet'!$A$62,$AF$205^A71,IF(A71='Données projet'!$A$62,'Données projet'!$B$62,AI70+AH71-AQ70)))</f>
        <v>363.4</v>
      </c>
      <c r="AJ71" s="13">
        <f>AI71*VLOOKUP('Données projet'!$B$10,Paramètres!$A$1:$I$89,3,0)*VLOOKUP('Données projet'!$B$10,Paramètres!$A$1:$I$89,5,0)</f>
        <v>311.79720000000003</v>
      </c>
      <c r="AK71" s="13">
        <f t="shared" si="89"/>
        <v>73.644030695714719</v>
      </c>
      <c r="AL71" s="20">
        <f t="shared" si="58"/>
        <v>671.31014346170321</v>
      </c>
      <c r="AM71" s="59">
        <f t="shared" si="59"/>
        <v>936.75652758892204</v>
      </c>
      <c r="AN71" s="59">
        <f ca="1">AVERAGE(OFFSET($AM$3,0,0,'Données projet'!$E$10+1,1))-AVERAGE(OFFSET($H$3,0,0,'Données projet'!$E$10+1,1))</f>
        <v>569.97793593332699</v>
      </c>
      <c r="AO71" s="59">
        <f t="shared" si="90"/>
        <v>331.25104323342907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87.931210346283848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87.931210346283848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12.551428571428573</v>
      </c>
      <c r="BD71" s="12">
        <f>IF('Données projet'!$A$88&gt;35,BD70+BC71-BL70,IF(A71&lt;'Données projet'!$A$88,$BA$205^A71,IF(A71='Données projet'!$A$88,'Données projet'!$B$88,BD70+BC71-BL70)))</f>
        <v>334.81428571428575</v>
      </c>
      <c r="BE71" s="13">
        <f>BD71*VLOOKUP('Données projet'!$B$11,Paramètres!$A$1:$I$89,3,0)*VLOOKUP('Données projet'!$B$11,Paramètres!$A$1:$I$89,5,0)</f>
        <v>282.04755428571434</v>
      </c>
      <c r="BF71" s="13">
        <f t="shared" si="91"/>
        <v>67.399532301514213</v>
      </c>
      <c r="BG71" s="20">
        <f t="shared" si="61"/>
        <v>608.62034247275642</v>
      </c>
      <c r="BH71" s="59">
        <f t="shared" si="62"/>
        <v>874.06672659997525</v>
      </c>
      <c r="BI71" s="59">
        <f ca="1">AVERAGE(OFFSET($BH$3,0,0,'Données projet'!$E$11+1,1))-AVERAGE(OFFSET($H$3,0,0,'Données projet'!$E$11+1,1))</f>
        <v>458.88102603650725</v>
      </c>
      <c r="BJ71" s="59">
        <f t="shared" si="92"/>
        <v>277.79020316059552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83.833141371618098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83.833141371618098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260.72591999999975</v>
      </c>
      <c r="CA71" s="13">
        <f t="shared" si="93"/>
        <v>62.877089647292053</v>
      </c>
      <c r="CB71" s="20">
        <f t="shared" si="64"/>
        <v>563.60857513569988</v>
      </c>
      <c r="CC71" s="59">
        <f t="shared" si="65"/>
        <v>829.05495926291871</v>
      </c>
      <c r="CD71" s="59">
        <f ca="1">AVERAGE(OFFSET($CC$3,0,0,'Données projet'!$E$12+1,1))-AVERAGE(OFFSET($H$3,0,0,'Données projet'!$E$12+1,1))</f>
        <v>400.48995908576177</v>
      </c>
      <c r="CE71" s="59">
        <f t="shared" si="94"/>
        <v>384.86917865380076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41.653785729249869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41.653785729249869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277.99999999999994</v>
      </c>
      <c r="CU71" s="17">
        <f>CT71*VLOOKUP('Données projet'!$B$13,Paramètres!$A$1:$I$89,3,0)*VLOOKUP('Données projet'!$B$13,Paramètres!$A$1:$I$89,5,0)</f>
        <v>151.78799999999998</v>
      </c>
      <c r="CV71" s="13">
        <f t="shared" si="95"/>
        <v>38.984634390835623</v>
      </c>
      <c r="CW71" s="20">
        <f t="shared" si="67"/>
        <v>332.26233823070532</v>
      </c>
      <c r="CX71" s="59">
        <f t="shared" si="68"/>
        <v>597.70872235792422</v>
      </c>
      <c r="CY71" s="59">
        <f ca="1">AVERAGE(OFFSET($CX$3,0,0,'Données projet'!$E$13+1,1))-AVERAGE(OFFSET($H$3,0,0,'Données projet'!$E$13+1,1))</f>
        <v>215.37314197175104</v>
      </c>
      <c r="CZ71" s="59">
        <f t="shared" si="96"/>
        <v>361.17630426655978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17.294423447618012</v>
      </c>
      <c r="DG71" s="21">
        <f>EXP(-LN(2)/25)*DG70+(1-EXP(-LN(2)/25))/(LN(2)/25)*Calculateur!DB71*Calculateur!DD71*VLOOKUP('Données projet'!$B$13,Paramètres!$A$1:$I$89,3,0)*0.475*44/12</f>
        <v>33.488308123398696</v>
      </c>
      <c r="DH71" s="21">
        <f>EXP(-LN(2)/2)*DH70+(1-EXP(-LN(2)/2))/(LN(2)/2)*DB71*DE71*VLOOKUP('Données projet'!$B$13,Paramètres!$A$1:$I$89,3,0)*0.475*44/12</f>
        <v>4.8362372530395004E-8</v>
      </c>
      <c r="DI71" s="22">
        <f t="shared" si="69"/>
        <v>50.782731619379085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326.11250000000001</v>
      </c>
      <c r="O72" s="13">
        <f>N72*VLOOKUP('Données projet'!$B$9,Paramètres!$A$1:$I$89,3,0)*VLOOKUP('Données projet'!$B$9,Paramètres!$A$1:$I$89,5,0)</f>
        <v>295.06659000000002</v>
      </c>
      <c r="P72" s="13">
        <f t="shared" si="87"/>
        <v>70.141235290018571</v>
      </c>
      <c r="Q72" s="20">
        <f t="shared" si="54"/>
        <v>636.07029571344913</v>
      </c>
      <c r="R72" s="59">
        <f t="shared" si="55"/>
        <v>902.00045606351568</v>
      </c>
      <c r="S72" s="59">
        <f ca="1">AVERAGE(OFFSET($R$3,0,0,'Données projet'!$E$9+1,1))-AVERAGE(OFFSET($H$3,0,0,'Données projet'!$E$9+1,1))</f>
        <v>567.42635821336114</v>
      </c>
      <c r="T72" s="59">
        <f t="shared" si="88"/>
        <v>299.0473530693472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</v>
      </c>
      <c r="AI72" s="13">
        <f>IF('Données projet'!$A$62&gt;35,AI71+AH72-AQ71,IF(A72&lt;'Données projet'!$A$62,$AF$205^A72,IF(A72='Données projet'!$A$62,'Données projet'!$B$62,AI71+AH72-AQ71)))</f>
        <v>375.2</v>
      </c>
      <c r="AJ72" s="13">
        <f>AI72*VLOOKUP('Données projet'!$B$10,Paramètres!$A$1:$I$89,3,0)*VLOOKUP('Données projet'!$B$10,Paramètres!$A$1:$I$89,5,0)</f>
        <v>321.92160000000001</v>
      </c>
      <c r="AK72" s="13">
        <f t="shared" si="89"/>
        <v>75.753040489321577</v>
      </c>
      <c r="AL72" s="20">
        <f t="shared" si="58"/>
        <v>692.61666551890175</v>
      </c>
      <c r="AM72" s="59">
        <f t="shared" si="59"/>
        <v>958.54682586896831</v>
      </c>
      <c r="AN72" s="59">
        <f ca="1">AVERAGE(OFFSET($AM$3,0,0,'Données projet'!$E$10+1,1))-AVERAGE(OFFSET($H$3,0,0,'Données projet'!$E$10+1,1))</f>
        <v>569.97793593332699</v>
      </c>
      <c r="AO72" s="59">
        <f t="shared" si="90"/>
        <v>331.25104323342907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86.206932944135744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86.206932944135744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12.551428571428573</v>
      </c>
      <c r="BD72" s="12">
        <f>IF('Données projet'!$A$88&gt;35,BD71+BC72-BL71,IF(A72&lt;'Données projet'!$A$88,$BA$205^A72,IF(A72='Données projet'!$A$88,'Données projet'!$B$88,BD71+BC72-BL71)))</f>
        <v>347.36571428571432</v>
      </c>
      <c r="BE72" s="13">
        <f>BD72*VLOOKUP('Données projet'!$B$11,Paramètres!$A$1:$I$89,3,0)*VLOOKUP('Données projet'!$B$11,Paramètres!$A$1:$I$89,5,0)</f>
        <v>292.62087771428577</v>
      </c>
      <c r="BF72" s="13">
        <f t="shared" si="91"/>
        <v>69.627280938771321</v>
      </c>
      <c r="BG72" s="20">
        <f t="shared" si="61"/>
        <v>630.91554298740778</v>
      </c>
      <c r="BH72" s="59">
        <f t="shared" si="62"/>
        <v>896.84570333747433</v>
      </c>
      <c r="BI72" s="59">
        <f ca="1">AVERAGE(OFFSET($BH$3,0,0,'Données projet'!$E$11+1,1))-AVERAGE(OFFSET($H$3,0,0,'Données projet'!$E$11+1,1))</f>
        <v>458.88102603650725</v>
      </c>
      <c r="BJ72" s="59">
        <f t="shared" si="92"/>
        <v>277.79020316059552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82.189224602487926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82.189224602487926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264.53855999999973</v>
      </c>
      <c r="CA72" s="13">
        <f t="shared" si="93"/>
        <v>63.688839009304033</v>
      </c>
      <c r="CB72" s="20">
        <f t="shared" si="64"/>
        <v>571.66271994120405</v>
      </c>
      <c r="CC72" s="59">
        <f t="shared" si="65"/>
        <v>837.5928802912706</v>
      </c>
      <c r="CD72" s="59">
        <f ca="1">AVERAGE(OFFSET($CC$3,0,0,'Données projet'!$E$12+1,1))-AVERAGE(OFFSET($H$3,0,0,'Données projet'!$E$12+1,1))</f>
        <v>400.48995908576177</v>
      </c>
      <c r="CE72" s="59">
        <f t="shared" si="94"/>
        <v>384.86917865380076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40.836980397399913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40.836980397399913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277.99999999999994</v>
      </c>
      <c r="CU72" s="17">
        <f>CT72*VLOOKUP('Données projet'!$B$13,Paramètres!$A$1:$I$89,3,0)*VLOOKUP('Données projet'!$B$13,Paramètres!$A$1:$I$89,5,0)</f>
        <v>151.78799999999998</v>
      </c>
      <c r="CV72" s="13">
        <f t="shared" si="95"/>
        <v>38.984634390835623</v>
      </c>
      <c r="CW72" s="20">
        <f t="shared" si="67"/>
        <v>332.26233823070532</v>
      </c>
      <c r="CX72" s="59">
        <f t="shared" si="68"/>
        <v>598.19249858077183</v>
      </c>
      <c r="CY72" s="59">
        <f ca="1">AVERAGE(OFFSET($CX$3,0,0,'Données projet'!$E$13+1,1))-AVERAGE(OFFSET($H$3,0,0,'Données projet'!$E$13+1,1))</f>
        <v>215.37314197175104</v>
      </c>
      <c r="CZ72" s="59">
        <f t="shared" si="96"/>
        <v>361.17630426655978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16.955290352366941</v>
      </c>
      <c r="DG72" s="21">
        <f>EXP(-LN(2)/25)*DG71+(1-EXP(-LN(2)/25))/(LN(2)/25)*Calculateur!DB72*Calculateur!DD72*VLOOKUP('Données projet'!$B$13,Paramètres!$A$1:$I$89,3,0)*0.475*44/12</f>
        <v>32.57256857669077</v>
      </c>
      <c r="DH72" s="21">
        <f>EXP(-LN(2)/2)*DH71+(1-EXP(-LN(2)/2))/(LN(2)/2)*DB72*DE72*VLOOKUP('Données projet'!$B$13,Paramètres!$A$1:$I$89,3,0)*0.475*44/12</f>
        <v>3.4197361570512316E-8</v>
      </c>
      <c r="DI72" s="22">
        <f t="shared" si="69"/>
        <v>49.527858963255078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923.9944619767291</v>
      </c>
      <c r="S73" s="59">
        <f ca="1">AVERAGE(OFFSET($R$3,0,0,'Données projet'!$E$9+1,1))-AVERAGE(OFFSET($H$3,0,0,'Données projet'!$E$9+1,1))</f>
        <v>567.42635821336114</v>
      </c>
      <c r="T73" s="59">
        <f t="shared" si="88"/>
        <v>299.0473530693472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387</v>
      </c>
      <c r="AG73" s="12">
        <f>VLOOKUP(A73,'Données projet'!$A$61:$I$81,9,0)</f>
        <v>11.8</v>
      </c>
      <c r="AH73" s="12">
        <f t="array" ref="AH73">INDEX(AG:AG,MIN(IF(ISNUMBER(AG73:AG269),ROW(AG73:AG269),"")))</f>
        <v>11.8</v>
      </c>
      <c r="AI73" s="13">
        <f>IF('Données projet'!$A$62&gt;35,AI72+AH73-AQ72,IF(A73&lt;'Données projet'!$A$62,$AF$205^A73,IF(A73='Données projet'!$A$62,'Données projet'!$B$62,AI72+AH73-AQ72)))</f>
        <v>387</v>
      </c>
      <c r="AJ73" s="13">
        <f>AI73*VLOOKUP('Données projet'!$B$10,Paramètres!$A$1:$I$89,3,0)*VLOOKUP('Données projet'!$B$10,Paramètres!$A$1:$I$89,5,0)</f>
        <v>332.04600000000005</v>
      </c>
      <c r="AK73" s="13">
        <f t="shared" si="89"/>
        <v>77.854342460208699</v>
      </c>
      <c r="AL73" s="20">
        <f t="shared" si="58"/>
        <v>713.90976311819679</v>
      </c>
      <c r="AM73" s="59">
        <f t="shared" si="59"/>
        <v>980.31530725520633</v>
      </c>
      <c r="AN73" s="59">
        <f ca="1">AVERAGE(OFFSET($AM$3,0,0,'Données projet'!$E$10+1,1))-AVERAGE(OFFSET($H$3,0,0,'Données projet'!$E$10+1,1))</f>
        <v>569.97793593332699</v>
      </c>
      <c r="AO73" s="59">
        <f t="shared" si="90"/>
        <v>331.25104323342907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35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102.11102358374687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102.11102358374687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12.551428571428573</v>
      </c>
      <c r="BD73" s="12">
        <f>IF('Données projet'!$A$88&gt;35,BD72+BC73-BL72,IF(A73&lt;'Données projet'!$A$88,$BA$205^A73,IF(A73='Données projet'!$A$88,'Données projet'!$B$88,BD72+BC73-BL72)))</f>
        <v>359.91714285714289</v>
      </c>
      <c r="BE73" s="13">
        <f>BD73*VLOOKUP('Données projet'!$B$11,Paramètres!$A$1:$I$89,3,0)*VLOOKUP('Données projet'!$B$11,Paramètres!$A$1:$I$89,5,0)</f>
        <v>303.1942011428572</v>
      </c>
      <c r="BF73" s="13">
        <f t="shared" si="91"/>
        <v>71.845677409500553</v>
      </c>
      <c r="BG73" s="20">
        <f t="shared" si="61"/>
        <v>653.19445514535653</v>
      </c>
      <c r="BH73" s="59">
        <f t="shared" si="62"/>
        <v>919.59999928236607</v>
      </c>
      <c r="BI73" s="59">
        <f ca="1">AVERAGE(OFFSET($BH$3,0,0,'Données projet'!$E$11+1,1))-AVERAGE(OFFSET($H$3,0,0,'Données projet'!$E$11+1,1))</f>
        <v>458.88102603650725</v>
      </c>
      <c r="BJ73" s="59">
        <f t="shared" si="92"/>
        <v>277.79020316059552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80.577544038510169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80.577544038510169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268.35119999999978</v>
      </c>
      <c r="CA73" s="13">
        <f t="shared" si="93"/>
        <v>64.499227668096069</v>
      </c>
      <c r="CB73" s="20">
        <f t="shared" si="64"/>
        <v>579.71449485526693</v>
      </c>
      <c r="CC73" s="59">
        <f t="shared" si="65"/>
        <v>846.12003899227648</v>
      </c>
      <c r="CD73" s="59">
        <f ca="1">AVERAGE(OFFSET($CC$3,0,0,'Données projet'!$E$12+1,1))-AVERAGE(OFFSET($H$3,0,0,'Données projet'!$E$12+1,1))</f>
        <v>400.48995908576177</v>
      </c>
      <c r="CE73" s="59">
        <f t="shared" si="94"/>
        <v>384.86917865380076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45.264116310569925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45.264116310569925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277.99999999999994</v>
      </c>
      <c r="CU73" s="17">
        <f>CT73*VLOOKUP('Données projet'!$B$13,Paramètres!$A$1:$I$89,3,0)*VLOOKUP('Données projet'!$B$13,Paramètres!$A$1:$I$89,5,0)</f>
        <v>151.78799999999998</v>
      </c>
      <c r="CV73" s="13">
        <f t="shared" si="95"/>
        <v>38.984634390835623</v>
      </c>
      <c r="CW73" s="20">
        <f t="shared" si="67"/>
        <v>332.26233823070532</v>
      </c>
      <c r="CX73" s="59">
        <f t="shared" si="68"/>
        <v>598.66788236771481</v>
      </c>
      <c r="CY73" s="59">
        <f ca="1">AVERAGE(OFFSET($CX$3,0,0,'Données projet'!$E$13+1,1))-AVERAGE(OFFSET($H$3,0,0,'Données projet'!$E$13+1,1))</f>
        <v>215.37314197175104</v>
      </c>
      <c r="CZ73" s="59">
        <f t="shared" si="96"/>
        <v>361.17630426655978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16.622807450262982</v>
      </c>
      <c r="DG73" s="21">
        <f>EXP(-LN(2)/25)*DG72+(1-EXP(-LN(2)/25))/(LN(2)/25)*Calculateur!DB73*Calculateur!DD73*VLOOKUP('Données projet'!$B$13,Paramètres!$A$1:$I$89,3,0)*0.475*44/12</f>
        <v>31.681869976044226</v>
      </c>
      <c r="DH73" s="21">
        <f>EXP(-LN(2)/2)*DH72+(1-EXP(-LN(2)/2))/(LN(2)/2)*DB73*DE73*VLOOKUP('Données projet'!$B$13,Paramètres!$A$1:$I$89,3,0)*0.475*44/12</f>
        <v>2.4181186265197502E-8</v>
      </c>
      <c r="DI73" s="22">
        <f t="shared" si="69"/>
        <v>48.304677450488391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348.69</v>
      </c>
      <c r="O74" s="13">
        <f>N74*VLOOKUP('Données projet'!$B$9,Paramètres!$A$1:$I$89,3,0)*VLOOKUP('Données projet'!$B$9,Paramètres!$A$1:$I$89,5,0)</f>
        <v>315.49471199999999</v>
      </c>
      <c r="P74" s="13">
        <f t="shared" si="87"/>
        <v>74.415168706532612</v>
      </c>
      <c r="Q74" s="20">
        <f t="shared" si="54"/>
        <v>679.09304223054426</v>
      </c>
      <c r="R74" s="59">
        <f t="shared" si="55"/>
        <v>945.96572330859226</v>
      </c>
      <c r="S74" s="59">
        <f ca="1">AVERAGE(OFFSET($R$3,0,0,'Données projet'!$E$9+1,1))-AVERAGE(OFFSET($H$3,0,0,'Données projet'!$E$9+1,1))</f>
        <v>567.42635821336114</v>
      </c>
      <c r="T74" s="59">
        <f t="shared" si="88"/>
        <v>299.0473530693472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</v>
      </c>
      <c r="AI74" s="13">
        <f>IF('Données projet'!$A$62&gt;35,AI73+AH74-AQ73,IF(A74&lt;'Données projet'!$A$62,$AF$205^A74,IF(A74='Données projet'!$A$62,'Données projet'!$B$62,AI73+AH74-AQ73)))</f>
        <v>363</v>
      </c>
      <c r="AJ74" s="13">
        <f>AI74*VLOOKUP('Données projet'!$B$10,Paramètres!$A$1:$I$89,3,0)*VLOOKUP('Données projet'!$B$10,Paramètres!$A$1:$I$89,5,0)</f>
        <v>311.45400000000001</v>
      </c>
      <c r="AK74" s="13">
        <f t="shared" si="89"/>
        <v>73.572400496659426</v>
      </c>
      <c r="AL74" s="20">
        <f t="shared" si="58"/>
        <v>670.58764753168191</v>
      </c>
      <c r="AM74" s="59">
        <f t="shared" si="59"/>
        <v>937.46032860972991</v>
      </c>
      <c r="AN74" s="59">
        <f ca="1">AVERAGE(OFFSET($AM$3,0,0,'Données projet'!$E$10+1,1))-AVERAGE(OFFSET($H$3,0,0,'Données projet'!$E$10+1,1))</f>
        <v>569.97793593332699</v>
      </c>
      <c r="AO74" s="59">
        <f t="shared" si="90"/>
        <v>331.25104323342907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100.10868869284418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100.10868869284418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12.551428571428573</v>
      </c>
      <c r="BD74" s="12">
        <f>IF('Données projet'!$A$88&gt;35,BD73+BC74-BL73,IF(A74&lt;'Données projet'!$A$88,$BA$205^A74,IF(A74='Données projet'!$A$88,'Données projet'!$B$88,BD73+BC74-BL73)))</f>
        <v>372.46857142857147</v>
      </c>
      <c r="BE74" s="13">
        <f>BD74*VLOOKUP('Données projet'!$B$11,Paramètres!$A$1:$I$89,3,0)*VLOOKUP('Données projet'!$B$11,Paramètres!$A$1:$I$89,5,0)</f>
        <v>313.76752457142862</v>
      </c>
      <c r="BF74" s="13">
        <f t="shared" si="91"/>
        <v>74.055085227165989</v>
      </c>
      <c r="BG74" s="20">
        <f t="shared" si="61"/>
        <v>675.45771206588552</v>
      </c>
      <c r="BH74" s="59">
        <f t="shared" si="62"/>
        <v>942.33039314393341</v>
      </c>
      <c r="BI74" s="59">
        <f ca="1">AVERAGE(OFFSET($BH$3,0,0,'Données projet'!$E$11+1,1))-AVERAGE(OFFSET($H$3,0,0,'Données projet'!$E$11+1,1))</f>
        <v>458.88102603650725</v>
      </c>
      <c r="BJ74" s="59">
        <f t="shared" si="92"/>
        <v>277.79020316059552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78.997467547363939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78.997467547363939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260.87255999999974</v>
      </c>
      <c r="CA74" s="13">
        <f t="shared" si="93"/>
        <v>62.908336204200786</v>
      </c>
      <c r="CB74" s="20">
        <f t="shared" si="64"/>
        <v>563.9183942223159</v>
      </c>
      <c r="CC74" s="59">
        <f t="shared" si="65"/>
        <v>830.7910753003639</v>
      </c>
      <c r="CD74" s="59">
        <f ca="1">AVERAGE(OFFSET($CC$3,0,0,'Données projet'!$E$12+1,1))-AVERAGE(OFFSET($H$3,0,0,'Données projet'!$E$12+1,1))</f>
        <v>400.48995908576177</v>
      </c>
      <c r="CE74" s="59">
        <f t="shared" si="94"/>
        <v>384.86917865380076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44.376514598104499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44.376514598104499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277.99999999999994</v>
      </c>
      <c r="CU74" s="17">
        <f>CT74*VLOOKUP('Données projet'!$B$13,Paramètres!$A$1:$I$89,3,0)*VLOOKUP('Données projet'!$B$13,Paramètres!$A$1:$I$89,5,0)</f>
        <v>151.78799999999998</v>
      </c>
      <c r="CV74" s="13">
        <f t="shared" si="95"/>
        <v>38.984634390835623</v>
      </c>
      <c r="CW74" s="20">
        <f t="shared" si="67"/>
        <v>332.26233823070532</v>
      </c>
      <c r="CX74" s="59">
        <f t="shared" si="68"/>
        <v>599.13501930875327</v>
      </c>
      <c r="CY74" s="59">
        <f ca="1">AVERAGE(OFFSET($CX$3,0,0,'Données projet'!$E$13+1,1))-AVERAGE(OFFSET($H$3,0,0,'Données projet'!$E$13+1,1))</f>
        <v>215.37314197175104</v>
      </c>
      <c r="CZ74" s="59">
        <f t="shared" si="96"/>
        <v>361.17630426655978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16.296844335074734</v>
      </c>
      <c r="DG74" s="21">
        <f>EXP(-LN(2)/25)*DG73+(1-EXP(-LN(2)/25))/(LN(2)/25)*Calculateur!DB74*Calculateur!DD74*VLOOKUP('Données projet'!$B$13,Paramètres!$A$1:$I$89,3,0)*0.475*44/12</f>
        <v>30.815527575472164</v>
      </c>
      <c r="DH74" s="21">
        <f>EXP(-LN(2)/2)*DH73+(1-EXP(-LN(2)/2))/(LN(2)/2)*DB74*DE74*VLOOKUP('Données projet'!$B$13,Paramètres!$A$1:$I$89,3,0)*0.475*44/12</f>
        <v>1.7098680785256158E-8</v>
      </c>
      <c r="DI74" s="22">
        <f t="shared" si="69"/>
        <v>47.112371927645576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307.63</v>
      </c>
      <c r="O75" s="13">
        <f>N75*VLOOKUP('Données projet'!$B$9,Paramètres!$A$1:$I$89,3,0)*VLOOKUP('Données projet'!$B$9,Paramètres!$A$1:$I$89,5,0)</f>
        <v>278.34362399999998</v>
      </c>
      <c r="P75" s="13">
        <f t="shared" si="87"/>
        <v>66.616848235919136</v>
      </c>
      <c r="Q75" s="20">
        <f t="shared" si="54"/>
        <v>600.80615581089239</v>
      </c>
      <c r="R75" s="59">
        <f t="shared" si="55"/>
        <v>868.13787004841356</v>
      </c>
      <c r="S75" s="59">
        <f ca="1">AVERAGE(OFFSET($R$3,0,0,'Données projet'!$E$9+1,1))-AVERAGE(OFFSET($H$3,0,0,'Données projet'!$E$9+1,1))</f>
        <v>567.42635821336114</v>
      </c>
      <c r="T75" s="59">
        <f t="shared" si="88"/>
        <v>299.0473530693472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</v>
      </c>
      <c r="AI75" s="13">
        <f>IF('Données projet'!$A$62&gt;35,AI74+AH75-AQ74,IF(A75&lt;'Données projet'!$A$62,$AF$205^A75,IF(A75='Données projet'!$A$62,'Données projet'!$B$62,AI74+AH75-AQ74)))</f>
        <v>374</v>
      </c>
      <c r="AJ75" s="13">
        <f>AI75*VLOOKUP('Données projet'!$B$10,Paramètres!$A$1:$I$89,3,0)*VLOOKUP('Données projet'!$B$10,Paramètres!$A$1:$I$89,5,0)</f>
        <v>320.89200000000005</v>
      </c>
      <c r="AK75" s="13">
        <f t="shared" si="89"/>
        <v>75.538921531436799</v>
      </c>
      <c r="AL75" s="20">
        <f t="shared" si="58"/>
        <v>690.45052166725247</v>
      </c>
      <c r="AM75" s="59">
        <f t="shared" si="59"/>
        <v>957.78223590477364</v>
      </c>
      <c r="AN75" s="59">
        <f ca="1">AVERAGE(OFFSET($AM$3,0,0,'Données projet'!$E$10+1,1))-AVERAGE(OFFSET($H$3,0,0,'Données projet'!$E$10+1,1))</f>
        <v>569.97793593332699</v>
      </c>
      <c r="AO75" s="59">
        <f t="shared" si="90"/>
        <v>331.25104323342907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98.145618367848414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98.145618367848414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385.02</v>
      </c>
      <c r="BB75" s="12">
        <f>VLOOKUP(A75,'Données projet'!$A$87:$I$107,9,0)</f>
        <v>12.551428571428573</v>
      </c>
      <c r="BC75" s="12">
        <f t="array" ref="BC75">INDEX(BB:BB,MIN(IF(ISNUMBER(BB75:BB271),ROW(BB75:BB271),"")))</f>
        <v>12.551428571428573</v>
      </c>
      <c r="BD75" s="12">
        <f>IF('Données projet'!$A$88&gt;35,BD74+BC75-BL74,IF(A75&lt;'Données projet'!$A$88,$BA$205^A75,IF(A75='Données projet'!$A$88,'Données projet'!$B$88,BD74+BC75-BL74)))</f>
        <v>385.02000000000004</v>
      </c>
      <c r="BE75" s="13">
        <f>BD75*VLOOKUP('Données projet'!$B$11,Paramètres!$A$1:$I$89,3,0)*VLOOKUP('Données projet'!$B$11,Paramètres!$A$1:$I$89,5,0)</f>
        <v>324.34084800000005</v>
      </c>
      <c r="BF75" s="13">
        <f t="shared" si="91"/>
        <v>76.255842015925154</v>
      </c>
      <c r="BG75" s="20">
        <f t="shared" si="61"/>
        <v>697.70590177773647</v>
      </c>
      <c r="BH75" s="59">
        <f t="shared" si="62"/>
        <v>965.03761601525753</v>
      </c>
      <c r="BI75" s="59">
        <f ca="1">AVERAGE(OFFSET($BH$3,0,0,'Données projet'!$E$11+1,1))-AVERAGE(OFFSET($H$3,0,0,'Données projet'!$E$11+1,1))</f>
        <v>458.88102603650725</v>
      </c>
      <c r="BJ75" s="59">
        <f t="shared" si="92"/>
        <v>277.79020316059552</v>
      </c>
      <c r="BK75" s="15">
        <f>IF(ISNA(VLOOKUP(A75,'Données projet'!$A$87:$I$107,3,0)),0,VLOOKUP(A75,'Données projet'!$A$87:$I$107,3,0))</f>
        <v>7</v>
      </c>
      <c r="BL75" s="15">
        <f>IF(ISNA(VLOOKUP(A75,'Données projet'!$A$87:$I$107,4,0)),0,VLOOKUP(A75,'Données projet'!$A$87:$I$107,4,0))</f>
        <v>58.96</v>
      </c>
      <c r="BM75" s="16">
        <f>IF(ISNA(VLOOKUP(A75,'Données projet'!$A$87:$I$107,5,0)),0%,VLOOKUP(A75,'Données projet'!$A$87:$I$107,5,0)*VLOOKUP('Données projet'!$B$11,Paramètres!$A$1:$I$89,7,0))</f>
        <v>0.43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101.05812596721663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101.05812596721663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264.39191999999974</v>
      </c>
      <c r="CA75" s="13">
        <f t="shared" si="93"/>
        <v>63.657643181110089</v>
      </c>
      <c r="CB75" s="20">
        <f t="shared" si="64"/>
        <v>571.35298920709954</v>
      </c>
      <c r="CC75" s="59">
        <f t="shared" si="65"/>
        <v>838.68470344462071</v>
      </c>
      <c r="CD75" s="59">
        <f ca="1">AVERAGE(OFFSET($CC$3,0,0,'Données projet'!$E$12+1,1))-AVERAGE(OFFSET($H$3,0,0,'Données projet'!$E$12+1,1))</f>
        <v>400.48995908576177</v>
      </c>
      <c r="CE75" s="59">
        <f t="shared" si="94"/>
        <v>384.86917865380076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43.506318213836934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43.506318213836934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277.99999999999994</v>
      </c>
      <c r="CU75" s="17">
        <f>CT75*VLOOKUP('Données projet'!$B$13,Paramètres!$A$1:$I$89,3,0)*VLOOKUP('Données projet'!$B$13,Paramètres!$A$1:$I$89,5,0)</f>
        <v>151.78799999999998</v>
      </c>
      <c r="CV75" s="13">
        <f t="shared" si="95"/>
        <v>38.984634390835623</v>
      </c>
      <c r="CW75" s="20">
        <f t="shared" si="67"/>
        <v>332.26233823070532</v>
      </c>
      <c r="CX75" s="59">
        <f t="shared" si="68"/>
        <v>599.59405246822644</v>
      </c>
      <c r="CY75" s="59">
        <f ca="1">AVERAGE(OFFSET($CX$3,0,0,'Données projet'!$E$13+1,1))-AVERAGE(OFFSET($H$3,0,0,'Données projet'!$E$13+1,1))</f>
        <v>215.37314197175104</v>
      </c>
      <c r="CZ75" s="59">
        <f t="shared" si="96"/>
        <v>361.17630426655978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15.977273157757461</v>
      </c>
      <c r="DG75" s="21">
        <f>EXP(-LN(2)/25)*DG74+(1-EXP(-LN(2)/25))/(LN(2)/25)*Calculateur!DB75*Calculateur!DD75*VLOOKUP('Données projet'!$B$13,Paramètres!$A$1:$I$89,3,0)*0.475*44/12</f>
        <v>29.972875353402713</v>
      </c>
      <c r="DH75" s="21">
        <f>EXP(-LN(2)/2)*DH74+(1-EXP(-LN(2)/2))/(LN(2)/2)*DB75*DE75*VLOOKUP('Données projet'!$B$13,Paramètres!$A$1:$I$89,3,0)*0.475*44/12</f>
        <v>1.2090593132598751E-8</v>
      </c>
      <c r="DI75" s="22">
        <f t="shared" si="69"/>
        <v>45.950148523250768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318.64</v>
      </c>
      <c r="O76" s="13">
        <f>N76*VLOOKUP('Données projet'!$B$9,Paramètres!$A$1:$I$89,3,0)*VLOOKUP('Données projet'!$B$9,Paramètres!$A$1:$I$89,5,0)</f>
        <v>288.30547200000001</v>
      </c>
      <c r="P76" s="13">
        <f t="shared" si="87"/>
        <v>68.719196733788849</v>
      </c>
      <c r="Q76" s="20">
        <f t="shared" si="54"/>
        <v>621.81796471134885</v>
      </c>
      <c r="R76" s="59">
        <f t="shared" si="55"/>
        <v>889.60074890927058</v>
      </c>
      <c r="S76" s="59">
        <f ca="1">AVERAGE(OFFSET($R$3,0,0,'Données projet'!$E$9+1,1))-AVERAGE(OFFSET($H$3,0,0,'Données projet'!$E$9+1,1))</f>
        <v>567.42635821336114</v>
      </c>
      <c r="T76" s="59">
        <f t="shared" si="88"/>
        <v>299.0473530693472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</v>
      </c>
      <c r="AI76" s="13">
        <f>IF('Données projet'!$A$62&gt;35,AI75+AH76-AQ75,IF(A76&lt;'Données projet'!$A$62,$AF$205^A76,IF(A76='Données projet'!$A$62,'Données projet'!$B$62,AI75+AH76-AQ75)))</f>
        <v>385</v>
      </c>
      <c r="AJ76" s="13">
        <f>AI76*VLOOKUP('Données projet'!$B$10,Paramètres!$A$1:$I$89,3,0)*VLOOKUP('Données projet'!$B$10,Paramètres!$A$1:$I$89,5,0)</f>
        <v>330.33000000000004</v>
      </c>
      <c r="AK76" s="13">
        <f t="shared" si="89"/>
        <v>77.498720610826084</v>
      </c>
      <c r="AL76" s="20">
        <f t="shared" si="58"/>
        <v>710.30168839718874</v>
      </c>
      <c r="AM76" s="59">
        <f t="shared" si="59"/>
        <v>978.08447259511058</v>
      </c>
      <c r="AN76" s="59">
        <f ca="1">AVERAGE(OFFSET($AM$3,0,0,'Données projet'!$E$10+1,1))-AVERAGE(OFFSET($H$3,0,0,'Données projet'!$E$10+1,1))</f>
        <v>569.97793593332699</v>
      </c>
      <c r="AO76" s="59">
        <f t="shared" si="90"/>
        <v>331.25104323342907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96.221042654571136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96.221042654571136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11.91333333333333</v>
      </c>
      <c r="BD76" s="12">
        <f>IF('Données projet'!$A$88&gt;35,BD75+BC76-BL75,IF(A76&lt;'Données projet'!$A$88,$BA$205^A76,IF(A76='Données projet'!$A$88,'Données projet'!$B$88,BD75+BC76-BL75)))</f>
        <v>337.97333333333341</v>
      </c>
      <c r="BE76" s="13">
        <f>BD76*VLOOKUP('Données projet'!$B$11,Paramètres!$A$1:$I$89,3,0)*VLOOKUP('Données projet'!$B$11,Paramètres!$A$1:$I$89,5,0)</f>
        <v>284.7087360000001</v>
      </c>
      <c r="BF76" s="13">
        <f t="shared" si="91"/>
        <v>67.961132259398013</v>
      </c>
      <c r="BG76" s="20">
        <f t="shared" si="61"/>
        <v>614.23335388511839</v>
      </c>
      <c r="BH76" s="59">
        <f t="shared" si="62"/>
        <v>882.01613808304023</v>
      </c>
      <c r="BI76" s="59">
        <f ca="1">AVERAGE(OFFSET($BH$3,0,0,'Données projet'!$E$11+1,1))-AVERAGE(OFFSET($H$3,0,0,'Données projet'!$E$11+1,1))</f>
        <v>458.88102603650725</v>
      </c>
      <c r="BJ76" s="59">
        <f t="shared" si="92"/>
        <v>277.79020316059552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99.07643775636997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99.07643775636997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267.91127999999981</v>
      </c>
      <c r="CA76" s="13">
        <f t="shared" si="93"/>
        <v>64.405790031310872</v>
      </c>
      <c r="CB76" s="20">
        <f t="shared" si="64"/>
        <v>578.78556363786606</v>
      </c>
      <c r="CC76" s="59">
        <f t="shared" si="65"/>
        <v>846.56834783578779</v>
      </c>
      <c r="CD76" s="59">
        <f ca="1">AVERAGE(OFFSET($CC$3,0,0,'Données projet'!$E$12+1,1))-AVERAGE(OFFSET($H$3,0,0,'Données projet'!$E$12+1,1))</f>
        <v>400.48995908576177</v>
      </c>
      <c r="CE76" s="59">
        <f t="shared" si="94"/>
        <v>384.86917865380076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42.653185849897469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42.653185849897469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277.99999999999994</v>
      </c>
      <c r="CU76" s="17">
        <f>CT76*VLOOKUP('Données projet'!$B$13,Paramètres!$A$1:$I$89,3,0)*VLOOKUP('Données projet'!$B$13,Paramètres!$A$1:$I$89,5,0)</f>
        <v>151.78799999999998</v>
      </c>
      <c r="CV76" s="13">
        <f t="shared" si="95"/>
        <v>38.984634390835623</v>
      </c>
      <c r="CW76" s="20">
        <f t="shared" si="67"/>
        <v>332.26233823070532</v>
      </c>
      <c r="CX76" s="59">
        <f t="shared" si="68"/>
        <v>600.04512242862711</v>
      </c>
      <c r="CY76" s="59">
        <f ca="1">AVERAGE(OFFSET($CX$3,0,0,'Données projet'!$E$13+1,1))-AVERAGE(OFFSET($H$3,0,0,'Données projet'!$E$13+1,1))</f>
        <v>215.37314197175104</v>
      </c>
      <c r="CZ76" s="59">
        <f t="shared" si="96"/>
        <v>361.17630426655978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15.663968576308207</v>
      </c>
      <c r="DG76" s="21">
        <f>EXP(-LN(2)/25)*DG75+(1-EXP(-LN(2)/25))/(LN(2)/25)*Calculateur!DB76*Calculateur!DD76*VLOOKUP('Données projet'!$B$13,Paramètres!$A$1:$I$89,3,0)*0.475*44/12</f>
        <v>29.153265500658904</v>
      </c>
      <c r="DH76" s="21">
        <f>EXP(-LN(2)/2)*DH75+(1-EXP(-LN(2)/2))/(LN(2)/2)*DB76*DE76*VLOOKUP('Données projet'!$B$13,Paramètres!$A$1:$I$89,3,0)*0.475*44/12</f>
        <v>8.549340392628079E-9</v>
      </c>
      <c r="DI76" s="22">
        <f t="shared" si="69"/>
        <v>44.817234085516453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329.65</v>
      </c>
      <c r="O77" s="13">
        <f>N77*VLOOKUP('Données projet'!$B$9,Paramètres!$A$1:$I$89,3,0)*VLOOKUP('Données projet'!$B$9,Paramètres!$A$1:$I$89,5,0)</f>
        <v>298.26731999999998</v>
      </c>
      <c r="P77" s="13">
        <f t="shared" si="87"/>
        <v>70.813104833271197</v>
      </c>
      <c r="Q77" s="20">
        <f t="shared" si="54"/>
        <v>642.81507325128075</v>
      </c>
      <c r="R77" s="59">
        <f t="shared" si="55"/>
        <v>911.04110235423161</v>
      </c>
      <c r="S77" s="59">
        <f ca="1">AVERAGE(OFFSET($R$3,0,0,'Données projet'!$E$9+1,1))-AVERAGE(OFFSET($H$3,0,0,'Données projet'!$E$9+1,1))</f>
        <v>567.42635821336114</v>
      </c>
      <c r="T77" s="59">
        <f t="shared" si="88"/>
        <v>299.0473530693472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</v>
      </c>
      <c r="AI77" s="13">
        <f>IF('Données projet'!$A$62&gt;35,AI76+AH77-AQ76,IF(A77&lt;'Données projet'!$A$62,$AF$205^A77,IF(A77='Données projet'!$A$62,'Données projet'!$B$62,AI76+AH77-AQ76)))</f>
        <v>396</v>
      </c>
      <c r="AJ77" s="13">
        <f>AI77*VLOOKUP('Données projet'!$B$10,Paramètres!$A$1:$I$89,3,0)*VLOOKUP('Données projet'!$B$10,Paramètres!$A$1:$I$89,5,0)</f>
        <v>339.76800000000003</v>
      </c>
      <c r="AK77" s="13">
        <f t="shared" si="89"/>
        <v>79.452011848891914</v>
      </c>
      <c r="AL77" s="20">
        <f t="shared" si="58"/>
        <v>730.14152063682013</v>
      </c>
      <c r="AM77" s="59">
        <f t="shared" si="59"/>
        <v>998.36754973977099</v>
      </c>
      <c r="AN77" s="59">
        <f ca="1">AVERAGE(OFFSET($AM$3,0,0,'Données projet'!$E$10+1,1))-AVERAGE(OFFSET($H$3,0,0,'Données projet'!$E$10+1,1))</f>
        <v>569.97793593332699</v>
      </c>
      <c r="AO77" s="59">
        <f t="shared" si="90"/>
        <v>331.25104323342907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94.334206697155949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94.334206697155949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11.91333333333333</v>
      </c>
      <c r="BD77" s="12">
        <f>IF('Données projet'!$A$88&gt;35,BD76+BC77-BL76,IF(A77&lt;'Données projet'!$A$88,$BA$205^A77,IF(A77='Données projet'!$A$88,'Données projet'!$B$88,BD76+BC77-BL76)))</f>
        <v>349.88666666666677</v>
      </c>
      <c r="BE77" s="13">
        <f>BD77*VLOOKUP('Données projet'!$B$11,Paramètres!$A$1:$I$89,3,0)*VLOOKUP('Données projet'!$B$11,Paramètres!$A$1:$I$89,5,0)</f>
        <v>294.74452800000012</v>
      </c>
      <c r="BF77" s="13">
        <f t="shared" si="91"/>
        <v>70.073583987292722</v>
      </c>
      <c r="BG77" s="20">
        <f t="shared" si="61"/>
        <v>635.39154504453484</v>
      </c>
      <c r="BH77" s="59">
        <f t="shared" si="62"/>
        <v>903.6175741474857</v>
      </c>
      <c r="BI77" s="59">
        <f ca="1">AVERAGE(OFFSET($BH$3,0,0,'Données projet'!$E$11+1,1))-AVERAGE(OFFSET($H$3,0,0,'Données projet'!$E$11+1,1))</f>
        <v>458.88102603650725</v>
      </c>
      <c r="BJ77" s="59">
        <f t="shared" si="92"/>
        <v>277.79020316059552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97.133609242627557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97.133609242627557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271.43063999999981</v>
      </c>
      <c r="CA77" s="13">
        <f t="shared" si="93"/>
        <v>65.152793756453633</v>
      </c>
      <c r="CB77" s="20">
        <f t="shared" si="64"/>
        <v>586.21614712582311</v>
      </c>
      <c r="CC77" s="59">
        <f t="shared" si="65"/>
        <v>854.44217622877397</v>
      </c>
      <c r="CD77" s="59">
        <f ca="1">AVERAGE(OFFSET($CC$3,0,0,'Données projet'!$E$12+1,1))-AVERAGE(OFFSET($H$3,0,0,'Données projet'!$E$12+1,1))</f>
        <v>400.48995908576177</v>
      </c>
      <c r="CE77" s="59">
        <f t="shared" si="94"/>
        <v>384.86917865380076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41.816782891255492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41.816782891255492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277.99999999999994</v>
      </c>
      <c r="CU77" s="17">
        <f>CT77*VLOOKUP('Données projet'!$B$13,Paramètres!$A$1:$I$89,3,0)*VLOOKUP('Données projet'!$B$13,Paramètres!$A$1:$I$89,5,0)</f>
        <v>151.78799999999998</v>
      </c>
      <c r="CV77" s="13">
        <f t="shared" si="95"/>
        <v>38.984634390835623</v>
      </c>
      <c r="CW77" s="20">
        <f t="shared" si="67"/>
        <v>332.26233823070532</v>
      </c>
      <c r="CX77" s="59">
        <f t="shared" si="68"/>
        <v>600.48836733365624</v>
      </c>
      <c r="CY77" s="59">
        <f ca="1">AVERAGE(OFFSET($CX$3,0,0,'Données projet'!$E$13+1,1))-AVERAGE(OFFSET($H$3,0,0,'Données projet'!$E$13+1,1))</f>
        <v>215.37314197175104</v>
      </c>
      <c r="CZ77" s="59">
        <f t="shared" si="96"/>
        <v>361.17630426655978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15.356807706604247</v>
      </c>
      <c r="DG77" s="21">
        <f>EXP(-LN(2)/25)*DG76+(1-EXP(-LN(2)/25))/(LN(2)/25)*Calculateur!DB77*Calculateur!DD77*VLOOKUP('Données projet'!$B$13,Paramètres!$A$1:$I$89,3,0)*0.475*44/12</f>
        <v>28.356067922439784</v>
      </c>
      <c r="DH77" s="21">
        <f>EXP(-LN(2)/2)*DH76+(1-EXP(-LN(2)/2))/(LN(2)/2)*DB77*DE77*VLOOKUP('Données projet'!$B$13,Paramètres!$A$1:$I$89,3,0)*0.475*44/12</f>
        <v>6.0452965662993755E-9</v>
      </c>
      <c r="DI77" s="22">
        <f t="shared" si="69"/>
        <v>43.712875635089333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340.65999999999997</v>
      </c>
      <c r="O78" s="13">
        <f>N78*VLOOKUP('Données projet'!$B$9,Paramètres!$A$1:$I$89,3,0)*VLOOKUP('Données projet'!$B$9,Paramètres!$A$1:$I$89,5,0)</f>
        <v>308.22916799999996</v>
      </c>
      <c r="P78" s="13">
        <f t="shared" si="87"/>
        <v>72.898886756758046</v>
      </c>
      <c r="Q78" s="20">
        <f t="shared" si="54"/>
        <v>663.79802870135347</v>
      </c>
      <c r="R78" s="59">
        <f t="shared" si="55"/>
        <v>932.45961340117833</v>
      </c>
      <c r="S78" s="59">
        <f ca="1">AVERAGE(OFFSET($R$3,0,0,'Données projet'!$E$9+1,1))-AVERAGE(OFFSET($H$3,0,0,'Données projet'!$E$9+1,1))</f>
        <v>567.42635821336114</v>
      </c>
      <c r="T78" s="59">
        <f t="shared" si="88"/>
        <v>299.0473530693472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407</v>
      </c>
      <c r="AG78" s="12">
        <f>VLOOKUP(A78,'Données projet'!$A$61:$I$81,9,0)</f>
        <v>11</v>
      </c>
      <c r="AH78" s="12">
        <f t="array" ref="AH78">INDEX(AG:AG,MIN(IF(ISNUMBER(AG78:AG274),ROW(AG78:AG274),"")))</f>
        <v>11</v>
      </c>
      <c r="AI78" s="13">
        <f>IF('Données projet'!$A$62&gt;35,AI77+AH78-AQ77,IF(A78&lt;'Données projet'!$A$62,$AF$205^A78,IF(A78='Données projet'!$A$62,'Données projet'!$B$62,AI77+AH78-AQ77)))</f>
        <v>407</v>
      </c>
      <c r="AJ78" s="13">
        <f>AI78*VLOOKUP('Données projet'!$B$10,Paramètres!$A$1:$I$89,3,0)*VLOOKUP('Données projet'!$B$10,Paramètres!$A$1:$I$89,5,0)</f>
        <v>349.20600000000007</v>
      </c>
      <c r="AK78" s="13">
        <f t="shared" si="89"/>
        <v>81.398996787610969</v>
      </c>
      <c r="AL78" s="20">
        <f t="shared" si="58"/>
        <v>749.97036940508917</v>
      </c>
      <c r="AM78" s="59">
        <f t="shared" si="59"/>
        <v>1018.631954104914</v>
      </c>
      <c r="AN78" s="59">
        <f ca="1">AVERAGE(OFFSET($AM$3,0,0,'Données projet'!$E$10+1,1))-AVERAGE(OFFSET($H$3,0,0,'Données projet'!$E$10+1,1))</f>
        <v>569.97793593332699</v>
      </c>
      <c r="AO78" s="59">
        <f t="shared" si="90"/>
        <v>331.25104323342907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35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110.07892645561786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110.07892645561786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11.91333333333333</v>
      </c>
      <c r="BD78" s="12">
        <f>IF('Données projet'!$A$88&gt;35,BD77+BC78-BL77,IF(A78&lt;'Données projet'!$A$88,$BA$205^A78,IF(A78='Données projet'!$A$88,'Données projet'!$B$88,BD77+BC78-BL77)))</f>
        <v>361.80000000000013</v>
      </c>
      <c r="BE78" s="13">
        <f>BD78*VLOOKUP('Données projet'!$B$11,Paramètres!$A$1:$I$89,3,0)*VLOOKUP('Données projet'!$B$11,Paramètres!$A$1:$I$89,5,0)</f>
        <v>304.78032000000013</v>
      </c>
      <c r="BF78" s="13">
        <f t="shared" si="91"/>
        <v>72.177678261219015</v>
      </c>
      <c r="BG78" s="20">
        <f t="shared" si="61"/>
        <v>656.53518030495661</v>
      </c>
      <c r="BH78" s="59">
        <f t="shared" si="62"/>
        <v>925.19676500478135</v>
      </c>
      <c r="BI78" s="59">
        <f ca="1">AVERAGE(OFFSET($BH$3,0,0,'Données projet'!$E$11+1,1))-AVERAGE(OFFSET($H$3,0,0,'Données projet'!$E$11+1,1))</f>
        <v>458.88102603650725</v>
      </c>
      <c r="BJ78" s="59">
        <f t="shared" si="92"/>
        <v>277.79020316059552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95.228878411031246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95.228878411031246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274.94999999999976</v>
      </c>
      <c r="CA78" s="13">
        <f t="shared" si="93"/>
        <v>65.898670891956897</v>
      </c>
      <c r="CB78" s="20">
        <f t="shared" si="64"/>
        <v>593.64476847015783</v>
      </c>
      <c r="CC78" s="59">
        <f t="shared" si="65"/>
        <v>862.30635316998269</v>
      </c>
      <c r="CD78" s="59">
        <f ca="1">AVERAGE(OFFSET($CC$3,0,0,'Données projet'!$E$12+1,1))-AVERAGE(OFFSET($H$3,0,0,'Données projet'!$E$12+1,1))</f>
        <v>400.48995908576177</v>
      </c>
      <c r="CE78" s="59">
        <f t="shared" si="94"/>
        <v>384.86917865380076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45.87617719576388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45.87617719576388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277.99999999999994</v>
      </c>
      <c r="CU78" s="17">
        <f>CT78*VLOOKUP('Données projet'!$B$13,Paramètres!$A$1:$I$89,3,0)*VLOOKUP('Données projet'!$B$13,Paramètres!$A$1:$I$89,5,0)</f>
        <v>151.78799999999998</v>
      </c>
      <c r="CV78" s="13">
        <f t="shared" si="95"/>
        <v>38.984634390835623</v>
      </c>
      <c r="CW78" s="20">
        <f t="shared" si="67"/>
        <v>332.26233823070532</v>
      </c>
      <c r="CX78" s="59">
        <f t="shared" si="68"/>
        <v>600.92392293053013</v>
      </c>
      <c r="CY78" s="59">
        <f ca="1">AVERAGE(OFFSET($CX$3,0,0,'Données projet'!$E$13+1,1))-AVERAGE(OFFSET($H$3,0,0,'Données projet'!$E$13+1,1))</f>
        <v>215.37314197175104</v>
      </c>
      <c r="CZ78" s="59">
        <f t="shared" si="96"/>
        <v>361.17630426655978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15.055670074205551</v>
      </c>
      <c r="DG78" s="21">
        <f>EXP(-LN(2)/25)*DG77+(1-EXP(-LN(2)/25))/(LN(2)/25)*Calculateur!DB78*Calculateur!DD78*VLOOKUP('Données projet'!$B$13,Paramètres!$A$1:$I$89,3,0)*0.475*44/12</f>
        <v>27.580669753919864</v>
      </c>
      <c r="DH78" s="21">
        <f>EXP(-LN(2)/2)*DH77+(1-EXP(-LN(2)/2))/(LN(2)/2)*DB78*DE78*VLOOKUP('Données projet'!$B$13,Paramètres!$A$1:$I$89,3,0)*0.475*44/12</f>
        <v>4.2746701963140395E-9</v>
      </c>
      <c r="DI78" s="22">
        <f t="shared" si="69"/>
        <v>42.636339832400083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351.66999999999996</v>
      </c>
      <c r="O79" s="13">
        <f>N79*VLOOKUP('Données projet'!$B$9,Paramètres!$A$1:$I$89,3,0)*VLOOKUP('Données projet'!$B$9,Paramètres!$A$1:$I$89,5,0)</f>
        <v>318.19101599999993</v>
      </c>
      <c r="P79" s="13">
        <f t="shared" si="87"/>
        <v>74.976835262469947</v>
      </c>
      <c r="Q79" s="20">
        <f t="shared" si="54"/>
        <v>684.76734094880157</v>
      </c>
      <c r="R79" s="59">
        <f t="shared" si="55"/>
        <v>953.85692532965095</v>
      </c>
      <c r="S79" s="59">
        <f ca="1">AVERAGE(OFFSET($R$3,0,0,'Données projet'!$E$9+1,1))-AVERAGE(OFFSET($H$3,0,0,'Données projet'!$E$9+1,1))</f>
        <v>567.42635821336114</v>
      </c>
      <c r="T79" s="59">
        <f t="shared" si="88"/>
        <v>299.0473530693472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</v>
      </c>
      <c r="AI79" s="13">
        <f>IF('Données projet'!$A$62&gt;35,AI78+AH79-AQ78,IF(A79&lt;'Données projet'!$A$62,$AF$205^A79,IF(A79='Données projet'!$A$62,'Données projet'!$B$62,AI78+AH79-AQ78)))</f>
        <v>382.4</v>
      </c>
      <c r="AJ79" s="13">
        <f>AI79*VLOOKUP('Données projet'!$B$10,Paramètres!$A$1:$I$89,3,0)*VLOOKUP('Données projet'!$B$10,Paramètres!$A$1:$I$89,5,0)</f>
        <v>328.0992</v>
      </c>
      <c r="AK79" s="13">
        <f t="shared" si="89"/>
        <v>77.036090442258086</v>
      </c>
      <c r="AL79" s="20">
        <f t="shared" si="58"/>
        <v>705.61063085359956</v>
      </c>
      <c r="AM79" s="59">
        <f t="shared" si="59"/>
        <v>974.70021523444893</v>
      </c>
      <c r="AN79" s="59">
        <f ca="1">AVERAGE(OFFSET($AM$3,0,0,'Données projet'!$E$10+1,1))-AVERAGE(OFFSET($H$3,0,0,'Données projet'!$E$10+1,1))</f>
        <v>569.97793593332699</v>
      </c>
      <c r="AO79" s="59">
        <f t="shared" si="90"/>
        <v>331.25104323342907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107.92034584933866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107.92034584933866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11.91333333333333</v>
      </c>
      <c r="BD79" s="12">
        <f>IF('Données projet'!$A$88&gt;35,BD78+BC79-BL78,IF(A79&lt;'Données projet'!$A$88,$BA$205^A79,IF(A79='Données projet'!$A$88,'Données projet'!$B$88,BD78+BC79-BL78)))</f>
        <v>373.71333333333348</v>
      </c>
      <c r="BE79" s="13">
        <f>BD79*VLOOKUP('Données projet'!$B$11,Paramètres!$A$1:$I$89,3,0)*VLOOKUP('Données projet'!$B$11,Paramètres!$A$1:$I$89,5,0)</f>
        <v>314.81611200000015</v>
      </c>
      <c r="BF79" s="13">
        <f t="shared" si="91"/>
        <v>74.273721832141533</v>
      </c>
      <c r="BG79" s="20">
        <f t="shared" si="61"/>
        <v>677.66479392431336</v>
      </c>
      <c r="BH79" s="59">
        <f t="shared" si="62"/>
        <v>946.75437830516285</v>
      </c>
      <c r="BI79" s="59">
        <f ca="1">AVERAGE(OFFSET($BH$3,0,0,'Données projet'!$E$11+1,1))-AVERAGE(OFFSET($H$3,0,0,'Données projet'!$E$11+1,1))</f>
        <v>458.88102603650725</v>
      </c>
      <c r="BJ79" s="59">
        <f t="shared" si="92"/>
        <v>277.79020316059552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93.361498189271444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93.361498189271444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267.61799999999982</v>
      </c>
      <c r="CA79" s="13">
        <f t="shared" si="93"/>
        <v>64.343488352847658</v>
      </c>
      <c r="CB79" s="20">
        <f t="shared" si="64"/>
        <v>578.16625888120927</v>
      </c>
      <c r="CC79" s="59">
        <f t="shared" si="65"/>
        <v>847.25584326205876</v>
      </c>
      <c r="CD79" s="59">
        <f ca="1">AVERAGE(OFFSET($CC$3,0,0,'Données projet'!$E$12+1,1))-AVERAGE(OFFSET($H$3,0,0,'Données projet'!$E$12+1,1))</f>
        <v>400.48995908576177</v>
      </c>
      <c r="CE79" s="59">
        <f t="shared" si="94"/>
        <v>384.86917865380076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44.976573342660075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44.976573342660075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277.99999999999994</v>
      </c>
      <c r="CU79" s="17">
        <f>CT79*VLOOKUP('Données projet'!$B$13,Paramètres!$A$1:$I$89,3,0)*VLOOKUP('Données projet'!$B$13,Paramètres!$A$1:$I$89,5,0)</f>
        <v>151.78799999999998</v>
      </c>
      <c r="CV79" s="13">
        <f t="shared" si="95"/>
        <v>38.984634390835623</v>
      </c>
      <c r="CW79" s="20">
        <f t="shared" si="67"/>
        <v>332.26233823070532</v>
      </c>
      <c r="CX79" s="59">
        <f t="shared" si="68"/>
        <v>601.35192261155476</v>
      </c>
      <c r="CY79" s="59">
        <f ca="1">AVERAGE(OFFSET($CX$3,0,0,'Données projet'!$E$13+1,1))-AVERAGE(OFFSET($H$3,0,0,'Données projet'!$E$13+1,1))</f>
        <v>215.37314197175104</v>
      </c>
      <c r="CZ79" s="59">
        <f t="shared" si="96"/>
        <v>361.17630426655978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14.760437567102375</v>
      </c>
      <c r="DG79" s="21">
        <f>EXP(-LN(2)/25)*DG78+(1-EXP(-LN(2)/25))/(LN(2)/25)*Calculateur!DB79*Calculateur!DD79*VLOOKUP('Données projet'!$B$13,Paramètres!$A$1:$I$89,3,0)*0.475*44/12</f>
        <v>26.826474889094538</v>
      </c>
      <c r="DH79" s="21">
        <f>EXP(-LN(2)/2)*DH78+(1-EXP(-LN(2)/2))/(LN(2)/2)*DB79*DE79*VLOOKUP('Données projet'!$B$13,Paramètres!$A$1:$I$89,3,0)*0.475*44/12</f>
        <v>3.0226482831496878E-9</v>
      </c>
      <c r="DI79" s="22">
        <f t="shared" si="69"/>
        <v>41.586912459219562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362.67999999999995</v>
      </c>
      <c r="O80" s="13">
        <f>N80*VLOOKUP('Données projet'!$B$9,Paramètres!$A$1:$I$89,3,0)*VLOOKUP('Données projet'!$B$9,Paramètres!$A$1:$I$89,5,0)</f>
        <v>328.15286399999997</v>
      </c>
      <c r="P80" s="13">
        <f t="shared" si="87"/>
        <v>77.047223736242103</v>
      </c>
      <c r="Q80" s="20">
        <f t="shared" si="54"/>
        <v>705.7234861406215</v>
      </c>
      <c r="R80" s="59">
        <f t="shared" si="55"/>
        <v>975.23364536489385</v>
      </c>
      <c r="S80" s="59">
        <f ca="1">AVERAGE(OFFSET($R$3,0,0,'Données projet'!$E$9+1,1))-AVERAGE(OFFSET($H$3,0,0,'Données projet'!$E$9+1,1))</f>
        <v>567.42635821336114</v>
      </c>
      <c r="T80" s="59">
        <f t="shared" si="88"/>
        <v>299.0473530693472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</v>
      </c>
      <c r="AI80" s="13">
        <f>IF('Données projet'!$A$62&gt;35,AI79+AH80-AQ79,IF(A80&lt;'Données projet'!$A$62,$AF$205^A80,IF(A80='Données projet'!$A$62,'Données projet'!$B$62,AI79+AH80-AQ79)))</f>
        <v>392.79999999999995</v>
      </c>
      <c r="AJ80" s="13">
        <f>AI80*VLOOKUP('Données projet'!$B$10,Paramètres!$A$1:$I$89,3,0)*VLOOKUP('Données projet'!$B$10,Paramètres!$A$1:$I$89,5,0)</f>
        <v>337.0224</v>
      </c>
      <c r="AK80" s="13">
        <f t="shared" si="89"/>
        <v>78.884440823098231</v>
      </c>
      <c r="AL80" s="20">
        <f t="shared" si="58"/>
        <v>724.37108110022939</v>
      </c>
      <c r="AM80" s="59">
        <f t="shared" si="59"/>
        <v>993.88124032450173</v>
      </c>
      <c r="AN80" s="59">
        <f ca="1">AVERAGE(OFFSET($AM$3,0,0,'Données projet'!$E$10+1,1))-AVERAGE(OFFSET($H$3,0,0,'Données projet'!$E$10+1,1))</f>
        <v>569.97793593332699</v>
      </c>
      <c r="AO80" s="59">
        <f t="shared" si="90"/>
        <v>331.25104323342907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105.80409369214442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105.80409369214442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11.91333333333333</v>
      </c>
      <c r="BD80" s="12">
        <f>IF('Données projet'!$A$88&gt;35,BD79+BC80-BL79,IF(A80&lt;'Données projet'!$A$88,$BA$205^A80,IF(A80='Données projet'!$A$88,'Données projet'!$B$88,BD79+BC80-BL79)))</f>
        <v>385.62666666666684</v>
      </c>
      <c r="BE80" s="13">
        <f>BD80*VLOOKUP('Données projet'!$B$11,Paramètres!$A$1:$I$89,3,0)*VLOOKUP('Données projet'!$B$11,Paramètres!$A$1:$I$89,5,0)</f>
        <v>324.85190400000016</v>
      </c>
      <c r="BF80" s="13">
        <f t="shared" si="91"/>
        <v>76.362000783128849</v>
      </c>
      <c r="BG80" s="20">
        <f t="shared" si="61"/>
        <v>698.78088416394974</v>
      </c>
      <c r="BH80" s="59">
        <f t="shared" si="62"/>
        <v>968.29104338822208</v>
      </c>
      <c r="BI80" s="59">
        <f ca="1">AVERAGE(OFFSET($BH$3,0,0,'Données projet'!$E$11+1,1))-AVERAGE(OFFSET($H$3,0,0,'Données projet'!$E$11+1,1))</f>
        <v>458.88102603650725</v>
      </c>
      <c r="BJ80" s="59">
        <f t="shared" si="92"/>
        <v>277.79020316059552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91.53073615467089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91.53073615467089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270.55079999999981</v>
      </c>
      <c r="CA80" s="13">
        <f t="shared" si="93"/>
        <v>64.966149081071777</v>
      </c>
      <c r="CB80" s="20">
        <f t="shared" si="64"/>
        <v>584.35868631619962</v>
      </c>
      <c r="CC80" s="59">
        <f t="shared" si="65"/>
        <v>853.86884554047197</v>
      </c>
      <c r="CD80" s="59">
        <f ca="1">AVERAGE(OFFSET($CC$3,0,0,'Données projet'!$E$12+1,1))-AVERAGE(OFFSET($H$3,0,0,'Données projet'!$E$12+1,1))</f>
        <v>400.48995908576177</v>
      </c>
      <c r="CE80" s="59">
        <f t="shared" si="94"/>
        <v>384.86917865380076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44.094610172411464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44.094610172411464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277.99999999999994</v>
      </c>
      <c r="CU80" s="17">
        <f>CT80*VLOOKUP('Données projet'!$B$13,Paramètres!$A$1:$I$89,3,0)*VLOOKUP('Données projet'!$B$13,Paramètres!$A$1:$I$89,5,0)</f>
        <v>151.78799999999998</v>
      </c>
      <c r="CV80" s="13">
        <f t="shared" si="95"/>
        <v>38.984634390835623</v>
      </c>
      <c r="CW80" s="20">
        <f t="shared" si="67"/>
        <v>332.26233823070532</v>
      </c>
      <c r="CX80" s="59">
        <f t="shared" si="68"/>
        <v>601.77249745497761</v>
      </c>
      <c r="CY80" s="59">
        <f ca="1">AVERAGE(OFFSET($CX$3,0,0,'Données projet'!$E$13+1,1))-AVERAGE(OFFSET($H$3,0,0,'Données projet'!$E$13+1,1))</f>
        <v>215.37314197175104</v>
      </c>
      <c r="CZ80" s="59">
        <f t="shared" si="96"/>
        <v>361.17630426655978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14.470994389389443</v>
      </c>
      <c r="DG80" s="21">
        <f>EXP(-LN(2)/25)*DG79+(1-EXP(-LN(2)/25))/(LN(2)/25)*Calculateur!DB80*Calculateur!DD80*VLOOKUP('Données projet'!$B$13,Paramètres!$A$1:$I$89,3,0)*0.475*44/12</f>
        <v>26.092903522509246</v>
      </c>
      <c r="DH80" s="21">
        <f>EXP(-LN(2)/2)*DH79+(1-EXP(-LN(2)/2))/(LN(2)/2)*DB80*DE80*VLOOKUP('Données projet'!$B$13,Paramètres!$A$1:$I$89,3,0)*0.475*44/12</f>
        <v>2.1373350981570198E-9</v>
      </c>
      <c r="DI80" s="22">
        <f t="shared" si="69"/>
        <v>40.563897914036026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373.68999999999994</v>
      </c>
      <c r="O81" s="13">
        <f>N81*VLOOKUP('Données projet'!$B$9,Paramètres!$A$1:$I$89,3,0)*VLOOKUP('Données projet'!$B$9,Paramètres!$A$1:$I$89,5,0)</f>
        <v>338.11471199999994</v>
      </c>
      <c r="P81" s="13">
        <f t="shared" si="87"/>
        <v>79.110308022170997</v>
      </c>
      <c r="Q81" s="20">
        <f t="shared" si="54"/>
        <v>726.66690987194772</v>
      </c>
      <c r="R81" s="59">
        <f t="shared" si="55"/>
        <v>996.59034790637395</v>
      </c>
      <c r="S81" s="59">
        <f ca="1">AVERAGE(OFFSET($R$3,0,0,'Données projet'!$E$9+1,1))-AVERAGE(OFFSET($H$3,0,0,'Données projet'!$E$9+1,1))</f>
        <v>567.42635821336114</v>
      </c>
      <c r="T81" s="59">
        <f t="shared" si="88"/>
        <v>299.0473530693472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</v>
      </c>
      <c r="AI81" s="13">
        <f>IF('Données projet'!$A$62&gt;35,AI80+AH81-AQ80,IF(A81&lt;'Données projet'!$A$62,$AF$205^A81,IF(A81='Données projet'!$A$62,'Données projet'!$B$62,AI80+AH81-AQ80)))</f>
        <v>403.19999999999993</v>
      </c>
      <c r="AJ81" s="13">
        <f>AI81*VLOOKUP('Données projet'!$B$10,Paramètres!$A$1:$I$89,3,0)*VLOOKUP('Données projet'!$B$10,Paramètres!$A$1:$I$89,5,0)</f>
        <v>345.94560000000001</v>
      </c>
      <c r="AK81" s="13">
        <f t="shared" si="89"/>
        <v>80.727102887907222</v>
      </c>
      <c r="AL81" s="20">
        <f t="shared" si="58"/>
        <v>743.12162419643846</v>
      </c>
      <c r="AM81" s="59">
        <f t="shared" si="59"/>
        <v>1013.0450622308647</v>
      </c>
      <c r="AN81" s="59">
        <f ca="1">AVERAGE(OFFSET($AM$3,0,0,'Données projet'!$E$10+1,1))-AVERAGE(OFFSET($H$3,0,0,'Données projet'!$E$10+1,1))</f>
        <v>569.97793593332699</v>
      </c>
      <c r="AO81" s="59">
        <f t="shared" si="90"/>
        <v>331.25104323342907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103.7293399489664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103.7293399489664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11.91333333333333</v>
      </c>
      <c r="BD81" s="12">
        <f>IF('Données projet'!$A$88&gt;35,BD80+BC81-BL80,IF(A81&lt;'Données projet'!$A$88,$BA$205^A81,IF(A81='Données projet'!$A$88,'Données projet'!$B$88,BD80+BC81-BL80)))</f>
        <v>397.54000000000019</v>
      </c>
      <c r="BE81" s="13">
        <f>BD81*VLOOKUP('Données projet'!$B$11,Paramètres!$A$1:$I$89,3,0)*VLOOKUP('Données projet'!$B$11,Paramètres!$A$1:$I$89,5,0)</f>
        <v>334.88769600000023</v>
      </c>
      <c r="BF81" s="13">
        <f t="shared" si="91"/>
        <v>78.442782516895477</v>
      </c>
      <c r="BG81" s="20">
        <f t="shared" si="61"/>
        <v>719.88391675026003</v>
      </c>
      <c r="BH81" s="59">
        <f t="shared" si="62"/>
        <v>989.80735478468625</v>
      </c>
      <c r="BI81" s="59">
        <f ca="1">AVERAGE(OFFSET($BH$3,0,0,'Données projet'!$E$11+1,1))-AVERAGE(OFFSET($H$3,0,0,'Données projet'!$E$11+1,1))</f>
        <v>458.88102603650725</v>
      </c>
      <c r="BJ81" s="59">
        <f t="shared" si="92"/>
        <v>277.79020316059552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89.735874246914264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89.735874246914264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273.4835999999998</v>
      </c>
      <c r="CA81" s="13">
        <f t="shared" si="93"/>
        <v>65.588024622277445</v>
      </c>
      <c r="CB81" s="20">
        <f t="shared" si="64"/>
        <v>590.54974621713279</v>
      </c>
      <c r="CC81" s="59">
        <f t="shared" si="65"/>
        <v>860.47318425155902</v>
      </c>
      <c r="CD81" s="59">
        <f ca="1">AVERAGE(OFFSET($CC$3,0,0,'Données projet'!$E$12+1,1))-AVERAGE(OFFSET($H$3,0,0,'Données projet'!$E$12+1,1))</f>
        <v>400.48995908576177</v>
      </c>
      <c r="CE81" s="59">
        <f t="shared" si="94"/>
        <v>384.86917865380076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43.229941761987014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43.229941761987014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277.99999999999994</v>
      </c>
      <c r="CU81" s="17">
        <f>CT81*VLOOKUP('Données projet'!$B$13,Paramètres!$A$1:$I$89,3,0)*VLOOKUP('Données projet'!$B$13,Paramètres!$A$1:$I$89,5,0)</f>
        <v>151.78799999999998</v>
      </c>
      <c r="CV81" s="13">
        <f t="shared" si="95"/>
        <v>38.984634390835623</v>
      </c>
      <c r="CW81" s="20">
        <f t="shared" si="67"/>
        <v>332.26233823070532</v>
      </c>
      <c r="CX81" s="59">
        <f t="shared" si="68"/>
        <v>602.18577626513161</v>
      </c>
      <c r="CY81" s="59">
        <f ca="1">AVERAGE(OFFSET($CX$3,0,0,'Données projet'!$E$13+1,1))-AVERAGE(OFFSET($H$3,0,0,'Données projet'!$E$13+1,1))</f>
        <v>215.37314197175104</v>
      </c>
      <c r="CZ81" s="59">
        <f t="shared" si="96"/>
        <v>361.17630426655978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14.187227015848555</v>
      </c>
      <c r="DG81" s="21">
        <f>EXP(-LN(2)/25)*DG80+(1-EXP(-LN(2)/25))/(LN(2)/25)*Calculateur!DB81*Calculateur!DD81*VLOOKUP('Données projet'!$B$13,Paramètres!$A$1:$I$89,3,0)*0.475*44/12</f>
        <v>25.379391703520071</v>
      </c>
      <c r="DH81" s="21">
        <f>EXP(-LN(2)/2)*DH80+(1-EXP(-LN(2)/2))/(LN(2)/2)*DB81*DE81*VLOOKUP('Données projet'!$B$13,Paramètres!$A$1:$I$89,3,0)*0.475*44/12</f>
        <v>1.5113241415748439E-9</v>
      </c>
      <c r="DI81" s="22">
        <f t="shared" si="69"/>
        <v>39.566618720879951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384.69999999999993</v>
      </c>
      <c r="O82" s="13">
        <f>N82*VLOOKUP('Données projet'!$B$9,Paramètres!$A$1:$I$89,3,0)*VLOOKUP('Données projet'!$B$9,Paramètres!$A$1:$I$89,5,0)</f>
        <v>348.07655999999992</v>
      </c>
      <c r="P82" s="13">
        <f t="shared" si="87"/>
        <v>81.166328031452807</v>
      </c>
      <c r="Q82" s="20">
        <f t="shared" si="54"/>
        <v>747.59802998811347</v>
      </c>
      <c r="R82" s="59">
        <f t="shared" si="55"/>
        <v>1017.9275773692905</v>
      </c>
      <c r="S82" s="59">
        <f ca="1">AVERAGE(OFFSET($R$3,0,0,'Données projet'!$E$9+1,1))-AVERAGE(OFFSET($H$3,0,0,'Données projet'!$E$9+1,1))</f>
        <v>567.42635821336114</v>
      </c>
      <c r="T82" s="59">
        <f t="shared" si="88"/>
        <v>299.0473530693472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</v>
      </c>
      <c r="AI82" s="13">
        <f>IF('Données projet'!$A$62&gt;35,AI81+AH82-AQ81,IF(A82&lt;'Données projet'!$A$62,$AF$205^A82,IF(A82='Données projet'!$A$62,'Données projet'!$B$62,AI81+AH82-AQ81)))</f>
        <v>413.59999999999991</v>
      </c>
      <c r="AJ82" s="13">
        <f>AI82*VLOOKUP('Données projet'!$B$10,Paramètres!$A$1:$I$89,3,0)*VLOOKUP('Données projet'!$B$10,Paramètres!$A$1:$I$89,5,0)</f>
        <v>354.86879999999996</v>
      </c>
      <c r="AK82" s="13">
        <f t="shared" si="89"/>
        <v>82.564240228675203</v>
      </c>
      <c r="AL82" s="20">
        <f t="shared" si="58"/>
        <v>761.86254506494254</v>
      </c>
      <c r="AM82" s="59">
        <f t="shared" si="59"/>
        <v>1032.1920924461194</v>
      </c>
      <c r="AN82" s="59">
        <f ca="1">AVERAGE(OFFSET($AM$3,0,0,'Données projet'!$E$10+1,1))-AVERAGE(OFFSET($H$3,0,0,'Données projet'!$E$10+1,1))</f>
        <v>569.97793593332699</v>
      </c>
      <c r="AO82" s="59">
        <f t="shared" si="90"/>
        <v>331.25104323342907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101.69527086121728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101.69527086121728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11.91333333333333</v>
      </c>
      <c r="BD82" s="12">
        <f>IF('Données projet'!$A$88&gt;35,BD81+BC82-BL81,IF(A82&lt;'Données projet'!$A$88,$BA$205^A82,IF(A82='Données projet'!$A$88,'Données projet'!$B$88,BD81+BC82-BL81)))</f>
        <v>409.45333333333355</v>
      </c>
      <c r="BE82" s="13">
        <f>BD82*VLOOKUP('Données projet'!$B$11,Paramètres!$A$1:$I$89,3,0)*VLOOKUP('Données projet'!$B$11,Paramètres!$A$1:$I$89,5,0)</f>
        <v>344.92348800000019</v>
      </c>
      <c r="BF82" s="13">
        <f t="shared" si="91"/>
        <v>80.516317498402756</v>
      </c>
      <c r="BG82" s="20">
        <f t="shared" si="61"/>
        <v>740.97432790971845</v>
      </c>
      <c r="BH82" s="59">
        <f t="shared" si="62"/>
        <v>1011.3038752908953</v>
      </c>
      <c r="BI82" s="59">
        <f ca="1">AVERAGE(OFFSET($BH$3,0,0,'Données projet'!$E$11+1,1))-AVERAGE(OFFSET($H$3,0,0,'Données projet'!$E$11+1,1))</f>
        <v>458.88102603650725</v>
      </c>
      <c r="BJ82" s="59">
        <f t="shared" si="92"/>
        <v>277.79020316059552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87.976208486411082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87.976208486411082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276.41639999999978</v>
      </c>
      <c r="CA82" s="13">
        <f t="shared" si="93"/>
        <v>66.209124371313351</v>
      </c>
      <c r="CB82" s="20">
        <f t="shared" si="64"/>
        <v>596.73945494670363</v>
      </c>
      <c r="CC82" s="59">
        <f t="shared" si="65"/>
        <v>867.06900232788053</v>
      </c>
      <c r="CD82" s="59">
        <f ca="1">AVERAGE(OFFSET($CC$3,0,0,'Données projet'!$E$12+1,1))-AVERAGE(OFFSET($H$3,0,0,'Données projet'!$E$12+1,1))</f>
        <v>400.48995908576177</v>
      </c>
      <c r="CE82" s="59">
        <f t="shared" si="94"/>
        <v>384.86917865380076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42.382228971695334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42.382228971695334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277.99999999999994</v>
      </c>
      <c r="CU82" s="17">
        <f>CT82*VLOOKUP('Données projet'!$B$13,Paramètres!$A$1:$I$89,3,0)*VLOOKUP('Données projet'!$B$13,Paramètres!$A$1:$I$89,5,0)</f>
        <v>151.78799999999998</v>
      </c>
      <c r="CV82" s="13">
        <f t="shared" si="95"/>
        <v>38.984634390835623</v>
      </c>
      <c r="CW82" s="20">
        <f t="shared" si="67"/>
        <v>332.26233823070532</v>
      </c>
      <c r="CX82" s="59">
        <f t="shared" si="68"/>
        <v>602.59188561188228</v>
      </c>
      <c r="CY82" s="59">
        <f ca="1">AVERAGE(OFFSET($CX$3,0,0,'Données projet'!$E$13+1,1))-AVERAGE(OFFSET($H$3,0,0,'Données projet'!$E$13+1,1))</f>
        <v>215.37314197175104</v>
      </c>
      <c r="CZ82" s="59">
        <f t="shared" si="96"/>
        <v>361.17630426655978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13.909024147421796</v>
      </c>
      <c r="DG82" s="21">
        <f>EXP(-LN(2)/25)*DG81+(1-EXP(-LN(2)/25))/(LN(2)/25)*Calculateur!DB82*Calculateur!DD82*VLOOKUP('Données projet'!$B$13,Paramètres!$A$1:$I$89,3,0)*0.475*44/12</f>
        <v>24.685390902743109</v>
      </c>
      <c r="DH82" s="21">
        <f>EXP(-LN(2)/2)*DH81+(1-EXP(-LN(2)/2))/(LN(2)/2)*DB82*DE82*VLOOKUP('Données projet'!$B$13,Paramètres!$A$1:$I$89,3,0)*0.475*44/12</f>
        <v>1.0686675490785099E-9</v>
      </c>
      <c r="DI82" s="22">
        <f t="shared" si="69"/>
        <v>38.594415051233575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395.70999999999992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1039.2458506956052</v>
      </c>
      <c r="S83" s="59">
        <f ca="1">AVERAGE(OFFSET($R$3,0,0,'Données projet'!$E$9+1,1))-AVERAGE(OFFSET($H$3,0,0,'Données projet'!$E$9+1,1))</f>
        <v>567.42635821336114</v>
      </c>
      <c r="T83" s="59">
        <f t="shared" si="88"/>
        <v>299.0473530693472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424</v>
      </c>
      <c r="AG83" s="12">
        <f>VLOOKUP(A83,'Données projet'!$A$61:$I$81,9,0)</f>
        <v>10.4</v>
      </c>
      <c r="AH83" s="12">
        <f t="array" ref="AH83">INDEX(AG:AG,MIN(IF(ISNUMBER(AG83:AG279),ROW(AG83:AG279),"")))</f>
        <v>10.4</v>
      </c>
      <c r="AI83" s="13">
        <f>IF('Données projet'!$A$62&gt;35,AI82+AH83-AQ82,IF(A83&lt;'Données projet'!$A$62,$AF$205^A83,IF(A83='Données projet'!$A$62,'Données projet'!$B$62,AI82+AH83-AQ82)))</f>
        <v>423.99999999999989</v>
      </c>
      <c r="AJ83" s="13">
        <f>AI83*VLOOKUP('Données projet'!$B$10,Paramètres!$A$1:$I$89,3,0)*VLOOKUP('Données projet'!$B$10,Paramètres!$A$1:$I$89,5,0)</f>
        <v>363.79199999999997</v>
      </c>
      <c r="AK83" s="13">
        <f t="shared" si="89"/>
        <v>84.396007741478684</v>
      </c>
      <c r="AL83" s="20">
        <f t="shared" si="58"/>
        <v>780.59411348307538</v>
      </c>
      <c r="AM83" s="59">
        <f t="shared" si="59"/>
        <v>1051.3227251217616</v>
      </c>
      <c r="AN83" s="59">
        <f ca="1">AVERAGE(OFFSET($AM$3,0,0,'Données projet'!$E$10+1,1))-AVERAGE(OFFSET($H$3,0,0,'Données projet'!$E$10+1,1))</f>
        <v>569.97793593332699</v>
      </c>
      <c r="AO83" s="59">
        <f t="shared" si="90"/>
        <v>331.25104323342907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34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116.79294304083895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116.79294304083895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11.91333333333333</v>
      </c>
      <c r="BD83" s="12">
        <f>IF('Données projet'!$A$88&gt;35,BD82+BC83-BL82,IF(A83&lt;'Données projet'!$A$88,$BA$205^A83,IF(A83='Données projet'!$A$88,'Données projet'!$B$88,BD82+BC83-BL82)))</f>
        <v>421.3666666666669</v>
      </c>
      <c r="BE83" s="13">
        <f>BD83*VLOOKUP('Données projet'!$B$11,Paramètres!$A$1:$I$89,3,0)*VLOOKUP('Données projet'!$B$11,Paramètres!$A$1:$I$89,5,0)</f>
        <v>354.95928000000026</v>
      </c>
      <c r="BF83" s="13">
        <f t="shared" si="91"/>
        <v>82.582840788951401</v>
      </c>
      <c r="BG83" s="20">
        <f t="shared" si="61"/>
        <v>762.05252704075747</v>
      </c>
      <c r="BH83" s="59">
        <f t="shared" si="62"/>
        <v>1032.7811386794435</v>
      </c>
      <c r="BI83" s="59">
        <f ca="1">AVERAGE(OFFSET($BH$3,0,0,'Données projet'!$E$11+1,1))-AVERAGE(OFFSET($H$3,0,0,'Données projet'!$E$11+1,1))</f>
        <v>458.88102603650725</v>
      </c>
      <c r="BJ83" s="59">
        <f t="shared" si="92"/>
        <v>277.79020316059552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86.251048698181236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86.251048698181236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279.34919999999977</v>
      </c>
      <c r="CA83" s="13">
        <f t="shared" si="93"/>
        <v>66.829457512184078</v>
      </c>
      <c r="CB83" s="20">
        <f t="shared" si="64"/>
        <v>602.92782850038679</v>
      </c>
      <c r="CC83" s="59">
        <f t="shared" si="65"/>
        <v>873.65644013907286</v>
      </c>
      <c r="CD83" s="59">
        <f ca="1">AVERAGE(OFFSET($CC$3,0,0,'Données projet'!$E$12+1,1))-AVERAGE(OFFSET($H$3,0,0,'Données projet'!$E$12+1,1))</f>
        <v>400.48995908576177</v>
      </c>
      <c r="CE83" s="59">
        <f t="shared" si="94"/>
        <v>384.86917865380076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46.082006944076724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46.082006944076724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277.99999999999994</v>
      </c>
      <c r="CU83" s="17">
        <f>CT83*VLOOKUP('Données projet'!$B$13,Paramètres!$A$1:$I$89,3,0)*VLOOKUP('Données projet'!$B$13,Paramètres!$A$1:$I$89,5,0)</f>
        <v>151.78799999999998</v>
      </c>
      <c r="CV83" s="13">
        <f t="shared" si="95"/>
        <v>38.984634390835623</v>
      </c>
      <c r="CW83" s="20">
        <f t="shared" si="67"/>
        <v>332.26233823070532</v>
      </c>
      <c r="CX83" s="59">
        <f t="shared" si="68"/>
        <v>602.99094986939144</v>
      </c>
      <c r="CY83" s="59">
        <f ca="1">AVERAGE(OFFSET($CX$3,0,0,'Données projet'!$E$13+1,1))-AVERAGE(OFFSET($H$3,0,0,'Données projet'!$E$13+1,1))</f>
        <v>215.37314197175104</v>
      </c>
      <c r="CZ83" s="59">
        <f t="shared" si="96"/>
        <v>361.17630426655978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13.636276667557892</v>
      </c>
      <c r="DG83" s="21">
        <f>EXP(-LN(2)/25)*DG82+(1-EXP(-LN(2)/25))/(LN(2)/25)*Calculateur!DB83*Calculateur!DD83*VLOOKUP('Données projet'!$B$13,Paramètres!$A$1:$I$89,3,0)*0.475*44/12</f>
        <v>24.010367590359309</v>
      </c>
      <c r="DH83" s="21">
        <f>EXP(-LN(2)/2)*DH82+(1-EXP(-LN(2)/2))/(LN(2)/2)*DB83*DE83*VLOOKUP('Données projet'!$B$13,Paramètres!$A$1:$I$89,3,0)*0.475*44/12</f>
        <v>7.5566207078742194E-10</v>
      </c>
      <c r="DI83" s="22">
        <f t="shared" si="69"/>
        <v>37.646644258672865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346.54999999999995</v>
      </c>
      <c r="O84" s="13">
        <f>N84*VLOOKUP('Données projet'!$B$9,Paramètres!$A$1:$I$89,3,0)*VLOOKUP('Données projet'!$B$9,Paramètres!$A$1:$I$89,5,0)</f>
        <v>313.55843999999996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946.13836318611493</v>
      </c>
      <c r="S84" s="59">
        <f ca="1">AVERAGE(OFFSET($R$3,0,0,'Données projet'!$E$9+1,1))-AVERAGE(OFFSET($H$3,0,0,'Données projet'!$E$9+1,1))</f>
        <v>567.42635821336114</v>
      </c>
      <c r="T84" s="59">
        <f t="shared" si="88"/>
        <v>299.0473530693472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9.6</v>
      </c>
      <c r="AI84" s="13">
        <f>IF('Données projet'!$A$62&gt;35,AI83+AH84-AQ83,IF(A84&lt;'Données projet'!$A$62,$AF$205^A84,IF(A84='Données projet'!$A$62,'Données projet'!$B$62,AI83+AH84-AQ83)))</f>
        <v>399.59999999999991</v>
      </c>
      <c r="AJ84" s="13">
        <f>AI84*VLOOKUP('Données projet'!$B$10,Paramètres!$A$1:$I$89,3,0)*VLOOKUP('Données projet'!$B$10,Paramètres!$A$1:$I$89,5,0)</f>
        <v>342.85679999999996</v>
      </c>
      <c r="AK84" s="13">
        <f t="shared" si="89"/>
        <v>80.089891653777826</v>
      </c>
      <c r="AL84" s="20">
        <f t="shared" si="58"/>
        <v>736.63215463032964</v>
      </c>
      <c r="AM84" s="59">
        <f t="shared" si="59"/>
        <v>1007.752907653831</v>
      </c>
      <c r="AN84" s="59">
        <f ca="1">AVERAGE(OFFSET($AM$3,0,0,'Données projet'!$E$10+1,1))-AVERAGE(OFFSET($H$3,0,0,'Données projet'!$E$10+1,1))</f>
        <v>569.97793593332699</v>
      </c>
      <c r="AO84" s="59">
        <f t="shared" si="90"/>
        <v>331.25104323342907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114.50270466446932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114.50270466446932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433.28</v>
      </c>
      <c r="BB84" s="12">
        <f>VLOOKUP(A84,'Données projet'!$A$87:$I$107,9,0)</f>
        <v>11.91333333333333</v>
      </c>
      <c r="BC84" s="12">
        <f t="array" ref="BC84">INDEX(BB:BB,MIN(IF(ISNUMBER(BB84:BB280),ROW(BB84:BB280),"")))</f>
        <v>11.91333333333333</v>
      </c>
      <c r="BD84" s="12">
        <f>IF('Données projet'!$A$88&gt;35,BD83+BC84-BL83,IF(A84&lt;'Données projet'!$A$88,$BA$205^A84,IF(A84='Données projet'!$A$88,'Données projet'!$B$88,BD83+BC84-BL83)))</f>
        <v>433.28000000000026</v>
      </c>
      <c r="BE84" s="13">
        <f>BD84*VLOOKUP('Données projet'!$B$11,Paramètres!$A$1:$I$89,3,0)*VLOOKUP('Données projet'!$B$11,Paramètres!$A$1:$I$89,5,0)</f>
        <v>364.99507200000028</v>
      </c>
      <c r="BF84" s="13">
        <f t="shared" si="91"/>
        <v>84.642573401902567</v>
      </c>
      <c r="BG84" s="20">
        <f t="shared" si="61"/>
        <v>783.11889907498062</v>
      </c>
      <c r="BH84" s="59">
        <f t="shared" si="62"/>
        <v>1054.2396520984821</v>
      </c>
      <c r="BI84" s="59">
        <f ca="1">AVERAGE(OFFSET($BH$3,0,0,'Données projet'!$E$11+1,1))-AVERAGE(OFFSET($H$3,0,0,'Données projet'!$E$11+1,1))</f>
        <v>458.88102603650725</v>
      </c>
      <c r="BJ84" s="59">
        <f t="shared" si="92"/>
        <v>277.79020316059552</v>
      </c>
      <c r="BK84" s="15">
        <f>IF(ISNA(VLOOKUP(A84,'Données projet'!$A$87:$I$107,3,0)),0,VLOOKUP(A84,'Données projet'!$A$87:$I$107,3,0))</f>
        <v>8</v>
      </c>
      <c r="BL84" s="15">
        <f>IF(ISNA(VLOOKUP(A84,'Données projet'!$A$87:$I$107,4,0)),0,VLOOKUP(A84,'Données projet'!$A$87:$I$107,4,0))</f>
        <v>77.44</v>
      </c>
      <c r="BM84" s="16">
        <f>IF(ISNA(VLOOKUP(A84,'Données projet'!$A$87:$I$107,5,0)),0%,VLOOKUP(A84,'Données projet'!$A$87:$I$107,5,0)*VLOOKUP('Données projet'!$B$11,Paramètres!$A$1:$I$89,7,0))</f>
        <v>0.43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115.5695398915848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115.5695398915848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269.8175999999998</v>
      </c>
      <c r="CA84" s="13">
        <f t="shared" si="93"/>
        <v>64.810557882019467</v>
      </c>
      <c r="CB84" s="20">
        <f t="shared" si="64"/>
        <v>582.81070831118348</v>
      </c>
      <c r="CC84" s="59">
        <f t="shared" si="65"/>
        <v>853.93146133468485</v>
      </c>
      <c r="CD84" s="59">
        <f ca="1">AVERAGE(OFFSET($CC$3,0,0,'Données projet'!$E$12+1,1))-AVERAGE(OFFSET($H$3,0,0,'Données projet'!$E$12+1,1))</f>
        <v>400.48995908576177</v>
      </c>
      <c r="CE84" s="59">
        <f t="shared" si="94"/>
        <v>384.86917865380076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45.178366895152259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45.178366895152259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277.99999999999994</v>
      </c>
      <c r="CU84" s="17">
        <f>CT84*VLOOKUP('Données projet'!$B$13,Paramètres!$A$1:$I$89,3,0)*VLOOKUP('Données projet'!$B$13,Paramètres!$A$1:$I$89,5,0)</f>
        <v>151.78799999999998</v>
      </c>
      <c r="CV84" s="13">
        <f t="shared" si="95"/>
        <v>38.984634390835623</v>
      </c>
      <c r="CW84" s="20">
        <f t="shared" si="67"/>
        <v>332.26233823070532</v>
      </c>
      <c r="CX84" s="59">
        <f t="shared" si="68"/>
        <v>603.38309125420676</v>
      </c>
      <c r="CY84" s="59">
        <f ca="1">AVERAGE(OFFSET($CX$3,0,0,'Données projet'!$E$13+1,1))-AVERAGE(OFFSET($H$3,0,0,'Données projet'!$E$13+1,1))</f>
        <v>215.37314197175104</v>
      </c>
      <c r="CZ84" s="59">
        <f t="shared" si="96"/>
        <v>361.17630426655978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13.368877599414583</v>
      </c>
      <c r="DG84" s="21">
        <f>EXP(-LN(2)/25)*DG83+(1-EXP(-LN(2)/25))/(LN(2)/25)*Calculateur!DB84*Calculateur!DD84*VLOOKUP('Données projet'!$B$13,Paramètres!$A$1:$I$89,3,0)*0.475*44/12</f>
        <v>23.353802825950577</v>
      </c>
      <c r="DH84" s="21">
        <f>EXP(-LN(2)/2)*DH83+(1-EXP(-LN(2)/2))/(LN(2)/2)*DB84*DE84*VLOOKUP('Données projet'!$B$13,Paramètres!$A$1:$I$89,3,0)*0.475*44/12</f>
        <v>5.3433377453925494E-10</v>
      </c>
      <c r="DI84" s="22">
        <f t="shared" si="69"/>
        <v>36.722680425899497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356.96</v>
      </c>
      <c r="O85" s="13">
        <f>N85*VLOOKUP('Données projet'!$B$9,Paramètres!$A$1:$I$89,3,0)*VLOOKUP('Données projet'!$B$9,Paramètres!$A$1:$I$89,5,0)</f>
        <v>322.97740799999997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966.34389506211289</v>
      </c>
      <c r="S85" s="59">
        <f ca="1">AVERAGE(OFFSET($R$3,0,0,'Données projet'!$E$9+1,1))-AVERAGE(OFFSET($H$3,0,0,'Données projet'!$E$9+1,1))</f>
        <v>567.42635821336114</v>
      </c>
      <c r="T85" s="59">
        <f t="shared" si="88"/>
        <v>299.0473530693472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9.6</v>
      </c>
      <c r="AI85" s="13">
        <f>IF('Données projet'!$A$62&gt;35,AI84+AH85-AQ84,IF(A85&lt;'Données projet'!$A$62,$AF$205^A85,IF(A85='Données projet'!$A$62,'Données projet'!$B$62,AI84+AH85-AQ84)))</f>
        <v>409.19999999999993</v>
      </c>
      <c r="AJ85" s="13">
        <f>AI85*VLOOKUP('Données projet'!$B$10,Paramètres!$A$1:$I$89,3,0)*VLOOKUP('Données projet'!$B$10,Paramètres!$A$1:$I$89,5,0)</f>
        <v>351.09359999999998</v>
      </c>
      <c r="AK85" s="13">
        <f t="shared" si="89"/>
        <v>81.787653933539033</v>
      </c>
      <c r="AL85" s="20">
        <f t="shared" si="58"/>
        <v>753.93485060091371</v>
      </c>
      <c r="AM85" s="59">
        <f t="shared" si="59"/>
        <v>1025.4409422329009</v>
      </c>
      <c r="AN85" s="59">
        <f ca="1">AVERAGE(OFFSET($AM$3,0,0,'Données projet'!$E$10+1,1))-AVERAGE(OFFSET($H$3,0,0,'Données projet'!$E$10+1,1))</f>
        <v>569.97793593332699</v>
      </c>
      <c r="AO85" s="59">
        <f t="shared" si="90"/>
        <v>331.25104323342907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112.25737646575281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112.25737646575281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10.798888888888889</v>
      </c>
      <c r="BD85" s="12">
        <f>IF('Données projet'!$A$88&gt;35,BD84+BC85-BL84,IF(A85&lt;'Données projet'!$A$88,$BA$205^A85,IF(A85='Données projet'!$A$88,'Données projet'!$B$88,BD84+BC85-BL84)))</f>
        <v>366.63888888888914</v>
      </c>
      <c r="BE85" s="13">
        <f>BD85*VLOOKUP('Données projet'!$B$11,Paramètres!$A$1:$I$89,3,0)*VLOOKUP('Données projet'!$B$11,Paramètres!$A$1:$I$89,5,0)</f>
        <v>308.85660000000024</v>
      </c>
      <c r="BF85" s="13">
        <f t="shared" si="91"/>
        <v>73.029991413617765</v>
      </c>
      <c r="BG85" s="20">
        <f t="shared" si="61"/>
        <v>665.11914671205125</v>
      </c>
      <c r="BH85" s="59">
        <f t="shared" si="62"/>
        <v>936.62523834403828</v>
      </c>
      <c r="BI85" s="59">
        <f ca="1">AVERAGE(OFFSET($BH$3,0,0,'Données projet'!$E$11+1,1))-AVERAGE(OFFSET($H$3,0,0,'Données projet'!$E$11+1,1))</f>
        <v>458.88102603650725</v>
      </c>
      <c r="BJ85" s="59">
        <f t="shared" si="92"/>
        <v>277.79020316059552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113.30329170476979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113.30329170476979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269.8175999999998</v>
      </c>
      <c r="CA85" s="13">
        <f t="shared" si="93"/>
        <v>64.810557882019467</v>
      </c>
      <c r="CB85" s="20">
        <f t="shared" si="64"/>
        <v>582.81070831118348</v>
      </c>
      <c r="CC85" s="59">
        <f t="shared" si="65"/>
        <v>854.31679994317051</v>
      </c>
      <c r="CD85" s="59">
        <f ca="1">AVERAGE(OFFSET($CC$3,0,0,'Données projet'!$E$12+1,1))-AVERAGE(OFFSET($H$3,0,0,'Données projet'!$E$12+1,1))</f>
        <v>400.48995908576177</v>
      </c>
      <c r="CE85" s="59">
        <f t="shared" si="94"/>
        <v>384.86917865380076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44.292446676421193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44.292446676421193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277.99999999999994</v>
      </c>
      <c r="CU85" s="17">
        <f>CT85*VLOOKUP('Données projet'!$B$13,Paramètres!$A$1:$I$89,3,0)*VLOOKUP('Données projet'!$B$13,Paramètres!$A$1:$I$89,5,0)</f>
        <v>151.78799999999998</v>
      </c>
      <c r="CV85" s="13">
        <f t="shared" si="95"/>
        <v>38.984634390835623</v>
      </c>
      <c r="CW85" s="20">
        <f t="shared" si="67"/>
        <v>332.26233823070532</v>
      </c>
      <c r="CX85" s="59">
        <f t="shared" si="68"/>
        <v>603.7684298626923</v>
      </c>
      <c r="CY85" s="59">
        <f ca="1">AVERAGE(OFFSET($CX$3,0,0,'Données projet'!$E$13+1,1))-AVERAGE(OFFSET($H$3,0,0,'Données projet'!$E$13+1,1))</f>
        <v>215.37314197175104</v>
      </c>
      <c r="CZ85" s="59">
        <f t="shared" si="96"/>
        <v>361.17630426655978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13.106722063900238</v>
      </c>
      <c r="DG85" s="21">
        <f>EXP(-LN(2)/25)*DG84+(1-EXP(-LN(2)/25))/(LN(2)/25)*Calculateur!DB85*Calculateur!DD85*VLOOKUP('Données projet'!$B$13,Paramètres!$A$1:$I$89,3,0)*0.475*44/12</f>
        <v>22.715191859551844</v>
      </c>
      <c r="DH85" s="21">
        <f>EXP(-LN(2)/2)*DH84+(1-EXP(-LN(2)/2))/(LN(2)/2)*DB85*DE85*VLOOKUP('Données projet'!$B$13,Paramètres!$A$1:$I$89,3,0)*0.475*44/12</f>
        <v>3.7783103539371097E-10</v>
      </c>
      <c r="DI85" s="22">
        <f t="shared" si="69"/>
        <v>35.821913923829911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367.37</v>
      </c>
      <c r="O86" s="13">
        <f>N86*VLOOKUP('Données projet'!$B$9,Paramètres!$A$1:$I$89,3,0)*VLOOKUP('Données projet'!$B$9,Paramètres!$A$1:$I$89,5,0)</f>
        <v>332.39637599999998</v>
      </c>
      <c r="P86" s="13">
        <f t="shared" si="87"/>
        <v>77.926927644548115</v>
      </c>
      <c r="Q86" s="20">
        <f t="shared" si="54"/>
        <v>714.6464205142546</v>
      </c>
      <c r="R86" s="59">
        <f t="shared" si="55"/>
        <v>986.53116599135808</v>
      </c>
      <c r="S86" s="59">
        <f ca="1">AVERAGE(OFFSET($R$3,0,0,'Données projet'!$E$9+1,1))-AVERAGE(OFFSET($H$3,0,0,'Données projet'!$E$9+1,1))</f>
        <v>567.42635821336114</v>
      </c>
      <c r="T86" s="59">
        <f t="shared" si="88"/>
        <v>299.0473530693472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9.6</v>
      </c>
      <c r="AI86" s="13">
        <f>IF('Données projet'!$A$62&gt;35,AI85+AH86-AQ85,IF(A86&lt;'Données projet'!$A$62,$AF$205^A86,IF(A86='Données projet'!$A$62,'Données projet'!$B$62,AI85+AH86-AQ85)))</f>
        <v>418.79999999999995</v>
      </c>
      <c r="AJ86" s="13">
        <f>AI86*VLOOKUP('Données projet'!$B$10,Paramètres!$A$1:$I$89,3,0)*VLOOKUP('Données projet'!$B$10,Paramètres!$A$1:$I$89,5,0)</f>
        <v>359.3304</v>
      </c>
      <c r="AK86" s="13">
        <f t="shared" si="89"/>
        <v>83.48078585362731</v>
      </c>
      <c r="AL86" s="20">
        <f t="shared" si="58"/>
        <v>771.22948202840087</v>
      </c>
      <c r="AM86" s="59">
        <f t="shared" si="59"/>
        <v>1043.1142275055045</v>
      </c>
      <c r="AN86" s="59">
        <f ca="1">AVERAGE(OFFSET($AM$3,0,0,'Données projet'!$E$10+1,1))-AVERAGE(OFFSET($H$3,0,0,'Données projet'!$E$10+1,1))</f>
        <v>569.97793593332699</v>
      </c>
      <c r="AO86" s="59">
        <f t="shared" si="90"/>
        <v>331.25104323342907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110.05607778349817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110.05607778349817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10.798888888888889</v>
      </c>
      <c r="BD86" s="12">
        <f>IF('Données projet'!$A$88&gt;35,BD85+BC86-BL85,IF(A86&lt;'Données projet'!$A$88,$BA$205^A86,IF(A86='Données projet'!$A$88,'Données projet'!$B$88,BD85+BC86-BL85)))</f>
        <v>377.43777777777802</v>
      </c>
      <c r="BE86" s="13">
        <f>BD86*VLOOKUP('Données projet'!$B$11,Paramètres!$A$1:$I$89,3,0)*VLOOKUP('Données projet'!$B$11,Paramètres!$A$1:$I$89,5,0)</f>
        <v>317.95358400000026</v>
      </c>
      <c r="BF86" s="13">
        <f t="shared" si="91"/>
        <v>74.927398159240596</v>
      </c>
      <c r="BG86" s="20">
        <f t="shared" si="61"/>
        <v>684.26771059401108</v>
      </c>
      <c r="BH86" s="59">
        <f t="shared" si="62"/>
        <v>956.15245607111456</v>
      </c>
      <c r="BI86" s="59">
        <f ca="1">AVERAGE(OFFSET($BH$3,0,0,'Données projet'!$E$11+1,1))-AVERAGE(OFFSET($H$3,0,0,'Données projet'!$E$11+1,1))</f>
        <v>458.88102603650725</v>
      </c>
      <c r="BJ86" s="59">
        <f t="shared" si="92"/>
        <v>277.79020316059552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111.08148326262332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111.08148326262332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269.8175999999998</v>
      </c>
      <c r="CA86" s="13">
        <f t="shared" si="93"/>
        <v>64.810557882019467</v>
      </c>
      <c r="CB86" s="20">
        <f t="shared" si="64"/>
        <v>582.81070831118348</v>
      </c>
      <c r="CC86" s="59">
        <f t="shared" si="65"/>
        <v>854.69545378828695</v>
      </c>
      <c r="CD86" s="59">
        <f ca="1">AVERAGE(OFFSET($CC$3,0,0,'Données projet'!$E$12+1,1))-AVERAGE(OFFSET($H$3,0,0,'Données projet'!$E$12+1,1))</f>
        <v>400.48995908576177</v>
      </c>
      <c r="CE86" s="59">
        <f t="shared" si="94"/>
        <v>384.86917865380076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43.423898812821463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43.423898812821463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277.99999999999994</v>
      </c>
      <c r="CU86" s="17">
        <f>CT86*VLOOKUP('Données projet'!$B$13,Paramètres!$A$1:$I$89,3,0)*VLOOKUP('Données projet'!$B$13,Paramètres!$A$1:$I$89,5,0)</f>
        <v>151.78799999999998</v>
      </c>
      <c r="CV86" s="13">
        <f t="shared" si="95"/>
        <v>38.984634390835623</v>
      </c>
      <c r="CW86" s="20">
        <f t="shared" si="67"/>
        <v>332.26233823070532</v>
      </c>
      <c r="CX86" s="59">
        <f t="shared" si="68"/>
        <v>604.14708370780886</v>
      </c>
      <c r="CY86" s="59">
        <f ca="1">AVERAGE(OFFSET($CX$3,0,0,'Données projet'!$E$13+1,1))-AVERAGE(OFFSET($H$3,0,0,'Données projet'!$E$13+1,1))</f>
        <v>215.37314197175104</v>
      </c>
      <c r="CZ86" s="59">
        <f t="shared" si="96"/>
        <v>361.17630426655978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12.84970723853824</v>
      </c>
      <c r="DG86" s="21">
        <f>EXP(-LN(2)/25)*DG85+(1-EXP(-LN(2)/25))/(LN(2)/25)*Calculateur!DB86*Calculateur!DD86*VLOOKUP('Données projet'!$B$13,Paramètres!$A$1:$I$89,3,0)*0.475*44/12</f>
        <v>22.094043743612374</v>
      </c>
      <c r="DH86" s="21">
        <f>EXP(-LN(2)/2)*DH85+(1-EXP(-LN(2)/2))/(LN(2)/2)*DB86*DE86*VLOOKUP('Données projet'!$B$13,Paramètres!$A$1:$I$89,3,0)*0.475*44/12</f>
        <v>2.6716688726962747E-10</v>
      </c>
      <c r="DI86" s="22">
        <f t="shared" si="69"/>
        <v>34.943750982417782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377.78000000000003</v>
      </c>
      <c r="O87" s="13">
        <f>N87*VLOOKUP('Données projet'!$B$9,Paramètres!$A$1:$I$89,3,0)*VLOOKUP('Données projet'!$B$9,Paramètres!$A$1:$I$89,5,0)</f>
        <v>341.81534400000004</v>
      </c>
      <c r="P87" s="13">
        <f t="shared" si="87"/>
        <v>79.874891668491202</v>
      </c>
      <c r="Q87" s="20">
        <f t="shared" si="54"/>
        <v>734.44382712262222</v>
      </c>
      <c r="R87" s="59">
        <f t="shared" si="55"/>
        <v>1006.7006576471725</v>
      </c>
      <c r="S87" s="59">
        <f ca="1">AVERAGE(OFFSET($R$3,0,0,'Données projet'!$E$9+1,1))-AVERAGE(OFFSET($H$3,0,0,'Données projet'!$E$9+1,1))</f>
        <v>567.42635821336114</v>
      </c>
      <c r="T87" s="59">
        <f t="shared" si="88"/>
        <v>299.0473530693472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9.6</v>
      </c>
      <c r="AI87" s="13">
        <f>IF('Données projet'!$A$62&gt;35,AI86+AH87-AQ86,IF(A87&lt;'Données projet'!$A$62,$AF$205^A87,IF(A87='Données projet'!$A$62,'Données projet'!$B$62,AI86+AH87-AQ86)))</f>
        <v>428.4</v>
      </c>
      <c r="AJ87" s="13">
        <f>AI87*VLOOKUP('Données projet'!$B$10,Paramètres!$A$1:$I$89,3,0)*VLOOKUP('Données projet'!$B$10,Paramètres!$A$1:$I$89,5,0)</f>
        <v>367.56720000000001</v>
      </c>
      <c r="AK87" s="13">
        <f t="shared" si="89"/>
        <v>85.169405771799362</v>
      </c>
      <c r="AL87" s="20">
        <f t="shared" si="58"/>
        <v>788.5162550525506</v>
      </c>
      <c r="AM87" s="59">
        <f t="shared" si="59"/>
        <v>1060.773085577101</v>
      </c>
      <c r="AN87" s="59">
        <f ca="1">AVERAGE(OFFSET($AM$3,0,0,'Données projet'!$E$10+1,1))-AVERAGE(OFFSET($H$3,0,0,'Données projet'!$E$10+1,1))</f>
        <v>569.97793593332699</v>
      </c>
      <c r="AO87" s="59">
        <f t="shared" si="90"/>
        <v>331.25104323342907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107.89794522574292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107.89794522574292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10.798888888888889</v>
      </c>
      <c r="BD87" s="12">
        <f>IF('Données projet'!$A$88&gt;35,BD86+BC87-BL86,IF(A87&lt;'Données projet'!$A$88,$BA$205^A87,IF(A87='Données projet'!$A$88,'Données projet'!$B$88,BD86+BC87-BL86)))</f>
        <v>388.23666666666691</v>
      </c>
      <c r="BE87" s="13">
        <f>BD87*VLOOKUP('Données projet'!$B$11,Paramètres!$A$1:$I$89,3,0)*VLOOKUP('Données projet'!$B$11,Paramètres!$A$1:$I$89,5,0)</f>
        <v>327.05056800000023</v>
      </c>
      <c r="BF87" s="13">
        <f t="shared" si="91"/>
        <v>76.818495523639186</v>
      </c>
      <c r="BG87" s="20">
        <f t="shared" si="61"/>
        <v>703.40528563700525</v>
      </c>
      <c r="BH87" s="59">
        <f t="shared" si="62"/>
        <v>975.66211616155556</v>
      </c>
      <c r="BI87" s="59">
        <f ca="1">AVERAGE(OFFSET($BH$3,0,0,'Données projet'!$E$11+1,1))-AVERAGE(OFFSET($H$3,0,0,'Données projet'!$E$11+1,1))</f>
        <v>458.88102603650725</v>
      </c>
      <c r="BJ87" s="59">
        <f t="shared" si="92"/>
        <v>277.79020316059552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108.90324312885801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108.90324312885801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269.8175999999998</v>
      </c>
      <c r="CA87" s="13">
        <f t="shared" si="93"/>
        <v>64.810557882019467</v>
      </c>
      <c r="CB87" s="20">
        <f t="shared" si="64"/>
        <v>582.81070831118348</v>
      </c>
      <c r="CC87" s="59">
        <f t="shared" si="65"/>
        <v>855.06753883573379</v>
      </c>
      <c r="CD87" s="59">
        <f ca="1">AVERAGE(OFFSET($CC$3,0,0,'Données projet'!$E$12+1,1))-AVERAGE(OFFSET($H$3,0,0,'Données projet'!$E$12+1,1))</f>
        <v>400.48995908576177</v>
      </c>
      <c r="CE87" s="59">
        <f t="shared" si="94"/>
        <v>384.86917865380076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42.57238264306504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42.57238264306504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277.99999999999994</v>
      </c>
      <c r="CU87" s="17">
        <f>CT87*VLOOKUP('Données projet'!$B$13,Paramètres!$A$1:$I$89,3,0)*VLOOKUP('Données projet'!$B$13,Paramètres!$A$1:$I$89,5,0)</f>
        <v>151.78799999999998</v>
      </c>
      <c r="CV87" s="13">
        <f t="shared" si="95"/>
        <v>38.984634390835623</v>
      </c>
      <c r="CW87" s="20">
        <f t="shared" si="67"/>
        <v>332.26233823070532</v>
      </c>
      <c r="CX87" s="59">
        <f t="shared" si="68"/>
        <v>604.51916875525558</v>
      </c>
      <c r="CY87" s="59">
        <f ca="1">AVERAGE(OFFSET($CX$3,0,0,'Données projet'!$E$13+1,1))-AVERAGE(OFFSET($H$3,0,0,'Données projet'!$E$13+1,1))</f>
        <v>215.37314197175104</v>
      </c>
      <c r="CZ87" s="59">
        <f t="shared" si="96"/>
        <v>361.17630426655978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12.597732317138027</v>
      </c>
      <c r="DG87" s="21">
        <f>EXP(-LN(2)/25)*DG86+(1-EXP(-LN(2)/25))/(LN(2)/25)*Calculateur!DB87*Calculateur!DD87*VLOOKUP('Données projet'!$B$13,Paramètres!$A$1:$I$89,3,0)*0.475*44/12</f>
        <v>21.489880955568029</v>
      </c>
      <c r="DH87" s="21">
        <f>EXP(-LN(2)/2)*DH86+(1-EXP(-LN(2)/2))/(LN(2)/2)*DB87*DE87*VLOOKUP('Données projet'!$B$13,Paramètres!$A$1:$I$89,3,0)*0.475*44/12</f>
        <v>1.8891551769685549E-10</v>
      </c>
      <c r="DI87" s="22">
        <f t="shared" si="69"/>
        <v>34.08761327289497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388.19000000000005</v>
      </c>
      <c r="O88" s="13">
        <f>N88*VLOOKUP('Données projet'!$B$9,Paramètres!$A$1:$I$89,3,0)*VLOOKUP('Données projet'!$B$9,Paramètres!$A$1:$I$89,5,0)</f>
        <v>351.23431200000005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1026.8528283894764</v>
      </c>
      <c r="S88" s="59">
        <f ca="1">AVERAGE(OFFSET($R$3,0,0,'Données projet'!$E$9+1,1))-AVERAGE(OFFSET($H$3,0,0,'Données projet'!$E$9+1,1))</f>
        <v>567.42635821336114</v>
      </c>
      <c r="T88" s="59">
        <f t="shared" si="88"/>
        <v>299.0473530693472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438</v>
      </c>
      <c r="AG88" s="12">
        <f>VLOOKUP(A88,'Données projet'!$A$61:$I$81,9,0)</f>
        <v>9.6</v>
      </c>
      <c r="AH88" s="12">
        <f t="array" ref="AH88">INDEX(AG:AG,MIN(IF(ISNUMBER(AG88:AG284),ROW(AG88:AG284),"")))</f>
        <v>9.6</v>
      </c>
      <c r="AI88" s="13">
        <f>IF('Données projet'!$A$62&gt;35,AI87+AH88-AQ87,IF(A88&lt;'Données projet'!$A$62,$AF$205^A88,IF(A88='Données projet'!$A$62,'Données projet'!$B$62,AI87+AH88-AQ87)))</f>
        <v>438</v>
      </c>
      <c r="AJ88" s="13">
        <f>AI88*VLOOKUP('Données projet'!$B$10,Paramètres!$A$1:$I$89,3,0)*VLOOKUP('Données projet'!$B$10,Paramètres!$A$1:$I$89,5,0)</f>
        <v>375.80400000000003</v>
      </c>
      <c r="AK88" s="13">
        <f t="shared" si="89"/>
        <v>86.853626438441253</v>
      </c>
      <c r="AL88" s="20">
        <f t="shared" si="58"/>
        <v>805.79536604695193</v>
      </c>
      <c r="AM88" s="59">
        <f t="shared" si="59"/>
        <v>1078.4178267752334</v>
      </c>
      <c r="AN88" s="59">
        <f ca="1">AVERAGE(OFFSET($AM$3,0,0,'Données projet'!$E$10+1,1))-AVERAGE(OFFSET($H$3,0,0,'Données projet'!$E$10+1,1))</f>
        <v>569.97793593332699</v>
      </c>
      <c r="AO88" s="59">
        <f t="shared" si="90"/>
        <v>331.25104323342907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33</v>
      </c>
      <c r="AR88" s="16">
        <f>IF(ISNA(VLOOKUP(A88,'Données projet'!$A$61:$I$81,5,0)),0%,VLOOKUP(A88,'Données projet'!$A$61:$I$81,5,0)*VLOOKUP('Données projet'!$B$10,Paramètres!$A$1:$I$89,7,0))</f>
        <v>0.53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122.37128514394523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122.37128514394523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10.798888888888889</v>
      </c>
      <c r="BD88" s="12">
        <f>IF('Données projet'!$A$88&gt;35,BD87+BC88-BL87,IF(A88&lt;'Données projet'!$A$88,$BA$205^A88,IF(A88='Données projet'!$A$88,'Données projet'!$B$88,BD87+BC88-BL87)))</f>
        <v>399.03555555555579</v>
      </c>
      <c r="BE88" s="13">
        <f>BD88*VLOOKUP('Données projet'!$B$11,Paramètres!$A$1:$I$89,3,0)*VLOOKUP('Données projet'!$B$11,Paramètres!$A$1:$I$89,5,0)</f>
        <v>336.14755200000025</v>
      </c>
      <c r="BF88" s="13">
        <f t="shared" si="91"/>
        <v>78.703479165760882</v>
      </c>
      <c r="BG88" s="20">
        <f t="shared" si="61"/>
        <v>722.53221261370061</v>
      </c>
      <c r="BH88" s="59">
        <f t="shared" si="62"/>
        <v>995.15467334198206</v>
      </c>
      <c r="BI88" s="59">
        <f ca="1">AVERAGE(OFFSET($BH$3,0,0,'Données projet'!$E$11+1,1))-AVERAGE(OFFSET($H$3,0,0,'Données projet'!$E$11+1,1))</f>
        <v>458.88102603650725</v>
      </c>
      <c r="BJ88" s="59">
        <f t="shared" si="92"/>
        <v>277.79020316059552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106.76771695552054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106.76771695552054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269.8175999999998</v>
      </c>
      <c r="CA88" s="13">
        <f t="shared" si="93"/>
        <v>64.810557882019467</v>
      </c>
      <c r="CB88" s="20">
        <f t="shared" si="64"/>
        <v>582.81070831118348</v>
      </c>
      <c r="CC88" s="59">
        <f t="shared" si="65"/>
        <v>855.43316903946493</v>
      </c>
      <c r="CD88" s="59">
        <f ca="1">AVERAGE(OFFSET($CC$3,0,0,'Données projet'!$E$12+1,1))-AVERAGE(OFFSET($H$3,0,0,'Données projet'!$E$12+1,1))</f>
        <v>400.48995908576177</v>
      </c>
      <c r="CE88" s="59">
        <f t="shared" si="94"/>
        <v>384.86917865380076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41.73756418602396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41.73756418602396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277.99999999999994</v>
      </c>
      <c r="CU88" s="17">
        <f>CT88*VLOOKUP('Données projet'!$B$13,Paramètres!$A$1:$I$89,3,0)*VLOOKUP('Données projet'!$B$13,Paramètres!$A$1:$I$89,5,0)</f>
        <v>151.78799999999998</v>
      </c>
      <c r="CV88" s="13">
        <f t="shared" si="95"/>
        <v>38.984634390835623</v>
      </c>
      <c r="CW88" s="20">
        <f t="shared" si="67"/>
        <v>332.26233823070532</v>
      </c>
      <c r="CX88" s="59">
        <f t="shared" si="68"/>
        <v>604.88479895898683</v>
      </c>
      <c r="CY88" s="59">
        <f ca="1">AVERAGE(OFFSET($CX$3,0,0,'Données projet'!$E$13+1,1))-AVERAGE(OFFSET($H$3,0,0,'Données projet'!$E$13+1,1))</f>
        <v>215.37314197175104</v>
      </c>
      <c r="CZ88" s="59">
        <f t="shared" si="96"/>
        <v>361.17630426655978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12.350698470256946</v>
      </c>
      <c r="DG88" s="21">
        <f>EXP(-LN(2)/25)*DG87+(1-EXP(-LN(2)/25))/(LN(2)/25)*Calculateur!DB88*Calculateur!DD88*VLOOKUP('Données projet'!$B$13,Paramètres!$A$1:$I$89,3,0)*0.475*44/12</f>
        <v>20.902239030734297</v>
      </c>
      <c r="DH88" s="21">
        <f>EXP(-LN(2)/2)*DH87+(1-EXP(-LN(2)/2))/(LN(2)/2)*DB88*DE88*VLOOKUP('Données projet'!$B$13,Paramètres!$A$1:$I$89,3,0)*0.475*44/12</f>
        <v>1.3358344363481373E-10</v>
      </c>
      <c r="DI88" s="22">
        <f t="shared" si="69"/>
        <v>33.252937501124826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398.60000000000008</v>
      </c>
      <c r="O89" s="13">
        <f>N89*VLOOKUP('Données projet'!$B$9,Paramètres!$A$1:$I$89,3,0)*VLOOKUP('Données projet'!$B$9,Paramètres!$A$1:$I$89,5,0)</f>
        <v>360.65328000000005</v>
      </c>
      <c r="P89" s="13">
        <f t="shared" si="87"/>
        <v>83.752289576604468</v>
      </c>
      <c r="Q89" s="20">
        <f t="shared" si="54"/>
        <v>774.00636701258611</v>
      </c>
      <c r="R89" s="59">
        <f t="shared" si="55"/>
        <v>1046.9881150779909</v>
      </c>
      <c r="S89" s="59">
        <f ca="1">AVERAGE(OFFSET($R$3,0,0,'Données projet'!$E$9+1,1))-AVERAGE(OFFSET($H$3,0,0,'Données projet'!$E$9+1,1))</f>
        <v>567.42635821336114</v>
      </c>
      <c r="T89" s="59">
        <f t="shared" si="88"/>
        <v>299.0473530693472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9.1999999999999993</v>
      </c>
      <c r="AI89" s="13">
        <f>IF('Données projet'!$A$62&gt;35,AI88+AH89-AQ88,IF(A89&lt;'Données projet'!$A$62,$AF$205^A89,IF(A89='Données projet'!$A$62,'Données projet'!$B$62,AI88+AH89-AQ88)))</f>
        <v>414.2</v>
      </c>
      <c r="AJ89" s="13">
        <f>AI89*VLOOKUP('Données projet'!$B$10,Paramètres!$A$1:$I$89,3,0)*VLOOKUP('Données projet'!$B$10,Paramètres!$A$1:$I$89,5,0)</f>
        <v>355.3836</v>
      </c>
      <c r="AK89" s="13">
        <f t="shared" si="89"/>
        <v>82.670063642426967</v>
      </c>
      <c r="AL89" s="20">
        <f t="shared" si="58"/>
        <v>762.94346417722682</v>
      </c>
      <c r="AM89" s="59">
        <f t="shared" si="59"/>
        <v>1035.9252122426315</v>
      </c>
      <c r="AN89" s="59">
        <f ca="1">AVERAGE(OFFSET($AM$3,0,0,'Données projet'!$E$10+1,1))-AVERAGE(OFFSET($H$3,0,0,'Données projet'!$E$10+1,1))</f>
        <v>569.97793593332699</v>
      </c>
      <c r="AO89" s="59">
        <f t="shared" si="90"/>
        <v>331.25104323342907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119.9716588813864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119.9716588813864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10.798888888888889</v>
      </c>
      <c r="BD89" s="12">
        <f>IF('Données projet'!$A$88&gt;35,BD88+BC89-BL88,IF(A89&lt;'Données projet'!$A$88,$BA$205^A89,IF(A89='Données projet'!$A$88,'Données projet'!$B$88,BD88+BC89-BL88)))</f>
        <v>409.83444444444467</v>
      </c>
      <c r="BE89" s="13">
        <f>BD89*VLOOKUP('Données projet'!$B$11,Paramètres!$A$1:$I$89,3,0)*VLOOKUP('Données projet'!$B$11,Paramètres!$A$1:$I$89,5,0)</f>
        <v>345.24453600000021</v>
      </c>
      <c r="BF89" s="13">
        <f t="shared" si="91"/>
        <v>80.582533551688002</v>
      </c>
      <c r="BG89" s="20">
        <f t="shared" si="61"/>
        <v>741.64881280252359</v>
      </c>
      <c r="BH89" s="59">
        <f t="shared" si="62"/>
        <v>1014.6305608679284</v>
      </c>
      <c r="BI89" s="59">
        <f ca="1">AVERAGE(OFFSET($BH$3,0,0,'Données projet'!$E$11+1,1))-AVERAGE(OFFSET($H$3,0,0,'Données projet'!$E$11+1,1))</f>
        <v>458.88102603650725</v>
      </c>
      <c r="BJ89" s="59">
        <f t="shared" si="92"/>
        <v>277.79020316059552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104.67406714789988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104.67406714789988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269.8175999999998</v>
      </c>
      <c r="CA89" s="13">
        <f t="shared" si="93"/>
        <v>64.810557882019467</v>
      </c>
      <c r="CB89" s="20">
        <f t="shared" si="64"/>
        <v>582.81070831118348</v>
      </c>
      <c r="CC89" s="59">
        <f t="shared" si="65"/>
        <v>855.79245637658823</v>
      </c>
      <c r="CD89" s="59">
        <f ca="1">AVERAGE(OFFSET($CC$3,0,0,'Données projet'!$E$12+1,1))-AVERAGE(OFFSET($H$3,0,0,'Données projet'!$E$12+1,1))</f>
        <v>400.48995908576177</v>
      </c>
      <c r="CE89" s="59">
        <f t="shared" si="94"/>
        <v>384.86917865380076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40.919116009736477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40.919116009736477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277.99999999999994</v>
      </c>
      <c r="CU89" s="17">
        <f>CT89*VLOOKUP('Données projet'!$B$13,Paramètres!$A$1:$I$89,3,0)*VLOOKUP('Données projet'!$B$13,Paramètres!$A$1:$I$89,5,0)</f>
        <v>151.78799999999998</v>
      </c>
      <c r="CV89" s="13">
        <f t="shared" si="95"/>
        <v>38.984634390835623</v>
      </c>
      <c r="CW89" s="20">
        <f t="shared" si="67"/>
        <v>332.26233823070532</v>
      </c>
      <c r="CX89" s="59">
        <f t="shared" si="68"/>
        <v>605.24408629611003</v>
      </c>
      <c r="CY89" s="59">
        <f ca="1">AVERAGE(OFFSET($CX$3,0,0,'Données projet'!$E$13+1,1))-AVERAGE(OFFSET($H$3,0,0,'Données projet'!$E$13+1,1))</f>
        <v>215.37314197175104</v>
      </c>
      <c r="CZ89" s="59">
        <f t="shared" si="96"/>
        <v>361.17630426655978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12.108508806437435</v>
      </c>
      <c r="DG89" s="21">
        <f>EXP(-LN(2)/25)*DG88+(1-EXP(-LN(2)/25))/(LN(2)/25)*Calculateur!DB89*Calculateur!DD89*VLOOKUP('Données projet'!$B$13,Paramètres!$A$1:$I$89,3,0)*0.475*44/12</f>
        <v>20.33066620523789</v>
      </c>
      <c r="DH89" s="21">
        <f>EXP(-LN(2)/2)*DH88+(1-EXP(-LN(2)/2))/(LN(2)/2)*DB89*DE89*VLOOKUP('Données projet'!$B$13,Paramètres!$A$1:$I$89,3,0)*0.475*44/12</f>
        <v>9.4457758848427743E-11</v>
      </c>
      <c r="DI89" s="22">
        <f t="shared" si="69"/>
        <v>32.439175011769784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409.0100000000001</v>
      </c>
      <c r="O90" s="13">
        <f>N90*VLOOKUP('Données projet'!$B$9,Paramètres!$A$1:$I$89,3,0)*VLOOKUP('Données projet'!$B$9,Paramètres!$A$1:$I$89,5,0)</f>
        <v>370.07224800000012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1067.1069346938366</v>
      </c>
      <c r="S90" s="59">
        <f ca="1">AVERAGE(OFFSET($R$3,0,0,'Données projet'!$E$9+1,1))-AVERAGE(OFFSET($H$3,0,0,'Données projet'!$E$9+1,1))</f>
        <v>567.42635821336114</v>
      </c>
      <c r="T90" s="59">
        <f t="shared" si="88"/>
        <v>299.0473530693472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9.1999999999999993</v>
      </c>
      <c r="AI90" s="13">
        <f>IF('Données projet'!$A$62&gt;35,AI89+AH90-AQ89,IF(A90&lt;'Données projet'!$A$62,$AF$205^A90,IF(A90='Données projet'!$A$62,'Données projet'!$B$62,AI89+AH90-AQ89)))</f>
        <v>423.4</v>
      </c>
      <c r="AJ90" s="13">
        <f>AI90*VLOOKUP('Données projet'!$B$10,Paramètres!$A$1:$I$89,3,0)*VLOOKUP('Données projet'!$B$10,Paramètres!$A$1:$I$89,5,0)</f>
        <v>363.27719999999999</v>
      </c>
      <c r="AK90" s="13">
        <f t="shared" si="89"/>
        <v>84.290472188638873</v>
      </c>
      <c r="AL90" s="20">
        <f t="shared" si="58"/>
        <v>779.51369572854594</v>
      </c>
      <c r="AM90" s="59">
        <f t="shared" si="59"/>
        <v>1052.8484982990208</v>
      </c>
      <c r="AN90" s="59">
        <f ca="1">AVERAGE(OFFSET($AM$3,0,0,'Données projet'!$E$10+1,1))-AVERAGE(OFFSET($H$3,0,0,'Données projet'!$E$10+1,1))</f>
        <v>569.97793593332699</v>
      </c>
      <c r="AO90" s="59">
        <f t="shared" si="90"/>
        <v>331.25104323342907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117.61908782620885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117.61908782620885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10.798888888888889</v>
      </c>
      <c r="BD90" s="12">
        <f>IF('Données projet'!$A$88&gt;35,BD89+BC90-BL89,IF(A90&lt;'Données projet'!$A$88,$BA$205^A90,IF(A90='Données projet'!$A$88,'Données projet'!$B$88,BD89+BC90-BL89)))</f>
        <v>420.63333333333355</v>
      </c>
      <c r="BE90" s="13">
        <f>BD90*VLOOKUP('Données projet'!$B$11,Paramètres!$A$1:$I$89,3,0)*VLOOKUP('Données projet'!$B$11,Paramètres!$A$1:$I$89,5,0)</f>
        <v>354.34152000000023</v>
      </c>
      <c r="BF90" s="13">
        <f t="shared" si="91"/>
        <v>82.45583287276375</v>
      </c>
      <c r="BG90" s="20">
        <f t="shared" si="61"/>
        <v>760.75538958673053</v>
      </c>
      <c r="BH90" s="59">
        <f t="shared" si="62"/>
        <v>1034.0901921572054</v>
      </c>
      <c r="BI90" s="59">
        <f ca="1">AVERAGE(OFFSET($BH$3,0,0,'Données projet'!$E$11+1,1))-AVERAGE(OFFSET($H$3,0,0,'Données projet'!$E$11+1,1))</f>
        <v>458.88102603650725</v>
      </c>
      <c r="BJ90" s="59">
        <f t="shared" si="92"/>
        <v>277.79020316059552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102.62147253600637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102.62147253600637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269.8175999999998</v>
      </c>
      <c r="CA90" s="13">
        <f t="shared" si="93"/>
        <v>64.810557882019467</v>
      </c>
      <c r="CB90" s="20">
        <f t="shared" si="64"/>
        <v>582.81070831118348</v>
      </c>
      <c r="CC90" s="59">
        <f t="shared" si="65"/>
        <v>856.14551088165831</v>
      </c>
      <c r="CD90" s="59">
        <f ca="1">AVERAGE(OFFSET($CC$3,0,0,'Données projet'!$E$12+1,1))-AVERAGE(OFFSET($H$3,0,0,'Données projet'!$E$12+1,1))</f>
        <v>400.48995908576177</v>
      </c>
      <c r="CE90" s="59">
        <f t="shared" si="94"/>
        <v>384.86917865380076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40.116717102981895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40.116717102981895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277.99999999999994</v>
      </c>
      <c r="CU90" s="17">
        <f>CT90*VLOOKUP('Données projet'!$B$13,Paramètres!$A$1:$I$89,3,0)*VLOOKUP('Données projet'!$B$13,Paramètres!$A$1:$I$89,5,0)</f>
        <v>151.78799999999998</v>
      </c>
      <c r="CV90" s="13">
        <f t="shared" si="95"/>
        <v>38.984634390835623</v>
      </c>
      <c r="CW90" s="20">
        <f t="shared" si="67"/>
        <v>332.26233823070532</v>
      </c>
      <c r="CX90" s="59">
        <f t="shared" si="68"/>
        <v>605.5971408011801</v>
      </c>
      <c r="CY90" s="59">
        <f ca="1">AVERAGE(OFFSET($CX$3,0,0,'Données projet'!$E$13+1,1))-AVERAGE(OFFSET($H$3,0,0,'Données projet'!$E$13+1,1))</f>
        <v>215.37314197175104</v>
      </c>
      <c r="CZ90" s="59">
        <f t="shared" si="96"/>
        <v>361.17630426655978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11.871068334204315</v>
      </c>
      <c r="DG90" s="21">
        <f>EXP(-LN(2)/25)*DG89+(1-EXP(-LN(2)/25))/(LN(2)/25)*Calculateur!DB90*Calculateur!DD90*VLOOKUP('Données projet'!$B$13,Paramètres!$A$1:$I$89,3,0)*0.475*44/12</f>
        <v>19.77472306871239</v>
      </c>
      <c r="DH90" s="21">
        <f>EXP(-LN(2)/2)*DH89+(1-EXP(-LN(2)/2))/(LN(2)/2)*DB90*DE90*VLOOKUP('Données projet'!$B$13,Paramètres!$A$1:$I$89,3,0)*0.475*44/12</f>
        <v>6.6791721817406867E-11</v>
      </c>
      <c r="DI90" s="22">
        <f t="shared" si="69"/>
        <v>31.645791402983498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419.42000000000013</v>
      </c>
      <c r="O91" s="13">
        <f>N91*VLOOKUP('Données projet'!$B$9,Paramètres!$A$1:$I$89,3,0)*VLOOKUP('Données projet'!$B$9,Paramètres!$A$1:$I$89,5,0)</f>
        <v>379.49121600000012</v>
      </c>
      <c r="P91" s="13">
        <f t="shared" si="87"/>
        <v>87.606173526430752</v>
      </c>
      <c r="Q91" s="20">
        <f t="shared" si="54"/>
        <v>813.52795342520051</v>
      </c>
      <c r="R91" s="59">
        <f t="shared" si="55"/>
        <v>1087.2096857943943</v>
      </c>
      <c r="S91" s="59">
        <f ca="1">AVERAGE(OFFSET($R$3,0,0,'Données projet'!$E$9+1,1))-AVERAGE(OFFSET($H$3,0,0,'Données projet'!$E$9+1,1))</f>
        <v>567.42635821336114</v>
      </c>
      <c r="T91" s="59">
        <f t="shared" si="88"/>
        <v>299.0473530693472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9.1999999999999993</v>
      </c>
      <c r="AI91" s="13">
        <f>IF('Données projet'!$A$62&gt;35,AI90+AH91-AQ90,IF(A91&lt;'Données projet'!$A$62,$AF$205^A91,IF(A91='Données projet'!$A$62,'Données projet'!$B$62,AI90+AH91-AQ90)))</f>
        <v>432.59999999999997</v>
      </c>
      <c r="AJ91" s="13">
        <f>AI91*VLOOKUP('Données projet'!$B$10,Paramètres!$A$1:$I$89,3,0)*VLOOKUP('Données projet'!$B$10,Paramètres!$A$1:$I$89,5,0)</f>
        <v>371.17080000000004</v>
      </c>
      <c r="AK91" s="13">
        <f t="shared" si="89"/>
        <v>85.906787171637717</v>
      </c>
      <c r="AL91" s="20">
        <f t="shared" si="58"/>
        <v>796.07679765726914</v>
      </c>
      <c r="AM91" s="59">
        <f t="shared" si="59"/>
        <v>1069.7585300264627</v>
      </c>
      <c r="AN91" s="59">
        <f ca="1">AVERAGE(OFFSET($AM$3,0,0,'Données projet'!$E$10+1,1))-AVERAGE(OFFSET($H$3,0,0,'Données projet'!$E$10+1,1))</f>
        <v>569.97793593332699</v>
      </c>
      <c r="AO91" s="59">
        <f t="shared" si="90"/>
        <v>331.25104323342907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115.31264925449668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115.31264925449668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10.798888888888889</v>
      </c>
      <c r="BD91" s="12">
        <f>IF('Données projet'!$A$88&gt;35,BD90+BC91-BL90,IF(A91&lt;'Données projet'!$A$88,$BA$205^A91,IF(A91='Données projet'!$A$88,'Données projet'!$B$88,BD90+BC91-BL90)))</f>
        <v>431.43222222222244</v>
      </c>
      <c r="BE91" s="13">
        <f>BD91*VLOOKUP('Données projet'!$B$11,Paramètres!$A$1:$I$89,3,0)*VLOOKUP('Données projet'!$B$11,Paramètres!$A$1:$I$89,5,0)</f>
        <v>363.43850400000025</v>
      </c>
      <c r="BF91" s="13">
        <f t="shared" si="91"/>
        <v>84.323541866781824</v>
      </c>
      <c r="BG91" s="20">
        <f t="shared" si="61"/>
        <v>779.85222988464545</v>
      </c>
      <c r="BH91" s="59">
        <f t="shared" si="62"/>
        <v>1053.533962253839</v>
      </c>
      <c r="BI91" s="59">
        <f ca="1">AVERAGE(OFFSET($BH$3,0,0,'Données projet'!$E$11+1,1))-AVERAGE(OFFSET($H$3,0,0,'Données projet'!$E$11+1,1))</f>
        <v>458.88102603650725</v>
      </c>
      <c r="BJ91" s="59">
        <f t="shared" si="92"/>
        <v>277.79020316059552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100.60912805249299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100.60912805249299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269.8175999999998</v>
      </c>
      <c r="CA91" s="13">
        <f t="shared" si="93"/>
        <v>64.810557882019467</v>
      </c>
      <c r="CB91" s="20">
        <f t="shared" si="64"/>
        <v>582.81070831118348</v>
      </c>
      <c r="CC91" s="59">
        <f t="shared" si="65"/>
        <v>856.49244068037717</v>
      </c>
      <c r="CD91" s="59">
        <f ca="1">AVERAGE(OFFSET($CC$3,0,0,'Données projet'!$E$12+1,1))-AVERAGE(OFFSET($H$3,0,0,'Données projet'!$E$12+1,1))</f>
        <v>400.48995908576177</v>
      </c>
      <c r="CE91" s="59">
        <f t="shared" si="94"/>
        <v>384.86917865380076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39.330052749373763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39.330052749373763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277.99999999999994</v>
      </c>
      <c r="CU91" s="17">
        <f>CT91*VLOOKUP('Données projet'!$B$13,Paramètres!$A$1:$I$89,3,0)*VLOOKUP('Données projet'!$B$13,Paramètres!$A$1:$I$89,5,0)</f>
        <v>151.78799999999998</v>
      </c>
      <c r="CV91" s="13">
        <f t="shared" si="95"/>
        <v>38.984634390835623</v>
      </c>
      <c r="CW91" s="20">
        <f t="shared" si="67"/>
        <v>332.26233823070532</v>
      </c>
      <c r="CX91" s="59">
        <f t="shared" si="68"/>
        <v>605.94407059989908</v>
      </c>
      <c r="CY91" s="59">
        <f ca="1">AVERAGE(OFFSET($CX$3,0,0,'Données projet'!$E$13+1,1))-AVERAGE(OFFSET($H$3,0,0,'Données projet'!$E$13+1,1))</f>
        <v>215.37314197175104</v>
      </c>
      <c r="CZ91" s="59">
        <f t="shared" si="96"/>
        <v>361.17630426655978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11.638283924807299</v>
      </c>
      <c r="DG91" s="21">
        <f>EXP(-LN(2)/25)*DG90+(1-EXP(-LN(2)/25))/(LN(2)/25)*Calculateur!DB91*Calculateur!DD91*VLOOKUP('Données projet'!$B$13,Paramètres!$A$1:$I$89,3,0)*0.475*44/12</f>
        <v>19.233982226490959</v>
      </c>
      <c r="DH91" s="21">
        <f>EXP(-LN(2)/2)*DH90+(1-EXP(-LN(2)/2))/(LN(2)/2)*DB91*DE91*VLOOKUP('Données projet'!$B$13,Paramètres!$A$1:$I$89,3,0)*0.475*44/12</f>
        <v>4.7228879424213871E-11</v>
      </c>
      <c r="DI91" s="22">
        <f t="shared" si="69"/>
        <v>30.872266151345485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429.83000000000015</v>
      </c>
      <c r="O92" s="13">
        <f>N92*VLOOKUP('Données projet'!$B$9,Paramètres!$A$1:$I$89,3,0)*VLOOKUP('Données projet'!$B$9,Paramètres!$A$1:$I$89,5,0)</f>
        <v>388.91018400000013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1107.2967498225109</v>
      </c>
      <c r="S92" s="59">
        <f ca="1">AVERAGE(OFFSET($R$3,0,0,'Données projet'!$E$9+1,1))-AVERAGE(OFFSET($H$3,0,0,'Données projet'!$E$9+1,1))</f>
        <v>567.42635821336114</v>
      </c>
      <c r="T92" s="59">
        <f t="shared" si="88"/>
        <v>299.0473530693472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9.1999999999999993</v>
      </c>
      <c r="AI92" s="13">
        <f>IF('Données projet'!$A$62&gt;35,AI91+AH92-AQ91,IF(A92&lt;'Données projet'!$A$62,$AF$205^A92,IF(A92='Données projet'!$A$62,'Données projet'!$B$62,AI91+AH92-AQ91)))</f>
        <v>441.79999999999995</v>
      </c>
      <c r="AJ92" s="13">
        <f>AI92*VLOOKUP('Données projet'!$B$10,Paramètres!$A$1:$I$89,3,0)*VLOOKUP('Données projet'!$B$10,Paramètres!$A$1:$I$89,5,0)</f>
        <v>379.06439999999998</v>
      </c>
      <c r="AK92" s="13">
        <f t="shared" si="89"/>
        <v>87.519105676243697</v>
      </c>
      <c r="AL92" s="20">
        <f t="shared" si="58"/>
        <v>812.63293905279113</v>
      </c>
      <c r="AM92" s="59">
        <f t="shared" si="59"/>
        <v>1086.6555827643147</v>
      </c>
      <c r="AN92" s="59">
        <f ca="1">AVERAGE(OFFSET($AM$3,0,0,'Données projet'!$E$10+1,1))-AVERAGE(OFFSET($H$3,0,0,'Données projet'!$E$10+1,1))</f>
        <v>569.97793593332699</v>
      </c>
      <c r="AO92" s="59">
        <f t="shared" si="90"/>
        <v>331.25104323342907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113.05143853638715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113.05143853638715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10.798888888888889</v>
      </c>
      <c r="BD92" s="12">
        <f>IF('Données projet'!$A$88&gt;35,BD91+BC92-BL91,IF(A92&lt;'Données projet'!$A$88,$BA$205^A92,IF(A92='Données projet'!$A$88,'Données projet'!$B$88,BD91+BC92-BL91)))</f>
        <v>442.23111111111132</v>
      </c>
      <c r="BE92" s="13">
        <f>BD92*VLOOKUP('Données projet'!$B$11,Paramètres!$A$1:$I$89,3,0)*VLOOKUP('Données projet'!$B$11,Paramètres!$A$1:$I$89,5,0)</f>
        <v>372.53548800000021</v>
      </c>
      <c r="BF92" s="13">
        <f t="shared" si="91"/>
        <v>86.185816554642713</v>
      </c>
      <c r="BG92" s="20">
        <f t="shared" si="61"/>
        <v>798.93960543266974</v>
      </c>
      <c r="BH92" s="59">
        <f t="shared" si="62"/>
        <v>1072.9622491441933</v>
      </c>
      <c r="BI92" s="59">
        <f ca="1">AVERAGE(OFFSET($BH$3,0,0,'Données projet'!$E$11+1,1))-AVERAGE(OFFSET($H$3,0,0,'Données projet'!$E$11+1,1))</f>
        <v>458.88102603650725</v>
      </c>
      <c r="BJ92" s="59">
        <f t="shared" si="92"/>
        <v>277.79020316059552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98.636244416892382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98.636244416892382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269.8175999999998</v>
      </c>
      <c r="CA92" s="13">
        <f t="shared" si="93"/>
        <v>64.810557882019467</v>
      </c>
      <c r="CB92" s="20">
        <f t="shared" si="64"/>
        <v>582.81070831118348</v>
      </c>
      <c r="CC92" s="59">
        <f t="shared" si="65"/>
        <v>856.833352022707</v>
      </c>
      <c r="CD92" s="59">
        <f ca="1">AVERAGE(OFFSET($CC$3,0,0,'Données projet'!$E$12+1,1))-AVERAGE(OFFSET($H$3,0,0,'Données projet'!$E$12+1,1))</f>
        <v>400.48995908576177</v>
      </c>
      <c r="CE92" s="59">
        <f t="shared" si="94"/>
        <v>384.86917865380076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38.558814403922007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38.558814403922007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277.99999999999994</v>
      </c>
      <c r="CU92" s="17">
        <f>CT92*VLOOKUP('Données projet'!$B$13,Paramètres!$A$1:$I$89,3,0)*VLOOKUP('Données projet'!$B$13,Paramètres!$A$1:$I$89,5,0)</f>
        <v>151.78799999999998</v>
      </c>
      <c r="CV92" s="13">
        <f t="shared" si="95"/>
        <v>38.984634390835623</v>
      </c>
      <c r="CW92" s="20">
        <f t="shared" si="67"/>
        <v>332.26233823070532</v>
      </c>
      <c r="CX92" s="59">
        <f t="shared" si="68"/>
        <v>606.28498194222891</v>
      </c>
      <c r="CY92" s="59">
        <f ca="1">AVERAGE(OFFSET($CX$3,0,0,'Données projet'!$E$13+1,1))-AVERAGE(OFFSET($H$3,0,0,'Données projet'!$E$13+1,1))</f>
        <v>215.37314197175104</v>
      </c>
      <c r="CZ92" s="59">
        <f t="shared" si="96"/>
        <v>361.17630426655978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11.410064275694088</v>
      </c>
      <c r="DG92" s="21">
        <f>EXP(-LN(2)/25)*DG91+(1-EXP(-LN(2)/25))/(LN(2)/25)*Calculateur!DB92*Calculateur!DD92*VLOOKUP('Données projet'!$B$13,Paramètres!$A$1:$I$89,3,0)*0.475*44/12</f>
        <v>18.708027971036397</v>
      </c>
      <c r="DH92" s="21">
        <f>EXP(-LN(2)/2)*DH91+(1-EXP(-LN(2)/2))/(LN(2)/2)*DB92*DE92*VLOOKUP('Données projet'!$B$13,Paramètres!$A$1:$I$89,3,0)*0.475*44/12</f>
        <v>3.3395860908703434E-11</v>
      </c>
      <c r="DI92" s="22">
        <f t="shared" si="69"/>
        <v>30.118092246763879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375.27700000000016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1004.0423473070821</v>
      </c>
      <c r="S93" s="59">
        <f ca="1">AVERAGE(OFFSET($R$3,0,0,'Données projet'!$E$9+1,1))-AVERAGE(OFFSET($H$3,0,0,'Données projet'!$E$9+1,1))</f>
        <v>567.42635821336114</v>
      </c>
      <c r="T93" s="59">
        <f t="shared" si="88"/>
        <v>299.0473530693472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451</v>
      </c>
      <c r="AG93" s="12">
        <f>VLOOKUP(A93,'Données projet'!$A$61:$I$81,9,0)</f>
        <v>9.1999999999999993</v>
      </c>
      <c r="AH93" s="12">
        <f t="array" ref="AH93">INDEX(AG:AG,MIN(IF(ISNUMBER(AG93:AG289),ROW(AG93:AG289),"")))</f>
        <v>9.1999999999999993</v>
      </c>
      <c r="AI93" s="13">
        <f>IF('Données projet'!$A$62&gt;35,AI92+AH93-AQ92,IF(A93&lt;'Données projet'!$A$62,$AF$205^A93,IF(A93='Données projet'!$A$62,'Données projet'!$B$62,AI92+AH93-AQ92)))</f>
        <v>450.99999999999994</v>
      </c>
      <c r="AJ93" s="13">
        <f>AI93*VLOOKUP('Données projet'!$B$10,Paramètres!$A$1:$I$89,3,0)*VLOOKUP('Données projet'!$B$10,Paramètres!$A$1:$I$89,5,0)</f>
        <v>386.95799999999997</v>
      </c>
      <c r="AK93" s="13">
        <f t="shared" si="89"/>
        <v>89.12752051283708</v>
      </c>
      <c r="AL93" s="20">
        <f t="shared" si="58"/>
        <v>829.18228155985787</v>
      </c>
      <c r="AM93" s="59">
        <f t="shared" si="59"/>
        <v>1103.5399225640856</v>
      </c>
      <c r="AN93" s="59">
        <f ca="1">AVERAGE(OFFSET($AM$3,0,0,'Données projet'!$E$10+1,1))-AVERAGE(OFFSET($H$3,0,0,'Données projet'!$E$10+1,1))</f>
        <v>569.97793593332699</v>
      </c>
      <c r="AO93" s="59">
        <f t="shared" si="90"/>
        <v>331.25104323342907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31</v>
      </c>
      <c r="AR93" s="16">
        <f>IF(ISNA(VLOOKUP(A93,'Données projet'!$A$61:$I$81,5,0)),0%,VLOOKUP(A93,'Données projet'!$A$61:$I$81,5,0)*VLOOKUP('Données projet'!$B$10,Paramètres!$A$1:$I$89,7,0))</f>
        <v>0.53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126.41831839331063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126.41831839331063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453.03</v>
      </c>
      <c r="BB93" s="12">
        <f>VLOOKUP(A93,'Données projet'!$A$87:$I$107,9,0)</f>
        <v>10.798888888888889</v>
      </c>
      <c r="BC93" s="12">
        <f t="array" ref="BC93">INDEX(BB:BB,MIN(IF(ISNUMBER(BB93:BB289),ROW(BB93:BB289),"")))</f>
        <v>10.798888888888889</v>
      </c>
      <c r="BD93" s="12">
        <f>IF('Données projet'!$A$88&gt;35,BD92+BC93-BL92,IF(A93&lt;'Données projet'!$A$88,$BA$205^A93,IF(A93='Données projet'!$A$88,'Données projet'!$B$88,BD92+BC93-BL92)))</f>
        <v>453.0300000000002</v>
      </c>
      <c r="BE93" s="13">
        <f>BD93*VLOOKUP('Données projet'!$B$11,Paramètres!$A$1:$I$89,3,0)*VLOOKUP('Données projet'!$B$11,Paramètres!$A$1:$I$89,5,0)</f>
        <v>381.63247200000018</v>
      </c>
      <c r="BF93" s="13">
        <f t="shared" si="91"/>
        <v>88.042804903030387</v>
      </c>
      <c r="BG93" s="20">
        <f t="shared" si="61"/>
        <v>818.01777393944485</v>
      </c>
      <c r="BH93" s="59">
        <f t="shared" si="62"/>
        <v>1092.3754149436725</v>
      </c>
      <c r="BI93" s="59">
        <f ca="1">AVERAGE(OFFSET($BH$3,0,0,'Données projet'!$E$11+1,1))-AVERAGE(OFFSET($H$3,0,0,'Données projet'!$E$11+1,1))</f>
        <v>458.88102603650725</v>
      </c>
      <c r="BJ93" s="59">
        <f t="shared" si="92"/>
        <v>277.79020316059552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78.34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128.07226254834256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128.07226254834256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269.8175999999998</v>
      </c>
      <c r="CA93" s="13">
        <f t="shared" si="93"/>
        <v>64.810557882019467</v>
      </c>
      <c r="CB93" s="20">
        <f t="shared" si="64"/>
        <v>582.81070831118348</v>
      </c>
      <c r="CC93" s="59">
        <f t="shared" si="65"/>
        <v>857.16834931541121</v>
      </c>
      <c r="CD93" s="59">
        <f ca="1">AVERAGE(OFFSET($CC$3,0,0,'Données projet'!$E$12+1,1))-AVERAGE(OFFSET($H$3,0,0,'Données projet'!$E$12+1,1))</f>
        <v>400.48995908576177</v>
      </c>
      <c r="CE93" s="59">
        <f t="shared" si="94"/>
        <v>384.86917865380076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37.802699572015619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37.802699572015619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277.99999999999994</v>
      </c>
      <c r="CU93" s="17">
        <f>CT93*VLOOKUP('Données projet'!$B$13,Paramètres!$A$1:$I$89,3,0)*VLOOKUP('Données projet'!$B$13,Paramètres!$A$1:$I$89,5,0)</f>
        <v>151.78799999999998</v>
      </c>
      <c r="CV93" s="13">
        <f t="shared" si="95"/>
        <v>38.984634390835623</v>
      </c>
      <c r="CW93" s="20">
        <f t="shared" si="67"/>
        <v>332.26233823070532</v>
      </c>
      <c r="CX93" s="59">
        <f t="shared" si="68"/>
        <v>606.619979234933</v>
      </c>
      <c r="CY93" s="59">
        <f ca="1">AVERAGE(OFFSET($CX$3,0,0,'Données projet'!$E$13+1,1))-AVERAGE(OFFSET($H$3,0,0,'Données projet'!$E$13+1,1))</f>
        <v>215.37314197175104</v>
      </c>
      <c r="CZ93" s="59">
        <f t="shared" si="96"/>
        <v>361.17630426655978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11.186319874699747</v>
      </c>
      <c r="DG93" s="21">
        <f>EXP(-LN(2)/25)*DG92+(1-EXP(-LN(2)/25))/(LN(2)/25)*Calculateur!DB93*Calculateur!DD93*VLOOKUP('Données projet'!$B$13,Paramètres!$A$1:$I$89,3,0)*0.475*44/12</f>
        <v>18.196455962355973</v>
      </c>
      <c r="DH93" s="21">
        <f>EXP(-LN(2)/2)*DH92+(1-EXP(-LN(2)/2))/(LN(2)/2)*DB93*DE93*VLOOKUP('Données projet'!$B$13,Paramètres!$A$1:$I$89,3,0)*0.475*44/12</f>
        <v>2.3614439712106936E-11</v>
      </c>
      <c r="DI93" s="22">
        <f t="shared" si="69"/>
        <v>29.382775837079333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385.22400000000016</v>
      </c>
      <c r="O94" s="13">
        <f>N94*VLOOKUP('Données projet'!$B$9,Paramètres!$A$1:$I$89,3,0)*VLOOKUP('Données projet'!$B$9,Paramètres!$A$1:$I$89,5,0)</f>
        <v>348.55067520000011</v>
      </c>
      <c r="P94" s="13">
        <f t="shared" si="87"/>
        <v>81.264008176199866</v>
      </c>
      <c r="Q94" s="20">
        <f t="shared" si="54"/>
        <v>748.59390688021494</v>
      </c>
      <c r="R94" s="59">
        <f t="shared" si="55"/>
        <v>1023.2807337230599</v>
      </c>
      <c r="S94" s="59">
        <f ca="1">AVERAGE(OFFSET($R$3,0,0,'Données projet'!$E$9+1,1))-AVERAGE(OFFSET($H$3,0,0,'Données projet'!$E$9+1,1))</f>
        <v>567.42635821336114</v>
      </c>
      <c r="T94" s="59">
        <f t="shared" si="88"/>
        <v>299.0473530693472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</v>
      </c>
      <c r="AI94" s="13">
        <f>IF('Données projet'!$A$62&gt;35,AI93+AH94-AQ93,IF(A94&lt;'Données projet'!$A$62,$AF$205^A94,IF(A94='Données projet'!$A$62,'Données projet'!$B$62,AI93+AH94-AQ93)))</f>
        <v>428.59999999999997</v>
      </c>
      <c r="AJ94" s="13">
        <f>AI94*VLOOKUP('Données projet'!$B$10,Paramètres!$A$1:$I$89,3,0)*VLOOKUP('Données projet'!$B$10,Paramètres!$A$1:$I$89,5,0)</f>
        <v>367.73879999999997</v>
      </c>
      <c r="AK94" s="13">
        <f t="shared" si="89"/>
        <v>85.20453819128241</v>
      </c>
      <c r="AL94" s="20">
        <f t="shared" si="58"/>
        <v>788.87631401648343</v>
      </c>
      <c r="AM94" s="59">
        <f t="shared" si="59"/>
        <v>1063.5631408593285</v>
      </c>
      <c r="AN94" s="59">
        <f ca="1">AVERAGE(OFFSET($AM$3,0,0,'Données projet'!$E$10+1,1))-AVERAGE(OFFSET($H$3,0,0,'Données projet'!$E$10+1,1))</f>
        <v>569.97793593332699</v>
      </c>
      <c r="AO94" s="59">
        <f t="shared" si="90"/>
        <v>331.25104323342907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123.93933227717828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123.93933227717828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10.060000000000009</v>
      </c>
      <c r="BD94" s="12">
        <f>IF('Données projet'!$A$88&gt;35,BD93+BC94-BL93,IF(A94&lt;'Données projet'!$A$88,$BA$205^A94,IF(A94='Données projet'!$A$88,'Données projet'!$B$88,BD93+BC94-BL93)))</f>
        <v>384.75000000000023</v>
      </c>
      <c r="BE94" s="13">
        <f>BD94*VLOOKUP('Données projet'!$B$11,Paramètres!$A$1:$I$89,3,0)*VLOOKUP('Données projet'!$B$11,Paramètres!$A$1:$I$89,5,0)</f>
        <v>324.11340000000018</v>
      </c>
      <c r="BF94" s="13">
        <f t="shared" si="91"/>
        <v>76.208589272081809</v>
      </c>
      <c r="BG94" s="20">
        <f t="shared" si="61"/>
        <v>697.22746464887598</v>
      </c>
      <c r="BH94" s="59">
        <f t="shared" si="62"/>
        <v>971.91429149172109</v>
      </c>
      <c r="BI94" s="59">
        <f ca="1">AVERAGE(OFFSET($BH$3,0,0,'Données projet'!$E$11+1,1))-AVERAGE(OFFSET($H$3,0,0,'Données projet'!$E$11+1,1))</f>
        <v>458.88102603650725</v>
      </c>
      <c r="BJ94" s="59">
        <f t="shared" si="92"/>
        <v>277.79020316059552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125.56084359613637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125.56084359613637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269.8175999999998</v>
      </c>
      <c r="CA94" s="13">
        <f t="shared" si="93"/>
        <v>64.810557882019467</v>
      </c>
      <c r="CB94" s="20">
        <f t="shared" si="64"/>
        <v>582.81070831118348</v>
      </c>
      <c r="CC94" s="59">
        <f t="shared" si="65"/>
        <v>857.49753515402858</v>
      </c>
      <c r="CD94" s="59">
        <f ca="1">AVERAGE(OFFSET($CC$3,0,0,'Données projet'!$E$12+1,1))-AVERAGE(OFFSET($H$3,0,0,'Données projet'!$E$12+1,1))</f>
        <v>400.48995908576177</v>
      </c>
      <c r="CE94" s="59">
        <f t="shared" si="94"/>
        <v>384.86917865380076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37.061411690778407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37.061411690778407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277.99999999999994</v>
      </c>
      <c r="CU94" s="17">
        <f>CT94*VLOOKUP('Données projet'!$B$13,Paramètres!$A$1:$I$89,3,0)*VLOOKUP('Données projet'!$B$13,Paramètres!$A$1:$I$89,5,0)</f>
        <v>151.78799999999998</v>
      </c>
      <c r="CV94" s="13">
        <f t="shared" si="95"/>
        <v>38.984634390835623</v>
      </c>
      <c r="CW94" s="20">
        <f t="shared" si="67"/>
        <v>332.26233823070532</v>
      </c>
      <c r="CX94" s="59">
        <f t="shared" si="68"/>
        <v>606.94916507355038</v>
      </c>
      <c r="CY94" s="59">
        <f ca="1">AVERAGE(OFFSET($CX$3,0,0,'Données projet'!$E$13+1,1))-AVERAGE(OFFSET($H$3,0,0,'Données projet'!$E$13+1,1))</f>
        <v>215.37314197175104</v>
      </c>
      <c r="CZ94" s="59">
        <f t="shared" si="96"/>
        <v>361.17630426655978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10.966962964938295</v>
      </c>
      <c r="DG94" s="21">
        <f>EXP(-LN(2)/25)*DG93+(1-EXP(-LN(2)/25))/(LN(2)/25)*Calculateur!DB94*Calculateur!DD94*VLOOKUP('Données projet'!$B$13,Paramètres!$A$1:$I$89,3,0)*0.475*44/12</f>
        <v>17.698872917155317</v>
      </c>
      <c r="DH94" s="21">
        <f>EXP(-LN(2)/2)*DH93+(1-EXP(-LN(2)/2))/(LN(2)/2)*DB94*DE94*VLOOKUP('Données projet'!$B$13,Paramètres!$A$1:$I$89,3,0)*0.475*44/12</f>
        <v>1.6697930454351717E-11</v>
      </c>
      <c r="DI94" s="22">
        <f t="shared" si="69"/>
        <v>28.665835882110308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395.17100000000016</v>
      </c>
      <c r="O95" s="13">
        <f>N95*VLOOKUP('Données projet'!$B$9,Paramètres!$A$1:$I$89,3,0)*VLOOKUP('Données projet'!$B$9,Paramètres!$A$1:$I$89,5,0)</f>
        <v>357.55072080000014</v>
      </c>
      <c r="P95" s="13">
        <f t="shared" si="87"/>
        <v>83.115346428782544</v>
      </c>
      <c r="Q95" s="20">
        <f t="shared" si="54"/>
        <v>767.49340042346319</v>
      </c>
      <c r="R95" s="59">
        <f t="shared" si="55"/>
        <v>1042.5037024665749</v>
      </c>
      <c r="S95" s="59">
        <f ca="1">AVERAGE(OFFSET($R$3,0,0,'Données projet'!$E$9+1,1))-AVERAGE(OFFSET($H$3,0,0,'Données projet'!$E$9+1,1))</f>
        <v>567.42635821336114</v>
      </c>
      <c r="T95" s="59">
        <f t="shared" si="88"/>
        <v>299.0473530693472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</v>
      </c>
      <c r="AI95" s="13">
        <f>IF('Données projet'!$A$62&gt;35,AI94+AH95-AQ94,IF(A95&lt;'Données projet'!$A$62,$AF$205^A95,IF(A95='Données projet'!$A$62,'Données projet'!$B$62,AI94+AH95-AQ94)))</f>
        <v>437.2</v>
      </c>
      <c r="AJ95" s="13">
        <f>AI95*VLOOKUP('Données projet'!$B$10,Paramètres!$A$1:$I$89,3,0)*VLOOKUP('Données projet'!$B$10,Paramètres!$A$1:$I$89,5,0)</f>
        <v>375.11760000000004</v>
      </c>
      <c r="AK95" s="13">
        <f t="shared" si="89"/>
        <v>86.713440086205196</v>
      </c>
      <c r="AL95" s="20">
        <f t="shared" si="58"/>
        <v>804.35572815014075</v>
      </c>
      <c r="AM95" s="59">
        <f t="shared" si="59"/>
        <v>1079.3660301932525</v>
      </c>
      <c r="AN95" s="59">
        <f ca="1">AVERAGE(OFFSET($AM$3,0,0,'Données projet'!$E$10+1,1))-AVERAGE(OFFSET($H$3,0,0,'Données projet'!$E$10+1,1))</f>
        <v>569.97793593332699</v>
      </c>
      <c r="AO95" s="59">
        <f t="shared" si="90"/>
        <v>331.25104323342907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121.50895756675106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121.50895756675106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10.060000000000009</v>
      </c>
      <c r="BD95" s="12">
        <f>IF('Données projet'!$A$88&gt;35,BD94+BC95-BL94,IF(A95&lt;'Données projet'!$A$88,$BA$205^A95,IF(A95='Données projet'!$A$88,'Données projet'!$B$88,BD94+BC95-BL94)))</f>
        <v>394.81000000000023</v>
      </c>
      <c r="BE95" s="13">
        <f>BD95*VLOOKUP('Données projet'!$B$11,Paramètres!$A$1:$I$89,3,0)*VLOOKUP('Données projet'!$B$11,Paramètres!$A$1:$I$89,5,0)</f>
        <v>332.58794400000022</v>
      </c>
      <c r="BF95" s="13">
        <f t="shared" si="91"/>
        <v>77.966609811683952</v>
      </c>
      <c r="BG95" s="20">
        <f t="shared" si="61"/>
        <v>715.0491812220165</v>
      </c>
      <c r="BH95" s="59">
        <f t="shared" si="62"/>
        <v>990.05948326512816</v>
      </c>
      <c r="BI95" s="59">
        <f ca="1">AVERAGE(OFFSET($BH$3,0,0,'Données projet'!$E$11+1,1))-AVERAGE(OFFSET($H$3,0,0,'Données projet'!$E$11+1,1))</f>
        <v>458.88102603650725</v>
      </c>
      <c r="BJ95" s="59">
        <f t="shared" si="92"/>
        <v>277.79020316059552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123.09867203776862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123.09867203776862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269.8175999999998</v>
      </c>
      <c r="CA95" s="13">
        <f t="shared" si="93"/>
        <v>64.810557882019467</v>
      </c>
      <c r="CB95" s="20">
        <f t="shared" si="64"/>
        <v>582.81070831118348</v>
      </c>
      <c r="CC95" s="59">
        <f t="shared" si="65"/>
        <v>857.82101035429514</v>
      </c>
      <c r="CD95" s="59">
        <f ca="1">AVERAGE(OFFSET($CC$3,0,0,'Données projet'!$E$12+1,1))-AVERAGE(OFFSET($H$3,0,0,'Données projet'!$E$12+1,1))</f>
        <v>400.48995908576177</v>
      </c>
      <c r="CE95" s="59">
        <f t="shared" si="94"/>
        <v>384.86917865380076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36.334660012751293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36.334660012751293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277.99999999999994</v>
      </c>
      <c r="CU95" s="17">
        <f>CT95*VLOOKUP('Données projet'!$B$13,Paramètres!$A$1:$I$89,3,0)*VLOOKUP('Données projet'!$B$13,Paramètres!$A$1:$I$89,5,0)</f>
        <v>151.78799999999998</v>
      </c>
      <c r="CV95" s="13">
        <f t="shared" si="95"/>
        <v>38.984634390835623</v>
      </c>
      <c r="CW95" s="20">
        <f t="shared" si="67"/>
        <v>332.26233823070532</v>
      </c>
      <c r="CX95" s="59">
        <f t="shared" si="68"/>
        <v>607.27264027381705</v>
      </c>
      <c r="CY95" s="59">
        <f ca="1">AVERAGE(OFFSET($CX$3,0,0,'Données projet'!$E$13+1,1))-AVERAGE(OFFSET($H$3,0,0,'Données projet'!$E$13+1,1))</f>
        <v>215.37314197175104</v>
      </c>
      <c r="CZ95" s="59">
        <f t="shared" si="96"/>
        <v>361.17630426655978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10.751907510382761</v>
      </c>
      <c r="DG95" s="21">
        <f>EXP(-LN(2)/25)*DG94+(1-EXP(-LN(2)/25))/(LN(2)/25)*Calculateur!DB95*Calculateur!DD95*VLOOKUP('Données projet'!$B$13,Paramètres!$A$1:$I$89,3,0)*0.475*44/12</f>
        <v>17.214896306492431</v>
      </c>
      <c r="DH95" s="21">
        <f>EXP(-LN(2)/2)*DH94+(1-EXP(-LN(2)/2))/(LN(2)/2)*DB95*DE95*VLOOKUP('Données projet'!$B$13,Paramètres!$A$1:$I$89,3,0)*0.475*44/12</f>
        <v>1.1807219856053468E-11</v>
      </c>
      <c r="DI95" s="22">
        <f t="shared" si="69"/>
        <v>27.966803816886998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405.11800000000017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1061.7116250439863</v>
      </c>
      <c r="S96" s="59">
        <f ca="1">AVERAGE(OFFSET($R$3,0,0,'Données projet'!$E$9+1,1))-AVERAGE(OFFSET($H$3,0,0,'Données projet'!$E$9+1,1))</f>
        <v>567.42635821336114</v>
      </c>
      <c r="T96" s="59">
        <f t="shared" si="88"/>
        <v>299.0473530693472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</v>
      </c>
      <c r="AI96" s="13">
        <f>IF('Données projet'!$A$62&gt;35,AI95+AH96-AQ95,IF(A96&lt;'Données projet'!$A$62,$AF$205^A96,IF(A96='Données projet'!$A$62,'Données projet'!$B$62,AI95+AH96-AQ95)))</f>
        <v>445.8</v>
      </c>
      <c r="AJ96" s="13">
        <f>AI96*VLOOKUP('Données projet'!$B$10,Paramètres!$A$1:$I$89,3,0)*VLOOKUP('Données projet'!$B$10,Paramètres!$A$1:$I$89,5,0)</f>
        <v>382.49640000000005</v>
      </c>
      <c r="AK96" s="13">
        <f t="shared" si="89"/>
        <v>88.218890823541386</v>
      </c>
      <c r="AL96" s="20">
        <f t="shared" si="58"/>
        <v>819.82913151766786</v>
      </c>
      <c r="AM96" s="59">
        <f t="shared" si="59"/>
        <v>1095.1572971895039</v>
      </c>
      <c r="AN96" s="59">
        <f ca="1">AVERAGE(OFFSET($AM$3,0,0,'Données projet'!$E$10+1,1))-AVERAGE(OFFSET($H$3,0,0,'Données projet'!$E$10+1,1))</f>
        <v>569.97793593332699</v>
      </c>
      <c r="AO96" s="59">
        <f t="shared" si="90"/>
        <v>331.25104323342907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119.12624102201313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119.12624102201313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10.060000000000009</v>
      </c>
      <c r="BD96" s="12">
        <f>IF('Données projet'!$A$88&gt;35,BD95+BC96-BL95,IF(A96&lt;'Données projet'!$A$88,$BA$205^A96,IF(A96='Données projet'!$A$88,'Données projet'!$B$88,BD95+BC96-BL95)))</f>
        <v>404.87000000000023</v>
      </c>
      <c r="BE96" s="13">
        <f>BD96*VLOOKUP('Données projet'!$B$11,Paramètres!$A$1:$I$89,3,0)*VLOOKUP('Données projet'!$B$11,Paramètres!$A$1:$I$89,5,0)</f>
        <v>341.0624880000002</v>
      </c>
      <c r="BF96" s="13">
        <f t="shared" si="91"/>
        <v>79.719423291770411</v>
      </c>
      <c r="BG96" s="20">
        <f t="shared" si="61"/>
        <v>732.86182883316712</v>
      </c>
      <c r="BH96" s="59">
        <f t="shared" si="62"/>
        <v>1008.1899945050031</v>
      </c>
      <c r="BI96" s="59">
        <f ca="1">AVERAGE(OFFSET($BH$3,0,0,'Données projet'!$E$11+1,1))-AVERAGE(OFFSET($H$3,0,0,'Données projet'!$E$11+1,1))</f>
        <v>458.88102603650725</v>
      </c>
      <c r="BJ96" s="59">
        <f t="shared" si="92"/>
        <v>277.79020316059552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120.68478216188412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120.68478216188412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269.8175999999998</v>
      </c>
      <c r="CA96" s="13">
        <f t="shared" si="93"/>
        <v>64.810557882019467</v>
      </c>
      <c r="CB96" s="20">
        <f t="shared" si="64"/>
        <v>582.81070831118348</v>
      </c>
      <c r="CC96" s="59">
        <f t="shared" si="65"/>
        <v>858.13887398301949</v>
      </c>
      <c r="CD96" s="59">
        <f ca="1">AVERAGE(OFFSET($CC$3,0,0,'Données projet'!$E$12+1,1))-AVERAGE(OFFSET($H$3,0,0,'Données projet'!$E$12+1,1))</f>
        <v>400.48995908576177</v>
      </c>
      <c r="CE96" s="59">
        <f t="shared" si="94"/>
        <v>384.86917865380076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35.622159491855534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35.622159491855534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277.99999999999994</v>
      </c>
      <c r="CU96" s="17">
        <f>CT96*VLOOKUP('Données projet'!$B$13,Paramètres!$A$1:$I$89,3,0)*VLOOKUP('Données projet'!$B$13,Paramètres!$A$1:$I$89,5,0)</f>
        <v>151.78799999999998</v>
      </c>
      <c r="CV96" s="13">
        <f t="shared" si="95"/>
        <v>38.984634390835623</v>
      </c>
      <c r="CW96" s="20">
        <f t="shared" si="67"/>
        <v>332.26233823070532</v>
      </c>
      <c r="CX96" s="59">
        <f t="shared" si="68"/>
        <v>607.59050390254129</v>
      </c>
      <c r="CY96" s="59">
        <f ca="1">AVERAGE(OFFSET($CX$3,0,0,'Données projet'!$E$13+1,1))-AVERAGE(OFFSET($H$3,0,0,'Données projet'!$E$13+1,1))</f>
        <v>215.37314197175104</v>
      </c>
      <c r="CZ96" s="59">
        <f t="shared" si="96"/>
        <v>361.17630426655978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10.541069162120186</v>
      </c>
      <c r="DG96" s="21">
        <f>EXP(-LN(2)/25)*DG95+(1-EXP(-LN(2)/25))/(LN(2)/25)*Calculateur!DB96*Calculateur!DD96*VLOOKUP('Données projet'!$B$13,Paramètres!$A$1:$I$89,3,0)*0.475*44/12</f>
        <v>16.744154061699344</v>
      </c>
      <c r="DH96" s="21">
        <f>EXP(-LN(2)/2)*DH95+(1-EXP(-LN(2)/2))/(LN(2)/2)*DB96*DE96*VLOOKUP('Données projet'!$B$13,Paramètres!$A$1:$I$89,3,0)*0.475*44/12</f>
        <v>8.3489652271758584E-12</v>
      </c>
      <c r="DI96" s="22">
        <f t="shared" si="69"/>
        <v>27.285223223827877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415.06500000000017</v>
      </c>
      <c r="O97" s="13">
        <f>N97*VLOOKUP('Données projet'!$B$9,Paramètres!$A$1:$I$89,3,0)*VLOOKUP('Données projet'!$B$9,Paramètres!$A$1:$I$89,5,0)</f>
        <v>375.55081200000012</v>
      </c>
      <c r="P97" s="13">
        <f t="shared" si="87"/>
        <v>86.801920262883286</v>
      </c>
      <c r="Q97" s="20">
        <f t="shared" si="54"/>
        <v>805.26434202452185</v>
      </c>
      <c r="R97" s="59">
        <f t="shared" si="55"/>
        <v>1080.9048571017604</v>
      </c>
      <c r="S97" s="59">
        <f ca="1">AVERAGE(OFFSET($R$3,0,0,'Données projet'!$E$9+1,1))-AVERAGE(OFFSET($H$3,0,0,'Données projet'!$E$9+1,1))</f>
        <v>567.42635821336114</v>
      </c>
      <c r="T97" s="59">
        <f t="shared" si="88"/>
        <v>299.0473530693472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8.6</v>
      </c>
      <c r="AI97" s="13">
        <f>IF('Données projet'!$A$62&gt;35,AI96+AH97-AQ96,IF(A97&lt;'Données projet'!$A$62,$AF$205^A97,IF(A97='Données projet'!$A$62,'Données projet'!$B$62,AI96+AH97-AQ96)))</f>
        <v>454.40000000000003</v>
      </c>
      <c r="AJ97" s="13">
        <f>AI97*VLOOKUP('Données projet'!$B$10,Paramètres!$A$1:$I$89,3,0)*VLOOKUP('Données projet'!$B$10,Paramètres!$A$1:$I$89,5,0)</f>
        <v>389.87520000000006</v>
      </c>
      <c r="AK97" s="13">
        <f t="shared" si="89"/>
        <v>89.720964655579479</v>
      </c>
      <c r="AL97" s="20">
        <f t="shared" si="58"/>
        <v>835.29665344180091</v>
      </c>
      <c r="AM97" s="59">
        <f t="shared" si="59"/>
        <v>1110.9371685190395</v>
      </c>
      <c r="AN97" s="59">
        <f ca="1">AVERAGE(OFFSET($AM$3,0,0,'Données projet'!$E$10+1,1))-AVERAGE(OFFSET($H$3,0,0,'Données projet'!$E$10+1,1))</f>
        <v>569.97793593332699</v>
      </c>
      <c r="AO97" s="59">
        <f t="shared" si="90"/>
        <v>331.25104323342907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116.79024809540391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116.79024809540391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10.060000000000009</v>
      </c>
      <c r="BD97" s="12">
        <f>IF('Données projet'!$A$88&gt;35,BD96+BC97-BL96,IF(A97&lt;'Données projet'!$A$88,$BA$205^A97,IF(A97='Données projet'!$A$88,'Données projet'!$B$88,BD96+BC97-BL96)))</f>
        <v>414.93000000000023</v>
      </c>
      <c r="BE97" s="13">
        <f>BD97*VLOOKUP('Données projet'!$B$11,Paramètres!$A$1:$I$89,3,0)*VLOOKUP('Données projet'!$B$11,Paramètres!$A$1:$I$89,5,0)</f>
        <v>349.53703200000024</v>
      </c>
      <c r="BF97" s="13">
        <f t="shared" si="91"/>
        <v>81.467173976108739</v>
      </c>
      <c r="BG97" s="20">
        <f t="shared" si="61"/>
        <v>750.66565874172318</v>
      </c>
      <c r="BH97" s="59">
        <f t="shared" si="62"/>
        <v>1026.3061738189617</v>
      </c>
      <c r="BI97" s="59">
        <f ca="1">AVERAGE(OFFSET($BH$3,0,0,'Données projet'!$E$11+1,1))-AVERAGE(OFFSET($H$3,0,0,'Données projet'!$E$11+1,1))</f>
        <v>458.88102603650725</v>
      </c>
      <c r="BJ97" s="59">
        <f t="shared" si="92"/>
        <v>277.79020316059552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118.31822719413826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118.31822719413826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269.8175999999998</v>
      </c>
      <c r="CA97" s="13">
        <f t="shared" si="93"/>
        <v>64.810557882019467</v>
      </c>
      <c r="CB97" s="20">
        <f t="shared" si="64"/>
        <v>582.81070831118348</v>
      </c>
      <c r="CC97" s="59">
        <f t="shared" si="65"/>
        <v>858.45122338842202</v>
      </c>
      <c r="CD97" s="59">
        <f ca="1">AVERAGE(OFFSET($CC$3,0,0,'Données projet'!$E$12+1,1))-AVERAGE(OFFSET($H$3,0,0,'Données projet'!$E$12+1,1))</f>
        <v>400.48995908576177</v>
      </c>
      <c r="CE97" s="59">
        <f t="shared" si="94"/>
        <v>384.86917865380076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34.923630671592136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34.923630671592136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277.99999999999994</v>
      </c>
      <c r="CU97" s="17">
        <f>CT97*VLOOKUP('Données projet'!$B$13,Paramètres!$A$1:$I$89,3,0)*VLOOKUP('Données projet'!$B$13,Paramètres!$A$1:$I$89,5,0)</f>
        <v>151.78799999999998</v>
      </c>
      <c r="CV97" s="13">
        <f t="shared" si="95"/>
        <v>38.984634390835623</v>
      </c>
      <c r="CW97" s="20">
        <f t="shared" si="67"/>
        <v>332.26233823070532</v>
      </c>
      <c r="CX97" s="59">
        <f t="shared" si="68"/>
        <v>607.90285330794381</v>
      </c>
      <c r="CY97" s="59">
        <f ca="1">AVERAGE(OFFSET($CX$3,0,0,'Données projet'!$E$13+1,1))-AVERAGE(OFFSET($H$3,0,0,'Données projet'!$E$13+1,1))</f>
        <v>215.37314197175104</v>
      </c>
      <c r="CZ97" s="59">
        <f t="shared" si="96"/>
        <v>361.17630426655978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10.334365225268346</v>
      </c>
      <c r="DG97" s="21">
        <f>EXP(-LN(2)/25)*DG96+(1-EXP(-LN(2)/25))/(LN(2)/25)*Calculateur!DB97*Calculateur!DD97*VLOOKUP('Données projet'!$B$13,Paramètres!$A$1:$I$89,3,0)*0.475*44/12</f>
        <v>16.286284288345382</v>
      </c>
      <c r="DH97" s="21">
        <f>EXP(-LN(2)/2)*DH96+(1-EXP(-LN(2)/2))/(LN(2)/2)*DB97*DE97*VLOOKUP('Données projet'!$B$13,Paramètres!$A$1:$I$89,3,0)*0.475*44/12</f>
        <v>5.9036099280267339E-12</v>
      </c>
      <c r="DI97" s="22">
        <f t="shared" si="69"/>
        <v>26.620649513619632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425.01200000000017</v>
      </c>
      <c r="O98" s="13">
        <f>N98*VLOOKUP('Données projet'!$B$9,Paramètres!$A$1:$I$89,3,0)*VLOOKUP('Données projet'!$B$9,Paramètres!$A$1:$I$89,5,0)</f>
        <v>384.55085760000014</v>
      </c>
      <c r="P98" s="13">
        <f t="shared" si="87"/>
        <v>88.637444941196293</v>
      </c>
      <c r="Q98" s="20">
        <f t="shared" si="54"/>
        <v>824.13629359258368</v>
      </c>
      <c r="R98" s="59">
        <f t="shared" si="55"/>
        <v>1100.0837395113497</v>
      </c>
      <c r="S98" s="59">
        <f ca="1">AVERAGE(OFFSET($R$3,0,0,'Données projet'!$E$9+1,1))-AVERAGE(OFFSET($H$3,0,0,'Données projet'!$E$9+1,1))</f>
        <v>567.42635821336114</v>
      </c>
      <c r="T98" s="59">
        <f t="shared" si="88"/>
        <v>299.0473530693472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463</v>
      </c>
      <c r="AG98" s="12">
        <f>VLOOKUP(A98,'Données projet'!$A$61:$I$81,9,0)</f>
        <v>8.6</v>
      </c>
      <c r="AH98" s="12">
        <f t="array" ref="AH98">INDEX(AG:AG,MIN(IF(ISNUMBER(AG98:AG294),ROW(AG98:AG294),"")))</f>
        <v>8.6</v>
      </c>
      <c r="AI98" s="13">
        <f>IF('Données projet'!$A$62&gt;35,AI97+AH98-AQ97,IF(A98&lt;'Données projet'!$A$62,$AF$205^A98,IF(A98='Données projet'!$A$62,'Données projet'!$B$62,AI97+AH98-AQ97)))</f>
        <v>463.00000000000006</v>
      </c>
      <c r="AJ98" s="13">
        <f>AI98*VLOOKUP('Données projet'!$B$10,Paramètres!$A$1:$I$89,3,0)*VLOOKUP('Données projet'!$B$10,Paramètres!$A$1:$I$89,5,0)</f>
        <v>397.25400000000013</v>
      </c>
      <c r="AK98" s="13">
        <f t="shared" si="89"/>
        <v>91.219732863167494</v>
      </c>
      <c r="AL98" s="20">
        <f t="shared" si="58"/>
        <v>850.75841807001689</v>
      </c>
      <c r="AM98" s="59">
        <f t="shared" si="59"/>
        <v>1126.7058639887828</v>
      </c>
      <c r="AN98" s="59">
        <f ca="1">AVERAGE(OFFSET($AM$3,0,0,'Données projet'!$E$10+1,1))-AVERAGE(OFFSET($H$3,0,0,'Données projet'!$E$10+1,1))</f>
        <v>569.97793593332699</v>
      </c>
      <c r="AO98" s="59">
        <f t="shared" si="90"/>
        <v>331.25104323342907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30</v>
      </c>
      <c r="AR98" s="16">
        <f>IF(ISNA(VLOOKUP(A98,'Données projet'!$A$61:$I$81,5,0)),0%,VLOOKUP(A98,'Données projet'!$A$61:$I$81,5,0)*VLOOKUP('Données projet'!$B$10,Paramètres!$A$1:$I$89,7,0))</f>
        <v>0.53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129.58111057693492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129.58111057693492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10.060000000000009</v>
      </c>
      <c r="BD98" s="12">
        <f>IF('Données projet'!$A$88&gt;35,BD97+BC98-BL97,IF(A98&lt;'Données projet'!$A$88,$BA$205^A98,IF(A98='Données projet'!$A$88,'Données projet'!$B$88,BD97+BC98-BL97)))</f>
        <v>424.99000000000024</v>
      </c>
      <c r="BE98" s="13">
        <f>BD98*VLOOKUP('Données projet'!$B$11,Paramètres!$A$1:$I$89,3,0)*VLOOKUP('Données projet'!$B$11,Paramètres!$A$1:$I$89,5,0)</f>
        <v>358.01157600000022</v>
      </c>
      <c r="BF98" s="13">
        <f t="shared" si="91"/>
        <v>83.209998734223689</v>
      </c>
      <c r="BG98" s="20">
        <f t="shared" si="61"/>
        <v>768.46090932877325</v>
      </c>
      <c r="BH98" s="59">
        <f t="shared" si="62"/>
        <v>1044.4083552475392</v>
      </c>
      <c r="BI98" s="59">
        <f ca="1">AVERAGE(OFFSET($BH$3,0,0,'Données projet'!$E$11+1,1))-AVERAGE(OFFSET($H$3,0,0,'Données projet'!$E$11+1,1))</f>
        <v>458.88102603650725</v>
      </c>
      <c r="BJ98" s="59">
        <f t="shared" si="92"/>
        <v>277.79020316059552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115.9980789258539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115.9980789258539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269.8175999999998</v>
      </c>
      <c r="CA98" s="13">
        <f t="shared" si="93"/>
        <v>64.810557882019467</v>
      </c>
      <c r="CB98" s="20">
        <f t="shared" si="64"/>
        <v>582.81070831118348</v>
      </c>
      <c r="CC98" s="59">
        <f t="shared" si="65"/>
        <v>858.75815422994947</v>
      </c>
      <c r="CD98" s="59">
        <f ca="1">AVERAGE(OFFSET($CC$3,0,0,'Données projet'!$E$12+1,1))-AVERAGE(OFFSET($H$3,0,0,'Données projet'!$E$12+1,1))</f>
        <v>400.48995908576177</v>
      </c>
      <c r="CE98" s="59">
        <f t="shared" si="94"/>
        <v>384.86917865380076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34.238799575433596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34.238799575433596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277.99999999999994</v>
      </c>
      <c r="CU98" s="17">
        <f>CT98*VLOOKUP('Données projet'!$B$13,Paramètres!$A$1:$I$89,3,0)*VLOOKUP('Données projet'!$B$13,Paramètres!$A$1:$I$89,5,0)</f>
        <v>151.78799999999998</v>
      </c>
      <c r="CV98" s="13">
        <f t="shared" si="95"/>
        <v>38.984634390835623</v>
      </c>
      <c r="CW98" s="20">
        <f t="shared" si="67"/>
        <v>332.26233823070532</v>
      </c>
      <c r="CX98" s="59">
        <f t="shared" si="68"/>
        <v>608.20978414947126</v>
      </c>
      <c r="CY98" s="59">
        <f ca="1">AVERAGE(OFFSET($CX$3,0,0,'Données projet'!$E$13+1,1))-AVERAGE(OFFSET($H$3,0,0,'Données projet'!$E$13+1,1))</f>
        <v>215.37314197175104</v>
      </c>
      <c r="CZ98" s="59">
        <f t="shared" si="96"/>
        <v>361.17630426655978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10.131714626541218</v>
      </c>
      <c r="DG98" s="21">
        <f>EXP(-LN(2)/25)*DG97+(1-EXP(-LN(2)/25))/(LN(2)/25)*Calculateur!DB98*Calculateur!DD98*VLOOKUP('Données projet'!$B$13,Paramètres!$A$1:$I$89,3,0)*0.475*44/12</f>
        <v>15.840934988022109</v>
      </c>
      <c r="DH98" s="21">
        <f>EXP(-LN(2)/2)*DH97+(1-EXP(-LN(2)/2))/(LN(2)/2)*DB98*DE98*VLOOKUP('Données projet'!$B$13,Paramètres!$A$1:$I$89,3,0)*0.475*44/12</f>
        <v>4.1744826135879292E-12</v>
      </c>
      <c r="DI98" s="22">
        <f t="shared" si="69"/>
        <v>25.972649614567501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434.95900000000017</v>
      </c>
      <c r="O99" s="13">
        <f>N99*VLOOKUP('Données projet'!$B$9,Paramètres!$A$1:$I$89,3,0)*VLOOKUP('Données projet'!$B$9,Paramètres!$A$1:$I$89,5,0)</f>
        <v>393.55090320000016</v>
      </c>
      <c r="P99" s="13">
        <f t="shared" si="87"/>
        <v>90.467975549637174</v>
      </c>
      <c r="Q99" s="20">
        <f t="shared" ref="Q99:Q130" si="107">(O99+P99)*0.475*44/12</f>
        <v>842.99954715561842</v>
      </c>
      <c r="R99" s="59">
        <f t="shared" si="55"/>
        <v>1119.2485993520058</v>
      </c>
      <c r="S99" s="59">
        <f ca="1">AVERAGE(OFFSET($R$3,0,0,'Données projet'!$E$9+1,1))-AVERAGE(OFFSET($H$3,0,0,'Données projet'!$E$9+1,1))</f>
        <v>567.42635821336114</v>
      </c>
      <c r="T99" s="59">
        <f t="shared" si="88"/>
        <v>299.0473530693472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8.1999999999999993</v>
      </c>
      <c r="AI99" s="13">
        <f>IF('Données projet'!$A$62&gt;35,AI98+AH99-AQ98,IF(A99&lt;'Données projet'!$A$62,$AF$205^A99,IF(A99='Données projet'!$A$62,'Données projet'!$B$62,AI98+AH99-AQ98)))</f>
        <v>441.20000000000005</v>
      </c>
      <c r="AJ99" s="13">
        <f>AI99*VLOOKUP('Données projet'!$B$10,Paramètres!$A$1:$I$89,3,0)*VLOOKUP('Données projet'!$B$10,Paramètres!$A$1:$I$89,5,0)</f>
        <v>378.54960000000011</v>
      </c>
      <c r="AK99" s="13">
        <f t="shared" si="89"/>
        <v>87.414074444191471</v>
      </c>
      <c r="AL99" s="20">
        <f t="shared" si="58"/>
        <v>811.55339965696703</v>
      </c>
      <c r="AM99" s="59">
        <f t="shared" si="59"/>
        <v>1087.8024518533543</v>
      </c>
      <c r="AN99" s="59">
        <f ca="1">AVERAGE(OFFSET($AM$3,0,0,'Données projet'!$E$10+1,1))-AVERAGE(OFFSET($H$3,0,0,'Données projet'!$E$10+1,1))</f>
        <v>569.97793593332699</v>
      </c>
      <c r="AO99" s="59">
        <f t="shared" si="90"/>
        <v>331.25104323342907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127.04010403519446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127.04010403519446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10.060000000000009</v>
      </c>
      <c r="BD99" s="12">
        <f>IF('Données projet'!$A$88&gt;35,BD98+BC99-BL98,IF(A99&lt;'Données projet'!$A$88,$BA$205^A99,IF(A99='Données projet'!$A$88,'Données projet'!$B$88,BD98+BC99-BL98)))</f>
        <v>435.05000000000024</v>
      </c>
      <c r="BE99" s="13">
        <f>BD99*VLOOKUP('Données projet'!$B$11,Paramètres!$A$1:$I$89,3,0)*VLOOKUP('Données projet'!$B$11,Paramètres!$A$1:$I$89,5,0)</f>
        <v>366.4861200000002</v>
      </c>
      <c r="BF99" s="13">
        <f t="shared" si="91"/>
        <v>84.948027586316087</v>
      </c>
      <c r="BG99" s="20">
        <f t="shared" si="61"/>
        <v>786.24780704616751</v>
      </c>
      <c r="BH99" s="59">
        <f t="shared" si="62"/>
        <v>1062.4968592425548</v>
      </c>
      <c r="BI99" s="59">
        <f ca="1">AVERAGE(OFFSET($BH$3,0,0,'Données projet'!$E$11+1,1))-AVERAGE(OFFSET($H$3,0,0,'Données projet'!$E$11+1,1))</f>
        <v>458.88102603650725</v>
      </c>
      <c r="BJ99" s="59">
        <f t="shared" si="92"/>
        <v>277.79020316059552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113.72342734995989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113.72342734995989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269.8175999999998</v>
      </c>
      <c r="CA99" s="13">
        <f t="shared" si="93"/>
        <v>64.810557882019467</v>
      </c>
      <c r="CB99" s="20">
        <f t="shared" si="64"/>
        <v>582.81070831118348</v>
      </c>
      <c r="CC99" s="59">
        <f t="shared" si="65"/>
        <v>859.0597605075709</v>
      </c>
      <c r="CD99" s="59">
        <f ca="1">AVERAGE(OFFSET($CC$3,0,0,'Données projet'!$E$12+1,1))-AVERAGE(OFFSET($H$3,0,0,'Données projet'!$E$12+1,1))</f>
        <v>400.48995908576177</v>
      </c>
      <c r="CE99" s="59">
        <f t="shared" si="94"/>
        <v>384.86917865380076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33.567397599365002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33.567397599365002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277.99999999999994</v>
      </c>
      <c r="CU99" s="17">
        <f>CT99*VLOOKUP('Données projet'!$B$13,Paramètres!$A$1:$I$89,3,0)*VLOOKUP('Données projet'!$B$13,Paramètres!$A$1:$I$89,5,0)</f>
        <v>151.78799999999998</v>
      </c>
      <c r="CV99" s="13">
        <f t="shared" si="95"/>
        <v>38.984634390835623</v>
      </c>
      <c r="CW99" s="20">
        <f t="shared" si="67"/>
        <v>332.26233823070532</v>
      </c>
      <c r="CX99" s="59">
        <f t="shared" si="68"/>
        <v>608.51139042709269</v>
      </c>
      <c r="CY99" s="59">
        <f ca="1">AVERAGE(OFFSET($CX$3,0,0,'Données projet'!$E$13+1,1))-AVERAGE(OFFSET($H$3,0,0,'Données projet'!$E$13+1,1))</f>
        <v>215.37314197175104</v>
      </c>
      <c r="CZ99" s="59">
        <f t="shared" si="96"/>
        <v>361.17630426655978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9.9330378824504688</v>
      </c>
      <c r="DG99" s="21">
        <f>EXP(-LN(2)/25)*DG98+(1-EXP(-LN(2)/25))/(LN(2)/25)*Calculateur!DB99*Calculateur!DD99*VLOOKUP('Données projet'!$B$13,Paramètres!$A$1:$I$89,3,0)*0.475*44/12</f>
        <v>15.407763787736078</v>
      </c>
      <c r="DH99" s="21">
        <f>EXP(-LN(2)/2)*DH98+(1-EXP(-LN(2)/2))/(LN(2)/2)*DB99*DE99*VLOOKUP('Données projet'!$B$13,Paramètres!$A$1:$I$89,3,0)*0.475*44/12</f>
        <v>2.951804964013367E-12</v>
      </c>
      <c r="DI99" s="22">
        <f t="shared" si="69"/>
        <v>25.340801670189499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444.90600000000018</v>
      </c>
      <c r="O100" s="13">
        <f>N100*VLOOKUP('Données projet'!$B$9,Paramètres!$A$1:$I$89,3,0)*VLOOKUP('Données projet'!$B$9,Paramètres!$A$1:$I$89,5,0)</f>
        <v>402.55094880000019</v>
      </c>
      <c r="P100" s="13">
        <f t="shared" si="87"/>
        <v>92.293639443453927</v>
      </c>
      <c r="Q100" s="20">
        <f t="shared" si="107"/>
        <v>861.85432452401585</v>
      </c>
      <c r="R100" s="59">
        <f t="shared" si="55"/>
        <v>1138.3997508033985</v>
      </c>
      <c r="S100" s="59">
        <f ca="1">AVERAGE(OFFSET($R$3,0,0,'Données projet'!$E$9+1,1))-AVERAGE(OFFSET($H$3,0,0,'Données projet'!$E$9+1,1))</f>
        <v>567.42635821336114</v>
      </c>
      <c r="T100" s="59">
        <f t="shared" si="88"/>
        <v>299.0473530693472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8.1999999999999993</v>
      </c>
      <c r="AI100" s="13">
        <f>IF('Données projet'!$A$62&gt;35,AI99+AH100-AQ99,IF(A100&lt;'Données projet'!$A$62,$AF$205^A100,IF(A100='Données projet'!$A$62,'Données projet'!$B$62,AI99+AH100-AQ99)))</f>
        <v>449.40000000000003</v>
      </c>
      <c r="AJ100" s="13">
        <f>AI100*VLOOKUP('Données projet'!$B$10,Paramètres!$A$1:$I$89,3,0)*VLOOKUP('Données projet'!$B$10,Paramètres!$A$1:$I$89,5,0)</f>
        <v>385.5852000000001</v>
      </c>
      <c r="AK100" s="13">
        <f t="shared" si="89"/>
        <v>88.84807267555091</v>
      </c>
      <c r="AL100" s="20">
        <f t="shared" si="58"/>
        <v>826.30461657658464</v>
      </c>
      <c r="AM100" s="59">
        <f t="shared" si="59"/>
        <v>1102.8500428559673</v>
      </c>
      <c r="AN100" s="59">
        <f ca="1">AVERAGE(OFFSET($AM$3,0,0,'Données projet'!$E$10+1,1))-AVERAGE(OFFSET($H$3,0,0,'Données projet'!$E$10+1,1))</f>
        <v>569.97793593332699</v>
      </c>
      <c r="AO100" s="59">
        <f t="shared" si="90"/>
        <v>331.25104323342907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124.54892508187658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124.54892508187658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10.060000000000009</v>
      </c>
      <c r="BD100" s="12">
        <f>IF('Données projet'!$A$88&gt;35,BD99+BC100-BL99,IF(A100&lt;'Données projet'!$A$88,$BA$205^A100,IF(A100='Données projet'!$A$88,'Données projet'!$B$88,BD99+BC100-BL99)))</f>
        <v>445.11000000000024</v>
      </c>
      <c r="BE100" s="13">
        <f>BD100*VLOOKUP('Données projet'!$B$11,Paramètres!$A$1:$I$89,3,0)*VLOOKUP('Données projet'!$B$11,Paramètres!$A$1:$I$89,5,0)</f>
        <v>374.96066400000024</v>
      </c>
      <c r="BF100" s="13">
        <f t="shared" si="91"/>
        <v>86.681384196357783</v>
      </c>
      <c r="BG100" s="20">
        <f t="shared" si="61"/>
        <v>804.02656727532349</v>
      </c>
      <c r="BH100" s="59">
        <f t="shared" si="62"/>
        <v>1080.5719935547063</v>
      </c>
      <c r="BI100" s="59">
        <f ca="1">AVERAGE(OFFSET($BH$3,0,0,'Données projet'!$E$11+1,1))-AVERAGE(OFFSET($H$3,0,0,'Données projet'!$E$11+1,1))</f>
        <v>458.88102603650725</v>
      </c>
      <c r="BJ100" s="59">
        <f t="shared" si="92"/>
        <v>277.79020316059552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111.49338030406869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111.49338030406869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269.8175999999998</v>
      </c>
      <c r="CA100" s="13">
        <f t="shared" si="93"/>
        <v>64.810557882019467</v>
      </c>
      <c r="CB100" s="20">
        <f t="shared" si="64"/>
        <v>582.81070831118348</v>
      </c>
      <c r="CC100" s="59">
        <f t="shared" si="65"/>
        <v>859.35613459056628</v>
      </c>
      <c r="CD100" s="59">
        <f ca="1">AVERAGE(OFFSET($CC$3,0,0,'Données projet'!$E$12+1,1))-AVERAGE(OFFSET($H$3,0,0,'Données projet'!$E$12+1,1))</f>
        <v>400.48995908576177</v>
      </c>
      <c r="CE100" s="59">
        <f t="shared" si="94"/>
        <v>384.86917865380076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32.909161406532341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32.909161406532341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277.99999999999994</v>
      </c>
      <c r="CU100" s="17">
        <f>CT100*VLOOKUP('Données projet'!$B$13,Paramètres!$A$1:$I$89,3,0)*VLOOKUP('Données projet'!$B$13,Paramètres!$A$1:$I$89,5,0)</f>
        <v>151.78799999999998</v>
      </c>
      <c r="CV100" s="13">
        <f t="shared" si="95"/>
        <v>38.984634390835623</v>
      </c>
      <c r="CW100" s="20">
        <f t="shared" si="67"/>
        <v>332.26233823070532</v>
      </c>
      <c r="CX100" s="59">
        <f t="shared" si="68"/>
        <v>608.80776451008819</v>
      </c>
      <c r="CY100" s="59">
        <f ca="1">AVERAGE(OFFSET($CX$3,0,0,'Données projet'!$E$13+1,1))-AVERAGE(OFFSET($H$3,0,0,'Données projet'!$E$13+1,1))</f>
        <v>215.37314197175104</v>
      </c>
      <c r="CZ100" s="59">
        <f t="shared" si="96"/>
        <v>361.17630426655978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9.7382570681304905</v>
      </c>
      <c r="DG100" s="21">
        <f>EXP(-LN(2)/25)*DG99+(1-EXP(-LN(2)/25))/(LN(2)/25)*Calculateur!DB100*Calculateur!DD100*VLOOKUP('Données projet'!$B$13,Paramètres!$A$1:$I$89,3,0)*0.475*44/12</f>
        <v>14.986437676701353</v>
      </c>
      <c r="DH100" s="21">
        <f>EXP(-LN(2)/2)*DH99+(1-EXP(-LN(2)/2))/(LN(2)/2)*DB100*DE100*VLOOKUP('Données projet'!$B$13,Paramètres!$A$1:$I$89,3,0)*0.475*44/12</f>
        <v>2.0872413067939646E-12</v>
      </c>
      <c r="DI100" s="22">
        <f t="shared" si="69"/>
        <v>24.724694744833933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454.85300000000018</v>
      </c>
      <c r="O101" s="13">
        <f>N101*VLOOKUP('Données projet'!$B$9,Paramètres!$A$1:$I$89,3,0)*VLOOKUP('Données projet'!$B$9,Paramètres!$A$1:$I$89,5,0)</f>
        <v>411.55099440000015</v>
      </c>
      <c r="P101" s="13">
        <f t="shared" si="87"/>
        <v>94.11455795809178</v>
      </c>
      <c r="Q101" s="20">
        <f t="shared" si="107"/>
        <v>880.70083702367674</v>
      </c>
      <c r="R101" s="59">
        <f t="shared" si="55"/>
        <v>1157.5374959583082</v>
      </c>
      <c r="S101" s="59">
        <f ca="1">AVERAGE(OFFSET($R$3,0,0,'Données projet'!$E$9+1,1))-AVERAGE(OFFSET($H$3,0,0,'Données projet'!$E$9+1,1))</f>
        <v>567.42635821336114</v>
      </c>
      <c r="T101" s="59">
        <f t="shared" si="88"/>
        <v>299.0473530693472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8.1999999999999993</v>
      </c>
      <c r="AI101" s="13">
        <f>IF('Données projet'!$A$62&gt;35,AI100+AH101-AQ100,IF(A101&lt;'Données projet'!$A$62,$AF$205^A101,IF(A101='Données projet'!$A$62,'Données projet'!$B$62,AI100+AH101-AQ100)))</f>
        <v>457.6</v>
      </c>
      <c r="AJ101" s="13">
        <f>AI101*VLOOKUP('Données projet'!$B$10,Paramètres!$A$1:$I$89,3,0)*VLOOKUP('Données projet'!$B$10,Paramètres!$A$1:$I$89,5,0)</f>
        <v>392.62080000000009</v>
      </c>
      <c r="AK101" s="13">
        <f t="shared" si="89"/>
        <v>90.279028293744005</v>
      </c>
      <c r="AL101" s="20">
        <f t="shared" si="58"/>
        <v>841.0505342782709</v>
      </c>
      <c r="AM101" s="59">
        <f t="shared" si="59"/>
        <v>1117.8871932129023</v>
      </c>
      <c r="AN101" s="59">
        <f ca="1">AVERAGE(OFFSET($AM$3,0,0,'Données projet'!$E$10+1,1))-AVERAGE(OFFSET($H$3,0,0,'Données projet'!$E$10+1,1))</f>
        <v>569.97793593332699</v>
      </c>
      <c r="AO101" s="59">
        <f t="shared" si="90"/>
        <v>331.25104323342907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122.10659662836413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122.10659662836413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10.060000000000009</v>
      </c>
      <c r="BD101" s="12">
        <f>IF('Données projet'!$A$88&gt;35,BD100+BC101-BL100,IF(A101&lt;'Données projet'!$A$88,$BA$205^A101,IF(A101='Données projet'!$A$88,'Données projet'!$B$88,BD100+BC101-BL100)))</f>
        <v>455.17000000000024</v>
      </c>
      <c r="BE101" s="13">
        <f>BD101*VLOOKUP('Données projet'!$B$11,Paramètres!$A$1:$I$89,3,0)*VLOOKUP('Données projet'!$B$11,Paramètres!$A$1:$I$89,5,0)</f>
        <v>383.43520800000022</v>
      </c>
      <c r="BF101" s="13">
        <f t="shared" si="91"/>
        <v>88.410186319352363</v>
      </c>
      <c r="BG101" s="20">
        <f t="shared" si="61"/>
        <v>821.79739510620573</v>
      </c>
      <c r="BH101" s="59">
        <f t="shared" si="62"/>
        <v>1098.6340540408371</v>
      </c>
      <c r="BI101" s="59">
        <f ca="1">AVERAGE(OFFSET($BH$3,0,0,'Données projet'!$E$11+1,1))-AVERAGE(OFFSET($H$3,0,0,'Données projet'!$E$11+1,1))</f>
        <v>458.88102603650725</v>
      </c>
      <c r="BJ101" s="59">
        <f t="shared" si="92"/>
        <v>277.79020316059552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109.30706312055302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109.30706312055302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269.8175999999998</v>
      </c>
      <c r="CA101" s="13">
        <f t="shared" si="93"/>
        <v>64.810557882019467</v>
      </c>
      <c r="CB101" s="20">
        <f t="shared" si="64"/>
        <v>582.81070831118348</v>
      </c>
      <c r="CC101" s="59">
        <f t="shared" si="65"/>
        <v>859.64736724581485</v>
      </c>
      <c r="CD101" s="59">
        <f ca="1">AVERAGE(OFFSET($CC$3,0,0,'Données projet'!$E$12+1,1))-AVERAGE(OFFSET($H$3,0,0,'Données projet'!$E$12+1,1))</f>
        <v>400.48995908576177</v>
      </c>
      <c r="CE101" s="59">
        <f t="shared" si="94"/>
        <v>384.86917865380076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32.263832823956697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32.263832823956697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277.99999999999994</v>
      </c>
      <c r="CU101" s="17">
        <f>CT101*VLOOKUP('Données projet'!$B$13,Paramètres!$A$1:$I$89,3,0)*VLOOKUP('Données projet'!$B$13,Paramètres!$A$1:$I$89,5,0)</f>
        <v>151.78799999999998</v>
      </c>
      <c r="CV101" s="13">
        <f t="shared" si="95"/>
        <v>38.984634390835623</v>
      </c>
      <c r="CW101" s="20">
        <f t="shared" si="67"/>
        <v>332.26233823070532</v>
      </c>
      <c r="CX101" s="59">
        <f t="shared" si="68"/>
        <v>609.09899716533664</v>
      </c>
      <c r="CY101" s="59">
        <f ca="1">AVERAGE(OFFSET($CX$3,0,0,'Données projet'!$E$13+1,1))-AVERAGE(OFFSET($H$3,0,0,'Données projet'!$E$13+1,1))</f>
        <v>215.37314197175104</v>
      </c>
      <c r="CZ101" s="59">
        <f t="shared" si="96"/>
        <v>361.17630426655978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9.547295786774761</v>
      </c>
      <c r="DG101" s="21">
        <f>EXP(-LN(2)/25)*DG100+(1-EXP(-LN(2)/25))/(LN(2)/25)*Calculateur!DB101*Calculateur!DD101*VLOOKUP('Données projet'!$B$13,Paramètres!$A$1:$I$89,3,0)*0.475*44/12</f>
        <v>14.576632750329448</v>
      </c>
      <c r="DH101" s="21">
        <f>EXP(-LN(2)/2)*DH100+(1-EXP(-LN(2)/2))/(LN(2)/2)*DB101*DE101*VLOOKUP('Données projet'!$B$13,Paramètres!$A$1:$I$89,3,0)*0.475*44/12</f>
        <v>1.4759024820066835E-12</v>
      </c>
      <c r="DI101" s="22">
        <f t="shared" si="69"/>
        <v>24.123928537105684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464.80000000000018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1176.6621255642731</v>
      </c>
      <c r="S102" s="59">
        <f ca="1">AVERAGE(OFFSET($R$3,0,0,'Données projet'!$E$9+1,1))-AVERAGE(OFFSET($H$3,0,0,'Données projet'!$E$9+1,1))</f>
        <v>567.42635821336114</v>
      </c>
      <c r="T102" s="59">
        <f t="shared" si="88"/>
        <v>299.0473530693472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8.1999999999999993</v>
      </c>
      <c r="AI102" s="13">
        <f>IF('Données projet'!$A$62&gt;35,AI101+AH102-AQ101,IF(A102&lt;'Données projet'!$A$62,$AF$205^A102,IF(A102='Données projet'!$A$62,'Données projet'!$B$62,AI101+AH102-AQ101)))</f>
        <v>465.8</v>
      </c>
      <c r="AJ102" s="13">
        <f>AI102*VLOOKUP('Données projet'!$B$10,Paramètres!$A$1:$I$89,3,0)*VLOOKUP('Données projet'!$B$10,Paramètres!$A$1:$I$89,5,0)</f>
        <v>399.65640000000008</v>
      </c>
      <c r="AK102" s="13">
        <f t="shared" si="89"/>
        <v>91.707002110648844</v>
      </c>
      <c r="AL102" s="20">
        <f t="shared" si="58"/>
        <v>855.79125867604671</v>
      </c>
      <c r="AM102" s="59">
        <f t="shared" si="59"/>
        <v>1132.9140980304569</v>
      </c>
      <c r="AN102" s="59">
        <f ca="1">AVERAGE(OFFSET($AM$3,0,0,'Données projet'!$E$10+1,1))-AVERAGE(OFFSET($H$3,0,0,'Données projet'!$E$10+1,1))</f>
        <v>569.97793593332699</v>
      </c>
      <c r="AO102" s="59">
        <f t="shared" si="90"/>
        <v>331.25104323342907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119.7121607461518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119.7121607461518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465.23</v>
      </c>
      <c r="BB102" s="12">
        <f>VLOOKUP(A102,'Données projet'!$A$87:$I$107,9,0)</f>
        <v>10.060000000000009</v>
      </c>
      <c r="BC102" s="12">
        <f t="array" ref="BC102">INDEX(BB:BB,MIN(IF(ISNUMBER(BB102:BB298),ROW(BB102:BB298),"")))</f>
        <v>10.060000000000009</v>
      </c>
      <c r="BD102" s="12">
        <f>IF('Données projet'!$A$88&gt;35,BD101+BC102-BL101,IF(A102&lt;'Données projet'!$A$88,$BA$205^A102,IF(A102='Données projet'!$A$88,'Données projet'!$B$88,BD101+BC102-BL101)))</f>
        <v>465.23000000000025</v>
      </c>
      <c r="BE102" s="13">
        <f>BD102*VLOOKUP('Données projet'!$B$11,Paramètres!$A$1:$I$89,3,0)*VLOOKUP('Données projet'!$B$11,Paramètres!$A$1:$I$89,5,0)</f>
        <v>391.90975200000025</v>
      </c>
      <c r="BF102" s="13">
        <f t="shared" si="91"/>
        <v>90.134546207940858</v>
      </c>
      <c r="BG102" s="20">
        <f t="shared" si="61"/>
        <v>839.56048604549733</v>
      </c>
      <c r="BH102" s="59">
        <f t="shared" si="62"/>
        <v>1116.6833253999075</v>
      </c>
      <c r="BI102" s="59">
        <f ca="1">AVERAGE(OFFSET($BH$3,0,0,'Données projet'!$E$11+1,1))-AVERAGE(OFFSET($H$3,0,0,'Données projet'!$E$11+1,1))</f>
        <v>458.88102603650725</v>
      </c>
      <c r="BJ102" s="59">
        <f t="shared" si="92"/>
        <v>277.79020316059552</v>
      </c>
      <c r="BK102" s="15">
        <f>IF(ISNA(VLOOKUP(A102,'Données projet'!$A$87:$I$107,3,0)),0,VLOOKUP(A102,'Données projet'!$A$87:$I$107,3,0))</f>
        <v>10</v>
      </c>
      <c r="BL102" s="15">
        <f>IF(ISNA(VLOOKUP(A102,'Données projet'!$A$87:$I$107,4,0)),0,VLOOKUP(A102,'Données projet'!$A$87:$I$107,4,0))</f>
        <v>198.88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186.80247843117897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186.80247843117897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269.8175999999998</v>
      </c>
      <c r="CA102" s="13">
        <f t="shared" si="93"/>
        <v>64.810557882019467</v>
      </c>
      <c r="CB102" s="20">
        <f t="shared" si="64"/>
        <v>582.81070831118348</v>
      </c>
      <c r="CC102" s="59">
        <f t="shared" si="65"/>
        <v>859.93354766559355</v>
      </c>
      <c r="CD102" s="59">
        <f ca="1">AVERAGE(OFFSET($CC$3,0,0,'Données projet'!$E$12+1,1))-AVERAGE(OFFSET($H$3,0,0,'Données projet'!$E$12+1,1))</f>
        <v>400.48995908576177</v>
      </c>
      <c r="CE102" s="59">
        <f t="shared" si="94"/>
        <v>384.86917865380076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31.63115874127379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31.63115874127379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277.99999999999994</v>
      </c>
      <c r="CU102" s="17">
        <f>CT102*VLOOKUP('Données projet'!$B$13,Paramètres!$A$1:$I$89,3,0)*VLOOKUP('Données projet'!$B$13,Paramètres!$A$1:$I$89,5,0)</f>
        <v>151.78799999999998</v>
      </c>
      <c r="CV102" s="13">
        <f t="shared" si="95"/>
        <v>38.984634390835623</v>
      </c>
      <c r="CW102" s="20">
        <f t="shared" si="67"/>
        <v>332.26233823070532</v>
      </c>
      <c r="CX102" s="59">
        <f t="shared" si="68"/>
        <v>609.38517758511546</v>
      </c>
      <c r="CY102" s="59">
        <f ca="1">AVERAGE(OFFSET($CX$3,0,0,'Données projet'!$E$13+1,1))-AVERAGE(OFFSET($H$3,0,0,'Données projet'!$E$13+1,1))</f>
        <v>215.37314197175104</v>
      </c>
      <c r="CZ102" s="59">
        <f t="shared" si="96"/>
        <v>361.17630426655978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9.3600791396715373</v>
      </c>
      <c r="DG102" s="21">
        <f>EXP(-LN(2)/25)*DG101+(1-EXP(-LN(2)/25))/(LN(2)/25)*Calculateur!DB102*Calculateur!DD102*VLOOKUP('Données projet'!$B$13,Paramètres!$A$1:$I$89,3,0)*0.475*44/12</f>
        <v>14.178033961219889</v>
      </c>
      <c r="DH102" s="21">
        <f>EXP(-LN(2)/2)*DH101+(1-EXP(-LN(2)/2))/(LN(2)/2)*DB102*DE102*VLOOKUP('Données projet'!$B$13,Paramètres!$A$1:$I$89,3,0)*0.475*44/12</f>
        <v>1.0436206533969823E-12</v>
      </c>
      <c r="DI102" s="22">
        <f t="shared" si="69"/>
        <v>23.53811310089247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411.5710000000002</v>
      </c>
      <c r="O103" s="13">
        <f>N103*VLOOKUP('Données projet'!$B$9,Paramètres!$A$1:$I$89,3,0)*VLOOKUP('Données projet'!$B$9,Paramètres!$A$1:$I$89,5,0)</f>
        <v>372.38944080000016</v>
      </c>
      <c r="P103" s="13">
        <f t="shared" si="87"/>
        <v>86.155960872174546</v>
      </c>
      <c r="Q103" s="20">
        <f t="shared" si="107"/>
        <v>798.6332412457042</v>
      </c>
      <c r="R103" s="59">
        <f t="shared" si="55"/>
        <v>1076.0372964294133</v>
      </c>
      <c r="S103" s="59">
        <f ca="1">AVERAGE(OFFSET($R$3,0,0,'Données projet'!$E$9+1,1))-AVERAGE(OFFSET($H$3,0,0,'Données projet'!$E$9+1,1))</f>
        <v>567.42635821336114</v>
      </c>
      <c r="T103" s="59">
        <f t="shared" si="88"/>
        <v>299.0473530693472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474</v>
      </c>
      <c r="AG103" s="12">
        <f>VLOOKUP(A103,'Données projet'!$A$61:$I$81,9,0)</f>
        <v>8.1999999999999993</v>
      </c>
      <c r="AH103" s="12">
        <f t="array" ref="AH103">INDEX(AG:AG,MIN(IF(ISNUMBER(AG103:AG299),ROW(AG103:AG299),"")))</f>
        <v>8.1999999999999993</v>
      </c>
      <c r="AI103" s="13">
        <f>IF('Données projet'!$A$62&gt;35,AI102+AH103-AQ102,IF(A103&lt;'Données projet'!$A$62,$AF$205^A103,IF(A103='Données projet'!$A$62,'Données projet'!$B$62,AI102+AH103-AQ102)))</f>
        <v>474</v>
      </c>
      <c r="AJ103" s="13">
        <f>AI103*VLOOKUP('Données projet'!$B$10,Paramètres!$A$1:$I$89,3,0)*VLOOKUP('Données projet'!$B$10,Paramètres!$A$1:$I$89,5,0)</f>
        <v>406.69200000000006</v>
      </c>
      <c r="AK103" s="13">
        <f t="shared" si="89"/>
        <v>93.132052674423107</v>
      </c>
      <c r="AL103" s="20">
        <f t="shared" si="58"/>
        <v>870.52689174128693</v>
      </c>
      <c r="AM103" s="59">
        <f t="shared" si="59"/>
        <v>1147.9309469249961</v>
      </c>
      <c r="AN103" s="59">
        <f ca="1">AVERAGE(OFFSET($AM$3,0,0,'Données projet'!$E$10+1,1))-AVERAGE(OFFSET($H$3,0,0,'Données projet'!$E$10+1,1))</f>
        <v>569.97793593332699</v>
      </c>
      <c r="AO103" s="59">
        <f t="shared" si="90"/>
        <v>331.25104323342907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29</v>
      </c>
      <c r="AR103" s="16">
        <f>IF(ISNA(VLOOKUP(A103,'Données projet'!$A$61:$I$81,5,0)),0%,VLOOKUP(A103,'Données projet'!$A$61:$I$81,5,0)*VLOOKUP('Données projet'!$B$10,Paramètres!$A$1:$I$89,7,0))</f>
        <v>0.53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131.94302470240356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131.94302470240356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-6.7400000000000091</v>
      </c>
      <c r="BD103" s="12">
        <f>IF('Données projet'!$A$88&gt;35,BD102+BC103-BL102,IF(A103&lt;'Données projet'!$A$88,$BA$205^A103,IF(A103='Données projet'!$A$88,'Données projet'!$B$88,BD102+BC103-BL102)))</f>
        <v>259.61000000000024</v>
      </c>
      <c r="BE103" s="13">
        <f>BD103*VLOOKUP('Données projet'!$B$11,Paramètres!$A$1:$I$89,3,0)*VLOOKUP('Données projet'!$B$11,Paramètres!$A$1:$I$89,5,0)</f>
        <v>218.69546400000024</v>
      </c>
      <c r="BF103" s="13">
        <f t="shared" si="91"/>
        <v>53.831253199543021</v>
      </c>
      <c r="BG103" s="20">
        <f t="shared" si="61"/>
        <v>474.65069912253784</v>
      </c>
      <c r="BH103" s="59">
        <f t="shared" si="62"/>
        <v>752.0547543062471</v>
      </c>
      <c r="BI103" s="59">
        <f ca="1">AVERAGE(OFFSET($BH$3,0,0,'Données projet'!$E$11+1,1))-AVERAGE(OFFSET($H$3,0,0,'Données projet'!$E$11+1,1))</f>
        <v>458.88102603650725</v>
      </c>
      <c r="BJ103" s="59">
        <f t="shared" si="92"/>
        <v>277.79020316059552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183.13939576740492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183.13939576740492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269.8175999999998</v>
      </c>
      <c r="CA103" s="13">
        <f t="shared" si="93"/>
        <v>64.810557882019467</v>
      </c>
      <c r="CB103" s="20">
        <f t="shared" si="64"/>
        <v>582.81070831118348</v>
      </c>
      <c r="CC103" s="59">
        <f t="shared" si="65"/>
        <v>860.21476349489262</v>
      </c>
      <c r="CD103" s="59">
        <f ca="1">AVERAGE(OFFSET($CC$3,0,0,'Données projet'!$E$12+1,1))-AVERAGE(OFFSET($H$3,0,0,'Données projet'!$E$12+1,1))</f>
        <v>400.48995908576177</v>
      </c>
      <c r="CE103" s="59">
        <f t="shared" si="94"/>
        <v>384.86917865380076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31.010891011459208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31.010891011459208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277.99999999999994</v>
      </c>
      <c r="CU103" s="17">
        <f>CT103*VLOOKUP('Données projet'!$B$13,Paramètres!$A$1:$I$89,3,0)*VLOOKUP('Données projet'!$B$13,Paramètres!$A$1:$I$89,5,0)</f>
        <v>151.78799999999998</v>
      </c>
      <c r="CV103" s="13">
        <f t="shared" si="95"/>
        <v>38.984634390835623</v>
      </c>
      <c r="CW103" s="20">
        <f t="shared" si="67"/>
        <v>332.26233823070532</v>
      </c>
      <c r="CX103" s="59">
        <f t="shared" si="68"/>
        <v>609.66639341441453</v>
      </c>
      <c r="CY103" s="59">
        <f ca="1">AVERAGE(OFFSET($CX$3,0,0,'Données projet'!$E$13+1,1))-AVERAGE(OFFSET($H$3,0,0,'Données projet'!$E$13+1,1))</f>
        <v>215.37314197175104</v>
      </c>
      <c r="CZ103" s="59">
        <f t="shared" si="96"/>
        <v>361.17630426655978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9.1765336968271285</v>
      </c>
      <c r="DG103" s="21">
        <f>EXP(-LN(2)/25)*DG102+(1-EXP(-LN(2)/25))/(LN(2)/25)*Calculateur!DB103*Calculateur!DD103*VLOOKUP('Données projet'!$B$13,Paramètres!$A$1:$I$89,3,0)*0.475*44/12</f>
        <v>13.790334876959928</v>
      </c>
      <c r="DH103" s="21">
        <f>EXP(-LN(2)/2)*DH102+(1-EXP(-LN(2)/2))/(LN(2)/2)*DB103*DE103*VLOOKUP('Données projet'!$B$13,Paramètres!$A$1:$I$89,3,0)*0.475*44/12</f>
        <v>7.3795124100334174E-13</v>
      </c>
      <c r="DI103" s="22">
        <f t="shared" si="69"/>
        <v>22.966868573787796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421.28200000000021</v>
      </c>
      <c r="O104" s="13">
        <f>N104*VLOOKUP('Données projet'!$B$9,Paramètres!$A$1:$I$89,3,0)*VLOOKUP('Données projet'!$B$9,Paramètres!$A$1:$I$89,5,0)</f>
        <v>381.17595360000018</v>
      </c>
      <c r="P104" s="13">
        <f t="shared" si="87"/>
        <v>87.949738529484478</v>
      </c>
      <c r="Q104" s="20">
        <f t="shared" si="107"/>
        <v>817.06058045885254</v>
      </c>
      <c r="R104" s="59">
        <f t="shared" si="55"/>
        <v>1094.7409730059269</v>
      </c>
      <c r="S104" s="59">
        <f ca="1">AVERAGE(OFFSET($R$3,0,0,'Données projet'!$E$9+1,1))-AVERAGE(OFFSET($H$3,0,0,'Données projet'!$E$9+1,1))</f>
        <v>567.42635821336114</v>
      </c>
      <c r="T104" s="59">
        <f t="shared" si="88"/>
        <v>299.0473530693472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7.8</v>
      </c>
      <c r="AI104" s="13">
        <f>IF('Données projet'!$A$62&gt;35,AI103+AH104-AQ103,IF(A104&lt;'Données projet'!$A$62,$AF$205^A104,IF(A104='Données projet'!$A$62,'Données projet'!$B$62,AI103+AH104-AQ103)))</f>
        <v>452.8</v>
      </c>
      <c r="AJ104" s="13">
        <f>AI104*VLOOKUP('Données projet'!$B$10,Paramètres!$A$1:$I$89,3,0)*VLOOKUP('Données projet'!$B$10,Paramètres!$A$1:$I$89,5,0)</f>
        <v>388.50240000000002</v>
      </c>
      <c r="AK104" s="13">
        <f t="shared" si="89"/>
        <v>89.441761444345047</v>
      </c>
      <c r="AL104" s="20">
        <f t="shared" si="58"/>
        <v>832.41941451556761</v>
      </c>
      <c r="AM104" s="59">
        <f t="shared" si="59"/>
        <v>1110.099807062642</v>
      </c>
      <c r="AN104" s="59">
        <f ca="1">AVERAGE(OFFSET($AM$3,0,0,'Données projet'!$E$10+1,1))-AVERAGE(OFFSET($H$3,0,0,'Données projet'!$E$10+1,1))</f>
        <v>569.97793593332699</v>
      </c>
      <c r="AO104" s="59">
        <f t="shared" si="90"/>
        <v>331.25104323342907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129.35570246528803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129.35570246528803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>
        <f>VLOOKUP(A104,'Données projet'!$A$87:$I$107,2,0)</f>
        <v>252.87</v>
      </c>
      <c r="BB104" s="12">
        <f>VLOOKUP(A104,'Données projet'!$A$87:$I$107,9,0)</f>
        <v>-6.7400000000000091</v>
      </c>
      <c r="BC104" s="12">
        <f t="array" ref="BC104">INDEX(BB:BB,MIN(IF(ISNUMBER(BB104:BB300),ROW(BB104:BB300),"")))</f>
        <v>-6.7400000000000091</v>
      </c>
      <c r="BD104" s="12">
        <f>IF('Données projet'!$A$88&gt;35,BD103+BC104-BL103,IF(A104&lt;'Données projet'!$A$88,$BA$205^A104,IF(A104='Données projet'!$A$88,'Données projet'!$B$88,BD103+BC104-BL103)))</f>
        <v>252.87000000000023</v>
      </c>
      <c r="BE104" s="13">
        <f>BD104*VLOOKUP('Données projet'!$B$11,Paramètres!$A$1:$I$89,3,0)*VLOOKUP('Données projet'!$B$11,Paramètres!$A$1:$I$89,5,0)</f>
        <v>213.01768800000025</v>
      </c>
      <c r="BF104" s="13">
        <f t="shared" si="91"/>
        <v>52.594477866693403</v>
      </c>
      <c r="BG104" s="20">
        <f t="shared" si="61"/>
        <v>462.60785555115808</v>
      </c>
      <c r="BH104" s="59">
        <f t="shared" si="62"/>
        <v>740.28824809823254</v>
      </c>
      <c r="BI104" s="59">
        <f ca="1">AVERAGE(OFFSET($BH$3,0,0,'Données projet'!$E$11+1,1))-AVERAGE(OFFSET($H$3,0,0,'Données projet'!$E$11+1,1))</f>
        <v>458.88102603650725</v>
      </c>
      <c r="BJ104" s="59">
        <f t="shared" si="92"/>
        <v>277.79020316059552</v>
      </c>
      <c r="BK104" s="15">
        <f>IF(ISNA(VLOOKUP(A104,'Données projet'!$A$87:$I$107,3,0)),0,VLOOKUP(A104,'Données projet'!$A$87:$I$107,3,0))</f>
        <v>11</v>
      </c>
      <c r="BL104" s="15">
        <f>IF(ISNA(VLOOKUP(A104,'Données projet'!$A$87:$I$107,4,0)),0,VLOOKUP(A104,'Données projet'!$A$87:$I$107,4,0))</f>
        <v>72.569999999999993</v>
      </c>
      <c r="BM104" s="16">
        <f>IF(ISNA(VLOOKUP(A104,'Données projet'!$A$87:$I$107,5,0)),0%,VLOOKUP(A104,'Données projet'!$A$87:$I$107,5,0)*VLOOKUP('Données projet'!$B$11,Paramètres!$A$1:$I$89,7,0))</f>
        <v>0.43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208.60783861529004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208.60783861529004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269.8175999999998</v>
      </c>
      <c r="CA104" s="13">
        <f t="shared" si="93"/>
        <v>64.810557882019467</v>
      </c>
      <c r="CB104" s="20">
        <f t="shared" si="64"/>
        <v>582.81070831118348</v>
      </c>
      <c r="CC104" s="59">
        <f t="shared" si="65"/>
        <v>860.49110085825782</v>
      </c>
      <c r="CD104" s="59">
        <f ca="1">AVERAGE(OFFSET($CC$3,0,0,'Données projet'!$E$12+1,1))-AVERAGE(OFFSET($H$3,0,0,'Données projet'!$E$12+1,1))</f>
        <v>400.48995908576177</v>
      </c>
      <c r="CE104" s="59">
        <f t="shared" si="94"/>
        <v>384.86917865380076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30.402786353500332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30.402786353500332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277.99999999999994</v>
      </c>
      <c r="CU104" s="17">
        <f>CT104*VLOOKUP('Données projet'!$B$13,Paramètres!$A$1:$I$89,3,0)*VLOOKUP('Données projet'!$B$13,Paramètres!$A$1:$I$89,5,0)</f>
        <v>151.78799999999998</v>
      </c>
      <c r="CV104" s="13">
        <f t="shared" si="95"/>
        <v>38.984634390835623</v>
      </c>
      <c r="CW104" s="20">
        <f t="shared" si="67"/>
        <v>332.26233823070532</v>
      </c>
      <c r="CX104" s="59">
        <f t="shared" si="68"/>
        <v>609.94273077777973</v>
      </c>
      <c r="CY104" s="59">
        <f ca="1">AVERAGE(OFFSET($CX$3,0,0,'Données projet'!$E$13+1,1))-AVERAGE(OFFSET($H$3,0,0,'Données projet'!$E$13+1,1))</f>
        <v>215.37314197175104</v>
      </c>
      <c r="CZ104" s="59">
        <f t="shared" si="96"/>
        <v>361.17630426655978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8.9965874681652327</v>
      </c>
      <c r="DG104" s="21">
        <f>EXP(-LN(2)/25)*DG103+(1-EXP(-LN(2)/25))/(LN(2)/25)*Calculateur!DB104*Calculateur!DD104*VLOOKUP('Données projet'!$B$13,Paramètres!$A$1:$I$89,3,0)*0.475*44/12</f>
        <v>13.413237444547265</v>
      </c>
      <c r="DH104" s="21">
        <f>EXP(-LN(2)/2)*DH103+(1-EXP(-LN(2)/2))/(LN(2)/2)*DB104*DE104*VLOOKUP('Données projet'!$B$13,Paramètres!$A$1:$I$89,3,0)*0.475*44/12</f>
        <v>5.2181032669849115E-13</v>
      </c>
      <c r="DI104" s="22">
        <f t="shared" si="69"/>
        <v>22.40982491271302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430.99300000000022</v>
      </c>
      <c r="O105" s="13">
        <f>N105*VLOOKUP('Données projet'!$B$9,Paramètres!$A$1:$I$89,3,0)*VLOOKUP('Données projet'!$B$9,Paramètres!$A$1:$I$89,5,0)</f>
        <v>389.96246640000021</v>
      </c>
      <c r="P105" s="13">
        <f t="shared" si="87"/>
        <v>89.738709223725238</v>
      </c>
      <c r="Q105" s="20">
        <f t="shared" si="107"/>
        <v>835.47954754465525</v>
      </c>
      <c r="R105" s="59">
        <f t="shared" si="55"/>
        <v>1113.4314836196381</v>
      </c>
      <c r="S105" s="59">
        <f ca="1">AVERAGE(OFFSET($R$3,0,0,'Données projet'!$E$9+1,1))-AVERAGE(OFFSET($H$3,0,0,'Données projet'!$E$9+1,1))</f>
        <v>567.42635821336114</v>
      </c>
      <c r="T105" s="59">
        <f t="shared" si="88"/>
        <v>299.0473530693472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7.8</v>
      </c>
      <c r="AI105" s="13">
        <f>IF('Données projet'!$A$62&gt;35,AI104+AH105-AQ104,IF(A105&lt;'Données projet'!$A$62,$AF$205^A105,IF(A105='Données projet'!$A$62,'Données projet'!$B$62,AI104+AH105-AQ104)))</f>
        <v>460.6</v>
      </c>
      <c r="AJ105" s="13">
        <f>AI105*VLOOKUP('Données projet'!$B$10,Paramètres!$A$1:$I$89,3,0)*VLOOKUP('Données projet'!$B$10,Paramètres!$A$1:$I$89,5,0)</f>
        <v>395.1948000000001</v>
      </c>
      <c r="AK105" s="13">
        <f t="shared" si="89"/>
        <v>90.801800495271991</v>
      </c>
      <c r="AL105" s="20">
        <f t="shared" si="58"/>
        <v>846.4440791959322</v>
      </c>
      <c r="AM105" s="59">
        <f t="shared" si="59"/>
        <v>1124.3960152709151</v>
      </c>
      <c r="AN105" s="59">
        <f ca="1">AVERAGE(OFFSET($AM$3,0,0,'Données projet'!$E$10+1,1))-AVERAGE(OFFSET($H$3,0,0,'Données projet'!$E$10+1,1))</f>
        <v>569.97793593332699</v>
      </c>
      <c r="AO105" s="59">
        <f t="shared" si="90"/>
        <v>331.25104323342907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126.81911603913159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126.81911603913159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-0.17000000000000171</v>
      </c>
      <c r="BD105" s="12">
        <f>IF('Données projet'!$A$88&gt;35,BD104+BC105-BL104,IF(A105&lt;'Données projet'!$A$88,$BA$205^A105,IF(A105='Données projet'!$A$88,'Données projet'!$B$88,BD104+BC105-BL104)))</f>
        <v>180.13000000000022</v>
      </c>
      <c r="BE105" s="13">
        <f>BD105*VLOOKUP('Données projet'!$B$11,Paramètres!$A$1:$I$89,3,0)*VLOOKUP('Données projet'!$B$11,Paramètres!$A$1:$I$89,5,0)</f>
        <v>151.7415120000002</v>
      </c>
      <c r="BF105" s="13">
        <f t="shared" si="91"/>
        <v>38.974084199433499</v>
      </c>
      <c r="BG105" s="20">
        <f t="shared" si="61"/>
        <v>332.16299671401367</v>
      </c>
      <c r="BH105" s="59">
        <f t="shared" si="62"/>
        <v>610.11493278899661</v>
      </c>
      <c r="BI105" s="59">
        <f ca="1">AVERAGE(OFFSET($BH$3,0,0,'Données projet'!$E$11+1,1))-AVERAGE(OFFSET($H$3,0,0,'Données projet'!$E$11+1,1))</f>
        <v>458.88102603650725</v>
      </c>
      <c r="BJ105" s="59">
        <f t="shared" si="92"/>
        <v>277.79020316059552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204.51716613826201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204.51716613826201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269.8175999999998</v>
      </c>
      <c r="CA105" s="13">
        <f t="shared" si="93"/>
        <v>64.810557882019467</v>
      </c>
      <c r="CB105" s="20">
        <f t="shared" si="64"/>
        <v>582.81070831118348</v>
      </c>
      <c r="CC105" s="59">
        <f t="shared" si="65"/>
        <v>860.76264438616636</v>
      </c>
      <c r="CD105" s="59">
        <f ca="1">AVERAGE(OFFSET($CC$3,0,0,'Données projet'!$E$12+1,1))-AVERAGE(OFFSET($H$3,0,0,'Données projet'!$E$12+1,1))</f>
        <v>400.48995908576177</v>
      </c>
      <c r="CE105" s="59">
        <f t="shared" si="94"/>
        <v>384.86917865380076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29.80660625697681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29.80660625697681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277.99999999999994</v>
      </c>
      <c r="CU105" s="17">
        <f>CT105*VLOOKUP('Données projet'!$B$13,Paramètres!$A$1:$I$89,3,0)*VLOOKUP('Données projet'!$B$13,Paramètres!$A$1:$I$89,5,0)</f>
        <v>151.78799999999998</v>
      </c>
      <c r="CV105" s="13">
        <f t="shared" si="95"/>
        <v>38.984634390835623</v>
      </c>
      <c r="CW105" s="20">
        <f t="shared" si="67"/>
        <v>332.26233823070532</v>
      </c>
      <c r="CX105" s="59">
        <f t="shared" si="68"/>
        <v>610.21427430568826</v>
      </c>
      <c r="CY105" s="59">
        <f ca="1">AVERAGE(OFFSET($CX$3,0,0,'Données projet'!$E$13+1,1))-AVERAGE(OFFSET($H$3,0,0,'Données projet'!$E$13+1,1))</f>
        <v>215.37314197175104</v>
      </c>
      <c r="CZ105" s="59">
        <f t="shared" si="96"/>
        <v>361.17630426655978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8.8201698752910342</v>
      </c>
      <c r="DG105" s="21">
        <f>EXP(-LN(2)/25)*DG104+(1-EXP(-LN(2)/25))/(LN(2)/25)*Calculateur!DB105*Calculateur!DD105*VLOOKUP('Données projet'!$B$13,Paramètres!$A$1:$I$89,3,0)*0.475*44/12</f>
        <v>13.04645176125462</v>
      </c>
      <c r="DH105" s="21">
        <f>EXP(-LN(2)/2)*DH104+(1-EXP(-LN(2)/2))/(LN(2)/2)*DB105*DE105*VLOOKUP('Données projet'!$B$13,Paramètres!$A$1:$I$89,3,0)*0.475*44/12</f>
        <v>3.6897562050167087E-13</v>
      </c>
      <c r="DI105" s="22">
        <f t="shared" si="69"/>
        <v>21.866621636546022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440.70400000000024</v>
      </c>
      <c r="O106" s="13">
        <f>N106*VLOOKUP('Données projet'!$B$9,Paramètres!$A$1:$I$89,3,0)*VLOOKUP('Données projet'!$B$9,Paramètres!$A$1:$I$89,5,0)</f>
        <v>398.74897920000018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1132.1091217885653</v>
      </c>
      <c r="S106" s="59">
        <f ca="1">AVERAGE(OFFSET($R$3,0,0,'Données projet'!$E$9+1,1))-AVERAGE(OFFSET($H$3,0,0,'Données projet'!$E$9+1,1))</f>
        <v>567.42635821336114</v>
      </c>
      <c r="T106" s="59">
        <f t="shared" si="88"/>
        <v>299.0473530693472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7.8</v>
      </c>
      <c r="AI106" s="13">
        <f>IF('Données projet'!$A$62&gt;35,AI105+AH106-AQ105,IF(A106&lt;'Données projet'!$A$62,$AF$205^A106,IF(A106='Données projet'!$A$62,'Données projet'!$B$62,AI105+AH106-AQ105)))</f>
        <v>468.40000000000003</v>
      </c>
      <c r="AJ106" s="13">
        <f>AI106*VLOOKUP('Données projet'!$B$10,Paramètres!$A$1:$I$89,3,0)*VLOOKUP('Données projet'!$B$10,Paramètres!$A$1:$I$89,5,0)</f>
        <v>401.88720000000012</v>
      </c>
      <c r="AK106" s="13">
        <f t="shared" si="89"/>
        <v>92.159161185828268</v>
      </c>
      <c r="AL106" s="20">
        <f t="shared" si="58"/>
        <v>860.46407906531783</v>
      </c>
      <c r="AM106" s="59">
        <f t="shared" si="59"/>
        <v>1138.6828479950805</v>
      </c>
      <c r="AN106" s="59">
        <f ca="1">AVERAGE(OFFSET($AM$3,0,0,'Données projet'!$E$10+1,1))-AVERAGE(OFFSET($H$3,0,0,'Données projet'!$E$10+1,1))</f>
        <v>569.97793593332699</v>
      </c>
      <c r="AO106" s="59">
        <f t="shared" si="90"/>
        <v>331.25104323342907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124.33227052562712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124.33227052562712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179.96</v>
      </c>
      <c r="BB106" s="12">
        <f>VLOOKUP(A106,'Données projet'!$A$87:$I$107,9,0)</f>
        <v>-0.17000000000000171</v>
      </c>
      <c r="BC106" s="12">
        <f t="array" ref="BC106">INDEX(BB:BB,MIN(IF(ISNUMBER(BB106:BB302),ROW(BB106:BB302),"")))</f>
        <v>-0.17000000000000171</v>
      </c>
      <c r="BD106" s="12">
        <f>IF('Données projet'!$A$88&gt;35,BD105+BC106-BL105,IF(A106&lt;'Données projet'!$A$88,$BA$205^A106,IF(A106='Données projet'!$A$88,'Données projet'!$B$88,BD105+BC106-BL105)))</f>
        <v>179.96000000000021</v>
      </c>
      <c r="BE106" s="13">
        <f>BD106*VLOOKUP('Données projet'!$B$11,Paramètres!$A$1:$I$89,3,0)*VLOOKUP('Données projet'!$B$11,Paramètres!$A$1:$I$89,5,0)</f>
        <v>151.59830400000021</v>
      </c>
      <c r="BF106" s="13">
        <f t="shared" si="91"/>
        <v>38.941581580147407</v>
      </c>
      <c r="BG106" s="20">
        <f t="shared" si="61"/>
        <v>331.85696738542373</v>
      </c>
      <c r="BH106" s="59">
        <f t="shared" si="62"/>
        <v>610.07573631518642</v>
      </c>
      <c r="BI106" s="59">
        <f ca="1">AVERAGE(OFFSET($BH$3,0,0,'Données projet'!$E$11+1,1))-AVERAGE(OFFSET($H$3,0,0,'Données projet'!$E$11+1,1))</f>
        <v>458.88102603650725</v>
      </c>
      <c r="BJ106" s="59">
        <f t="shared" si="92"/>
        <v>277.79020316059552</v>
      </c>
      <c r="BK106" s="15">
        <f>IF(ISNA(VLOOKUP(A106,'Données projet'!$A$87:$I$107,3,0)),0,VLOOKUP(A106,'Données projet'!$A$87:$I$107,3,0))</f>
        <v>12</v>
      </c>
      <c r="BL106" s="15">
        <f>IF(ISNA(VLOOKUP(A106,'Données projet'!$A$87:$I$107,4,0)),0,VLOOKUP(A106,'Données projet'!$A$87:$I$107,4,0))</f>
        <v>51.31</v>
      </c>
      <c r="BM106" s="16">
        <f>IF(ISNA(VLOOKUP(A106,'Données projet'!$A$87:$I$107,5,0)),0%,VLOOKUP(A106,'Données projet'!$A$87:$I$107,5,0)*VLOOKUP('Données projet'!$B$11,Paramètres!$A$1:$I$89,7,0))</f>
        <v>0.43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221.05311871733352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221.05311871733352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269.8175999999998</v>
      </c>
      <c r="CA106" s="13">
        <f t="shared" si="93"/>
        <v>64.810557882019467</v>
      </c>
      <c r="CB106" s="20">
        <f t="shared" si="64"/>
        <v>582.81070831118348</v>
      </c>
      <c r="CC106" s="59">
        <f t="shared" si="65"/>
        <v>861.02947724094611</v>
      </c>
      <c r="CD106" s="59">
        <f ca="1">AVERAGE(OFFSET($CC$3,0,0,'Données projet'!$E$12+1,1))-AVERAGE(OFFSET($H$3,0,0,'Données projet'!$E$12+1,1))</f>
        <v>400.48995908576177</v>
      </c>
      <c r="CE106" s="59">
        <f t="shared" si="94"/>
        <v>384.86917865380076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29.222116888512161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29.222116888512161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277.99999999999994</v>
      </c>
      <c r="CU106" s="17">
        <f>CT106*VLOOKUP('Données projet'!$B$13,Paramètres!$A$1:$I$89,3,0)*VLOOKUP('Données projet'!$B$13,Paramètres!$A$1:$I$89,5,0)</f>
        <v>151.78799999999998</v>
      </c>
      <c r="CV106" s="13">
        <f t="shared" si="95"/>
        <v>38.984634390835623</v>
      </c>
      <c r="CW106" s="20">
        <f t="shared" si="67"/>
        <v>332.26233823070532</v>
      </c>
      <c r="CX106" s="59">
        <f t="shared" si="68"/>
        <v>610.48110716046801</v>
      </c>
      <c r="CY106" s="59">
        <f ca="1">AVERAGE(OFFSET($CX$3,0,0,'Données projet'!$E$13+1,1))-AVERAGE(OFFSET($H$3,0,0,'Données projet'!$E$13+1,1))</f>
        <v>215.37314197175104</v>
      </c>
      <c r="CZ106" s="59">
        <f t="shared" si="96"/>
        <v>361.17630426655978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8.6472117238089918</v>
      </c>
      <c r="DG106" s="21">
        <f>EXP(-LN(2)/25)*DG105+(1-EXP(-LN(2)/25))/(LN(2)/25)*Calculateur!DB106*Calculateur!DD106*VLOOKUP('Données projet'!$B$13,Paramètres!$A$1:$I$89,3,0)*0.475*44/12</f>
        <v>12.689695851760032</v>
      </c>
      <c r="DH106" s="21">
        <f>EXP(-LN(2)/2)*DH105+(1-EXP(-LN(2)/2))/(LN(2)/2)*DB106*DE106*VLOOKUP('Données projet'!$B$13,Paramètres!$A$1:$I$89,3,0)*0.475*44/12</f>
        <v>2.6090516334924558E-13</v>
      </c>
      <c r="DI106" s="22">
        <f t="shared" si="69"/>
        <v>21.336907575569281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450.41500000000025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1150.7741697882336</v>
      </c>
      <c r="S107" s="59">
        <f ca="1">AVERAGE(OFFSET($R$3,0,0,'Données projet'!$E$9+1,1))-AVERAGE(OFFSET($H$3,0,0,'Données projet'!$E$9+1,1))</f>
        <v>567.42635821336114</v>
      </c>
      <c r="T107" s="59">
        <f t="shared" si="88"/>
        <v>299.0473530693472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7.8</v>
      </c>
      <c r="AI107" s="13">
        <f>IF('Données projet'!$A$62&gt;35,AI106+AH107-AQ106,IF(A107&lt;'Données projet'!$A$62,$AF$205^A107,IF(A107='Données projet'!$A$62,'Données projet'!$B$62,AI106+AH107-AQ106)))</f>
        <v>476.20000000000005</v>
      </c>
      <c r="AJ107" s="13">
        <f>AI107*VLOOKUP('Données projet'!$B$10,Paramètres!$A$1:$I$89,3,0)*VLOOKUP('Données projet'!$B$10,Paramètres!$A$1:$I$89,5,0)</f>
        <v>408.57960000000003</v>
      </c>
      <c r="AK107" s="13">
        <f t="shared" si="89"/>
        <v>93.513893265221384</v>
      </c>
      <c r="AL107" s="20">
        <f t="shared" si="58"/>
        <v>874.47950077026053</v>
      </c>
      <c r="AM107" s="59">
        <f t="shared" si="59"/>
        <v>1152.9604736013214</v>
      </c>
      <c r="AN107" s="59">
        <f ca="1">AVERAGE(OFFSET($AM$3,0,0,'Données projet'!$E$10+1,1))-AVERAGE(OFFSET($H$3,0,0,'Données projet'!$E$10+1,1))</f>
        <v>569.97793593332699</v>
      </c>
      <c r="AO107" s="59">
        <f t="shared" si="90"/>
        <v>331.25104323342907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121.89419053581649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121.89419053581649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0.93666666666666742</v>
      </c>
      <c r="BD107" s="12">
        <f>IF('Données projet'!$A$88&gt;35,BD106+BC107-BL106,IF(A107&lt;'Données projet'!$A$88,$BA$205^A107,IF(A107='Données projet'!$A$88,'Données projet'!$B$88,BD106+BC107-BL106)))</f>
        <v>129.58666666666687</v>
      </c>
      <c r="BE107" s="13">
        <f>BD107*VLOOKUP('Données projet'!$B$11,Paramètres!$A$1:$I$89,3,0)*VLOOKUP('Données projet'!$B$11,Paramètres!$A$1:$I$89,5,0)</f>
        <v>109.16380800000017</v>
      </c>
      <c r="BF107" s="13">
        <f t="shared" si="91"/>
        <v>29.133883804771958</v>
      </c>
      <c r="BG107" s="20">
        <f t="shared" si="61"/>
        <v>240.86847989331147</v>
      </c>
      <c r="BH107" s="59">
        <f t="shared" si="62"/>
        <v>519.34945272437244</v>
      </c>
      <c r="BI107" s="59">
        <f ca="1">AVERAGE(OFFSET($BH$3,0,0,'Données projet'!$E$11+1,1))-AVERAGE(OFFSET($H$3,0,0,'Données projet'!$E$11+1,1))</f>
        <v>458.88102603650725</v>
      </c>
      <c r="BJ107" s="59">
        <f t="shared" si="92"/>
        <v>277.79020316059552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216.71840188837575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216.71840188837575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269.8175999999998</v>
      </c>
      <c r="CA107" s="13">
        <f t="shared" si="93"/>
        <v>64.810557882019467</v>
      </c>
      <c r="CB107" s="20">
        <f t="shared" si="64"/>
        <v>582.81070831118348</v>
      </c>
      <c r="CC107" s="59">
        <f t="shared" si="65"/>
        <v>861.29168114224444</v>
      </c>
      <c r="CD107" s="59">
        <f ca="1">AVERAGE(OFFSET($CC$3,0,0,'Données projet'!$E$12+1,1))-AVERAGE(OFFSET($H$3,0,0,'Données projet'!$E$12+1,1))</f>
        <v>400.48995908576177</v>
      </c>
      <c r="CE107" s="59">
        <f t="shared" si="94"/>
        <v>384.86917865380076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28.649089000059792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28.649089000059792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277.99999999999994</v>
      </c>
      <c r="CU107" s="17">
        <f>CT107*VLOOKUP('Données projet'!$B$13,Paramètres!$A$1:$I$89,3,0)*VLOOKUP('Données projet'!$B$13,Paramètres!$A$1:$I$89,5,0)</f>
        <v>151.78799999999998</v>
      </c>
      <c r="CV107" s="13">
        <f t="shared" si="95"/>
        <v>38.984634390835623</v>
      </c>
      <c r="CW107" s="20">
        <f t="shared" si="67"/>
        <v>332.26233823070532</v>
      </c>
      <c r="CX107" s="59">
        <f t="shared" si="68"/>
        <v>610.74331106176624</v>
      </c>
      <c r="CY107" s="59">
        <f ca="1">AVERAGE(OFFSET($CX$3,0,0,'Données projet'!$E$13+1,1))-AVERAGE(OFFSET($H$3,0,0,'Données projet'!$E$13+1,1))</f>
        <v>215.37314197175104</v>
      </c>
      <c r="CZ107" s="59">
        <f t="shared" si="96"/>
        <v>361.17630426655978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8.4776451761834579</v>
      </c>
      <c r="DG107" s="21">
        <f>EXP(-LN(2)/25)*DG106+(1-EXP(-LN(2)/25))/(LN(2)/25)*Calculateur!DB107*Calculateur!DD107*VLOOKUP('Données projet'!$B$13,Paramètres!$A$1:$I$89,3,0)*0.475*44/12</f>
        <v>12.342695451371551</v>
      </c>
      <c r="DH107" s="21">
        <f>EXP(-LN(2)/2)*DH106+(1-EXP(-LN(2)/2))/(LN(2)/2)*DB107*DE107*VLOOKUP('Données projet'!$B$13,Paramètres!$A$1:$I$89,3,0)*0.475*44/12</f>
        <v>1.8448781025083543E-13</v>
      </c>
      <c r="DI107" s="22">
        <f t="shared" si="69"/>
        <v>20.820340627555193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460.12600000000026</v>
      </c>
      <c r="O108" s="13">
        <f>N108*VLOOKUP('Données projet'!$B$9,Paramètres!$A$1:$I$89,3,0)*VLOOKUP('Données projet'!$B$9,Paramètres!$A$1:$I$89,5,0)</f>
        <v>416.32200480000023</v>
      </c>
      <c r="P108" s="13">
        <f t="shared" si="87"/>
        <v>95.077959556166817</v>
      </c>
      <c r="Q108" s="20">
        <f t="shared" si="107"/>
        <v>890.6882712536576</v>
      </c>
      <c r="R108" s="59">
        <f t="shared" si="55"/>
        <v>1169.4268993345295</v>
      </c>
      <c r="S108" s="59">
        <f ca="1">AVERAGE(OFFSET($R$3,0,0,'Données projet'!$E$9+1,1))-AVERAGE(OFFSET($H$3,0,0,'Données projet'!$E$9+1,1))</f>
        <v>567.42635821336114</v>
      </c>
      <c r="T108" s="59">
        <f t="shared" si="88"/>
        <v>299.0473530693472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484</v>
      </c>
      <c r="AG108" s="12">
        <f>VLOOKUP(A108,'Données projet'!$A$61:$I$81,9,0)</f>
        <v>7.8</v>
      </c>
      <c r="AH108" s="12">
        <f t="array" ref="AH108">INDEX(AG:AG,MIN(IF(ISNUMBER(AG108:AG304),ROW(AG108:AG304),"")))</f>
        <v>7.8</v>
      </c>
      <c r="AI108" s="13">
        <f>IF('Données projet'!$A$62&gt;35,AI107+AH108-AQ107,IF(A108&lt;'Données projet'!$A$62,$AF$205^A108,IF(A108='Données projet'!$A$62,'Données projet'!$B$62,AI107+AH108-AQ107)))</f>
        <v>484.00000000000006</v>
      </c>
      <c r="AJ108" s="13">
        <f>AI108*VLOOKUP('Données projet'!$B$10,Paramètres!$A$1:$I$89,3,0)*VLOOKUP('Données projet'!$B$10,Paramètres!$A$1:$I$89,5,0)</f>
        <v>415.27200000000011</v>
      </c>
      <c r="AK108" s="13">
        <f t="shared" si="89"/>
        <v>94.866044759468508</v>
      </c>
      <c r="AL108" s="20">
        <f t="shared" si="58"/>
        <v>888.49042795607431</v>
      </c>
      <c r="AM108" s="59">
        <f t="shared" si="59"/>
        <v>1167.2290560369461</v>
      </c>
      <c r="AN108" s="59">
        <f ca="1">AVERAGE(OFFSET($AM$3,0,0,'Données projet'!$E$10+1,1))-AVERAGE(OFFSET($H$3,0,0,'Données projet'!$E$10+1,1))</f>
        <v>569.97793593332699</v>
      </c>
      <c r="AO108" s="59">
        <f t="shared" si="90"/>
        <v>331.25104323342907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28</v>
      </c>
      <c r="AR108" s="16">
        <f>IF(ISNA(VLOOKUP(A108,'Données projet'!$A$61:$I$81,5,0)),0%,VLOOKUP(A108,'Données projet'!$A$61:$I$81,5,0)*VLOOKUP('Données projet'!$B$10,Paramètres!$A$1:$I$89,7,0))</f>
        <v>0.53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133.57956461841087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133.57956461841087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0.93666666666666742</v>
      </c>
      <c r="BD108" s="12">
        <f>IF('Données projet'!$A$88&gt;35,BD107+BC108-BL107,IF(A108&lt;'Données projet'!$A$88,$BA$205^A108,IF(A108='Données projet'!$A$88,'Données projet'!$B$88,BD107+BC108-BL107)))</f>
        <v>130.52333333333354</v>
      </c>
      <c r="BE108" s="13">
        <f>BD108*VLOOKUP('Données projet'!$B$11,Paramètres!$A$1:$I$89,3,0)*VLOOKUP('Données projet'!$B$11,Paramètres!$A$1:$I$89,5,0)</f>
        <v>109.9528560000002</v>
      </c>
      <c r="BF108" s="13">
        <f t="shared" si="91"/>
        <v>29.319876801345931</v>
      </c>
      <c r="BG108" s="20">
        <f t="shared" si="61"/>
        <v>242.56667629567787</v>
      </c>
      <c r="BH108" s="59">
        <f t="shared" si="62"/>
        <v>521.30530437654966</v>
      </c>
      <c r="BI108" s="59">
        <f ca="1">AVERAGE(OFFSET($BH$3,0,0,'Données projet'!$E$11+1,1))-AVERAGE(OFFSET($H$3,0,0,'Données projet'!$E$11+1,1))</f>
        <v>458.88102603650725</v>
      </c>
      <c r="BJ108" s="59">
        <f t="shared" si="92"/>
        <v>277.79020316059552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212.46868621251767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212.46868621251767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269.8175999999998</v>
      </c>
      <c r="CA108" s="13">
        <f t="shared" si="93"/>
        <v>64.810557882019467</v>
      </c>
      <c r="CB108" s="20">
        <f t="shared" si="64"/>
        <v>582.81070831118348</v>
      </c>
      <c r="CC108" s="59">
        <f t="shared" si="65"/>
        <v>861.54933639205524</v>
      </c>
      <c r="CD108" s="59">
        <f ca="1">AVERAGE(OFFSET($CC$3,0,0,'Données projet'!$E$12+1,1))-AVERAGE(OFFSET($H$3,0,0,'Données projet'!$E$12+1,1))</f>
        <v>400.48995908576177</v>
      </c>
      <c r="CE108" s="59">
        <f t="shared" si="94"/>
        <v>384.86917865380076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28.087297838987475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28.087297838987475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277.99999999999994</v>
      </c>
      <c r="CU108" s="17">
        <f>CT108*VLOOKUP('Données projet'!$B$13,Paramètres!$A$1:$I$89,3,0)*VLOOKUP('Données projet'!$B$13,Paramètres!$A$1:$I$89,5,0)</f>
        <v>151.78799999999998</v>
      </c>
      <c r="CV108" s="13">
        <f t="shared" si="95"/>
        <v>38.984634390835623</v>
      </c>
      <c r="CW108" s="20">
        <f t="shared" si="67"/>
        <v>332.26233823070532</v>
      </c>
      <c r="CX108" s="59">
        <f t="shared" si="68"/>
        <v>611.00096631157703</v>
      </c>
      <c r="CY108" s="59">
        <f ca="1">AVERAGE(OFFSET($CX$3,0,0,'Données projet'!$E$13+1,1))-AVERAGE(OFFSET($H$3,0,0,'Données projet'!$E$13+1,1))</f>
        <v>215.37314197175104</v>
      </c>
      <c r="CZ108" s="59">
        <f t="shared" si="96"/>
        <v>361.17630426655978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8.3114037251314787</v>
      </c>
      <c r="DG108" s="21">
        <f>EXP(-LN(2)/25)*DG107+(1-EXP(-LN(2)/25))/(LN(2)/25)*Calculateur!DB108*Calculateur!DD108*VLOOKUP('Données projet'!$B$13,Paramètres!$A$1:$I$89,3,0)*0.475*44/12</f>
        <v>12.005183795179651</v>
      </c>
      <c r="DH108" s="21">
        <f>EXP(-LN(2)/2)*DH107+(1-EXP(-LN(2)/2))/(LN(2)/2)*DB108*DE108*VLOOKUP('Données projet'!$B$13,Paramètres!$A$1:$I$89,3,0)*0.475*44/12</f>
        <v>1.3045258167462279E-13</v>
      </c>
      <c r="DI108" s="22">
        <f t="shared" si="69"/>
        <v>20.316587520311263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469.83700000000027</v>
      </c>
      <c r="O109" s="13">
        <f>N109*VLOOKUP('Données projet'!$B$9,Paramètres!$A$1:$I$89,3,0)*VLOOKUP('Données projet'!$B$9,Paramètres!$A$1:$I$89,5,0)</f>
        <v>425.10851760000025</v>
      </c>
      <c r="P109" s="13">
        <f t="shared" si="87"/>
        <v>96.848855770846484</v>
      </c>
      <c r="Q109" s="20">
        <f t="shared" si="107"/>
        <v>909.07575862089141</v>
      </c>
      <c r="R109" s="59">
        <f t="shared" si="55"/>
        <v>1188.0675722090205</v>
      </c>
      <c r="S109" s="59">
        <f ca="1">AVERAGE(OFFSET($R$3,0,0,'Données projet'!$E$9+1,1))-AVERAGE(OFFSET($H$3,0,0,'Données projet'!$E$9+1,1))</f>
        <v>567.42635821336114</v>
      </c>
      <c r="T109" s="59">
        <f t="shared" si="88"/>
        <v>299.0473530693472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</v>
      </c>
      <c r="AI109" s="13">
        <f>IF('Données projet'!$A$62&gt;35,AI108+AH109-AQ108,IF(A109&lt;'Données projet'!$A$62,$AF$205^A109,IF(A109='Données projet'!$A$62,'Données projet'!$B$62,AI108+AH109-AQ108)))</f>
        <v>463.40000000000003</v>
      </c>
      <c r="AJ109" s="13">
        <f>AI109*VLOOKUP('Données projet'!$B$10,Paramètres!$A$1:$I$89,3,0)*VLOOKUP('Données projet'!$B$10,Paramètres!$A$1:$I$89,5,0)</f>
        <v>397.59720000000004</v>
      </c>
      <c r="AK109" s="13">
        <f t="shared" si="89"/>
        <v>91.289363709423512</v>
      </c>
      <c r="AL109" s="20">
        <f t="shared" si="58"/>
        <v>851.47743179391273</v>
      </c>
      <c r="AM109" s="59">
        <f t="shared" si="59"/>
        <v>1130.4692453820419</v>
      </c>
      <c r="AN109" s="59">
        <f ca="1">AVERAGE(OFFSET($AM$3,0,0,'Données projet'!$E$10+1,1))-AVERAGE(OFFSET($H$3,0,0,'Données projet'!$E$10+1,1))</f>
        <v>569.97793593332699</v>
      </c>
      <c r="AO109" s="59">
        <f t="shared" si="90"/>
        <v>331.25104323342907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130.96015083173322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130.96015083173322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>
        <f>VLOOKUP(A109,'Données projet'!$A$87:$I$107,2,0)</f>
        <v>131.46</v>
      </c>
      <c r="BB109" s="12">
        <f>VLOOKUP(A109,'Données projet'!$A$87:$I$107,9,0)</f>
        <v>0.93666666666666742</v>
      </c>
      <c r="BC109" s="12">
        <f t="array" ref="BC109">INDEX(BB:BB,MIN(IF(ISNUMBER(BB109:BB305),ROW(BB109:BB305),"")))</f>
        <v>0.93666666666666742</v>
      </c>
      <c r="BD109" s="12">
        <f>IF('Données projet'!$A$88&gt;35,BD108+BC109-BL108,IF(A109&lt;'Données projet'!$A$88,$BA$205^A109,IF(A109='Données projet'!$A$88,'Données projet'!$B$88,BD108+BC109-BL108)))</f>
        <v>131.46000000000021</v>
      </c>
      <c r="BE109" s="13">
        <f>BD109*VLOOKUP('Données projet'!$B$11,Paramètres!$A$1:$I$89,3,0)*VLOOKUP('Données projet'!$B$11,Paramètres!$A$1:$I$89,5,0)</f>
        <v>110.74190400000018</v>
      </c>
      <c r="BF109" s="13">
        <f t="shared" si="91"/>
        <v>29.505714498780119</v>
      </c>
      <c r="BG109" s="20">
        <f t="shared" si="61"/>
        <v>244.26460221870903</v>
      </c>
      <c r="BH109" s="59">
        <f t="shared" si="62"/>
        <v>523.25641580683816</v>
      </c>
      <c r="BI109" s="59">
        <f ca="1">AVERAGE(OFFSET($BH$3,0,0,'Données projet'!$E$11+1,1))-AVERAGE(OFFSET($H$3,0,0,'Données projet'!$E$11+1,1))</f>
        <v>458.88102603650725</v>
      </c>
      <c r="BJ109" s="59">
        <f t="shared" si="92"/>
        <v>277.79020316059552</v>
      </c>
      <c r="BK109" s="15">
        <f>IF(ISNA(VLOOKUP(A109,'Données projet'!$A$87:$I$107,3,0)),0,VLOOKUP(A109,'Données projet'!$A$87:$I$107,3,0))</f>
        <v>13</v>
      </c>
      <c r="BL109" s="15">
        <f>IF(ISNA(VLOOKUP(A109,'Données projet'!$A$87:$I$107,4,0)),0,VLOOKUP(A109,'Données projet'!$A$87:$I$107,4,0))</f>
        <v>114.71</v>
      </c>
      <c r="BM109" s="16">
        <f>IF(ISNA(VLOOKUP(A109,'Données projet'!$A$87:$I$107,5,0)),0%,VLOOKUP(A109,'Données projet'!$A$87:$I$107,5,0)*VLOOKUP('Données projet'!$B$11,Paramètres!$A$1:$I$89,7,0))</f>
        <v>0.43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254.23640406218468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254.23640406218468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269.8175999999998</v>
      </c>
      <c r="CA109" s="13">
        <f t="shared" si="93"/>
        <v>64.810557882019467</v>
      </c>
      <c r="CB109" s="20">
        <f t="shared" si="64"/>
        <v>582.81070831118348</v>
      </c>
      <c r="CC109" s="59">
        <f t="shared" si="65"/>
        <v>861.80252189931252</v>
      </c>
      <c r="CD109" s="59">
        <f ca="1">AVERAGE(OFFSET($CC$3,0,0,'Données projet'!$E$12+1,1))-AVERAGE(OFFSET($H$3,0,0,'Données projet'!$E$12+1,1))</f>
        <v>400.48995908576177</v>
      </c>
      <c r="CE109" s="59">
        <f t="shared" si="94"/>
        <v>384.86917865380076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27.53652305992501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27.53652305992501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277.99999999999994</v>
      </c>
      <c r="CU109" s="17">
        <f>CT109*VLOOKUP('Données projet'!$B$13,Paramètres!$A$1:$I$89,3,0)*VLOOKUP('Données projet'!$B$13,Paramètres!$A$1:$I$89,5,0)</f>
        <v>151.78799999999998</v>
      </c>
      <c r="CV109" s="13">
        <f t="shared" si="95"/>
        <v>38.984634390835623</v>
      </c>
      <c r="CW109" s="20">
        <f t="shared" si="67"/>
        <v>332.26233823070532</v>
      </c>
      <c r="CX109" s="59">
        <f t="shared" si="68"/>
        <v>611.25415181883443</v>
      </c>
      <c r="CY109" s="59">
        <f ca="1">AVERAGE(OFFSET($CX$3,0,0,'Données projet'!$E$13+1,1))-AVERAGE(OFFSET($H$3,0,0,'Données projet'!$E$13+1,1))</f>
        <v>215.37314197175104</v>
      </c>
      <c r="CZ109" s="59">
        <f t="shared" si="96"/>
        <v>361.17630426655978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8.1484221675373547</v>
      </c>
      <c r="DG109" s="21">
        <f>EXP(-LN(2)/25)*DG108+(1-EXP(-LN(2)/25))/(LN(2)/25)*Calculateur!DB109*Calculateur!DD109*VLOOKUP('Données projet'!$B$13,Paramètres!$A$1:$I$89,3,0)*0.475*44/12</f>
        <v>11.676901412975285</v>
      </c>
      <c r="DH109" s="21">
        <f>EXP(-LN(2)/2)*DH108+(1-EXP(-LN(2)/2))/(LN(2)/2)*DB109*DE109*VLOOKUP('Données projet'!$B$13,Paramètres!$A$1:$I$89,3,0)*0.475*44/12</f>
        <v>9.2243905125417717E-14</v>
      </c>
      <c r="DI109" s="22">
        <f t="shared" si="69"/>
        <v>19.82532358051273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479.54800000000029</v>
      </c>
      <c r="O110" s="13">
        <f>N110*VLOOKUP('Données projet'!$B$9,Paramètres!$A$1:$I$89,3,0)*VLOOKUP('Données projet'!$B$9,Paramètres!$A$1:$I$89,5,0)</f>
        <v>433.89503040000028</v>
      </c>
      <c r="P110" s="13">
        <f t="shared" si="87"/>
        <v>98.615496264061846</v>
      </c>
      <c r="Q110" s="20">
        <f t="shared" si="107"/>
        <v>927.45583393990819</v>
      </c>
      <c r="R110" s="59">
        <f t="shared" si="55"/>
        <v>1206.6964408327817</v>
      </c>
      <c r="S110" s="59">
        <f ca="1">AVERAGE(OFFSET($R$3,0,0,'Données projet'!$E$9+1,1))-AVERAGE(OFFSET($H$3,0,0,'Données projet'!$E$9+1,1))</f>
        <v>567.42635821336114</v>
      </c>
      <c r="T110" s="59">
        <f t="shared" si="88"/>
        <v>299.0473530693472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</v>
      </c>
      <c r="AI110" s="13">
        <f>IF('Données projet'!$A$62&gt;35,AI109+AH110-AQ109,IF(A110&lt;'Données projet'!$A$62,$AF$205^A110,IF(A110='Données projet'!$A$62,'Données projet'!$B$62,AI109+AH110-AQ109)))</f>
        <v>470.8</v>
      </c>
      <c r="AJ110" s="13">
        <f>AI110*VLOOKUP('Données projet'!$B$10,Paramètres!$A$1:$I$89,3,0)*VLOOKUP('Données projet'!$B$10,Paramètres!$A$1:$I$89,5,0)</f>
        <v>403.9464000000001</v>
      </c>
      <c r="AK110" s="13">
        <f t="shared" si="89"/>
        <v>92.576279533320715</v>
      </c>
      <c r="AL110" s="20">
        <f t="shared" si="58"/>
        <v>864.77700018720031</v>
      </c>
      <c r="AM110" s="59">
        <f t="shared" si="59"/>
        <v>1144.017607080074</v>
      </c>
      <c r="AN110" s="59">
        <f ca="1">AVERAGE(OFFSET($AM$3,0,0,'Données projet'!$E$10+1,1))-AVERAGE(OFFSET($H$3,0,0,'Données projet'!$E$10+1,1))</f>
        <v>569.97793593332699</v>
      </c>
      <c r="AO110" s="59">
        <f t="shared" si="90"/>
        <v>331.25104323342907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128.39210215172767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128.39210215172767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16.750000000000213</v>
      </c>
      <c r="BE110" s="13">
        <f>BD110*VLOOKUP('Données projet'!$B$11,Paramètres!$A$1:$I$89,3,0)*VLOOKUP('Données projet'!$B$11,Paramètres!$A$1:$I$89,5,0)</f>
        <v>14.11020000000018</v>
      </c>
      <c r="BF110" s="13">
        <f t="shared" si="91"/>
        <v>4.7783677814795205</v>
      </c>
      <c r="BG110" s="20">
        <f t="shared" si="61"/>
        <v>32.897588886077138</v>
      </c>
      <c r="BH110" s="59">
        <f t="shared" si="62"/>
        <v>312.13819577895077</v>
      </c>
      <c r="BI110" s="59">
        <f ca="1">AVERAGE(OFFSET($BH$3,0,0,'Données projet'!$E$11+1,1))-AVERAGE(OFFSET($H$3,0,0,'Données projet'!$E$11+1,1))</f>
        <v>458.88102603650725</v>
      </c>
      <c r="BJ110" s="59">
        <f t="shared" si="92"/>
        <v>277.79020316059552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249.25098324741992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249.25098324741992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269.8175999999998</v>
      </c>
      <c r="CA110" s="13">
        <f t="shared" si="93"/>
        <v>64.810557882019467</v>
      </c>
      <c r="CB110" s="20">
        <f t="shared" si="64"/>
        <v>582.81070831118348</v>
      </c>
      <c r="CC110" s="59">
        <f t="shared" si="65"/>
        <v>862.05131520405712</v>
      </c>
      <c r="CD110" s="59">
        <f ca="1">AVERAGE(OFFSET($CC$3,0,0,'Données projet'!$E$12+1,1))-AVERAGE(OFFSET($H$3,0,0,'Données projet'!$E$12+1,1))</f>
        <v>400.48995908576177</v>
      </c>
      <c r="CE110" s="59">
        <f t="shared" si="94"/>
        <v>384.86917865380076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26.996548638340517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26.996548638340517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277.99999999999994</v>
      </c>
      <c r="CU110" s="17">
        <f>CT110*VLOOKUP('Données projet'!$B$13,Paramètres!$A$1:$I$89,3,0)*VLOOKUP('Données projet'!$B$13,Paramètres!$A$1:$I$89,5,0)</f>
        <v>151.78799999999998</v>
      </c>
      <c r="CV110" s="13">
        <f t="shared" si="95"/>
        <v>38.984634390835623</v>
      </c>
      <c r="CW110" s="20">
        <f t="shared" si="67"/>
        <v>332.26233823070532</v>
      </c>
      <c r="CX110" s="59">
        <f t="shared" si="68"/>
        <v>611.50294512357891</v>
      </c>
      <c r="CY110" s="59">
        <f ca="1">AVERAGE(OFFSET($CX$3,0,0,'Données projet'!$E$13+1,1))-AVERAGE(OFFSET($H$3,0,0,'Données projet'!$E$13+1,1))</f>
        <v>215.37314197175104</v>
      </c>
      <c r="CZ110" s="59">
        <f t="shared" si="96"/>
        <v>361.17630426655978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7.9886365788787179</v>
      </c>
      <c r="DG110" s="21">
        <f>EXP(-LN(2)/25)*DG109+(1-EXP(-LN(2)/25))/(LN(2)/25)*Calculateur!DB110*Calculateur!DD110*VLOOKUP('Données projet'!$B$13,Paramètres!$A$1:$I$89,3,0)*0.475*44/12</f>
        <v>11.357595929775918</v>
      </c>
      <c r="DH110" s="21">
        <f>EXP(-LN(2)/2)*DH109+(1-EXP(-LN(2)/2))/(LN(2)/2)*DB110*DE110*VLOOKUP('Données projet'!$B$13,Paramètres!$A$1:$I$89,3,0)*0.475*44/12</f>
        <v>6.5226290837311394E-14</v>
      </c>
      <c r="DI110" s="22">
        <f t="shared" si="69"/>
        <v>19.346232508654701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489.2590000000003</v>
      </c>
      <c r="O111" s="13">
        <f>N111*VLOOKUP('Données projet'!$B$9,Paramètres!$A$1:$I$89,3,0)*VLOOKUP('Données projet'!$B$9,Paramètres!$A$1:$I$89,5,0)</f>
        <v>442.68154320000025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1225.3137487940205</v>
      </c>
      <c r="S111" s="59">
        <f ca="1">AVERAGE(OFFSET($R$3,0,0,'Données projet'!$E$9+1,1))-AVERAGE(OFFSET($H$3,0,0,'Données projet'!$E$9+1,1))</f>
        <v>567.42635821336114</v>
      </c>
      <c r="T111" s="59">
        <f t="shared" si="88"/>
        <v>299.0473530693472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</v>
      </c>
      <c r="AI111" s="13">
        <f>IF('Données projet'!$A$62&gt;35,AI110+AH111-AQ110,IF(A111&lt;'Données projet'!$A$62,$AF$205^A111,IF(A111='Données projet'!$A$62,'Données projet'!$B$62,AI110+AH111-AQ110)))</f>
        <v>478.2</v>
      </c>
      <c r="AJ111" s="13">
        <f>AI111*VLOOKUP('Données projet'!$B$10,Paramètres!$A$1:$I$89,3,0)*VLOOKUP('Données projet'!$B$10,Paramètres!$A$1:$I$89,5,0)</f>
        <v>410.29559999999998</v>
      </c>
      <c r="AK111" s="13">
        <f t="shared" si="89"/>
        <v>93.860842909017109</v>
      </c>
      <c r="AL111" s="20">
        <f t="shared" si="58"/>
        <v>878.07247139987146</v>
      </c>
      <c r="AM111" s="59">
        <f t="shared" si="59"/>
        <v>1157.5575555898708</v>
      </c>
      <c r="AN111" s="59">
        <f ca="1">AVERAGE(OFFSET($AM$3,0,0,'Données projet'!$E$10+1,1))-AVERAGE(OFFSET($H$3,0,0,'Données projet'!$E$10+1,1))</f>
        <v>569.97793593332699</v>
      </c>
      <c r="AO111" s="59">
        <f t="shared" si="90"/>
        <v>331.25104323342907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125.87441133998199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125.87441133998199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16.750000000000213</v>
      </c>
      <c r="BE111" s="13">
        <f>BD111*VLOOKUP('Données projet'!$B$11,Paramètres!$A$1:$I$89,3,0)*VLOOKUP('Données projet'!$B$11,Paramètres!$A$1:$I$89,5,0)</f>
        <v>14.11020000000018</v>
      </c>
      <c r="BF111" s="13">
        <f t="shared" si="91"/>
        <v>4.7783677814795205</v>
      </c>
      <c r="BG111" s="20">
        <f t="shared" si="61"/>
        <v>32.897588886077138</v>
      </c>
      <c r="BH111" s="59">
        <f t="shared" si="62"/>
        <v>312.38267307607646</v>
      </c>
      <c r="BI111" s="59">
        <f ca="1">AVERAGE(OFFSET($BH$3,0,0,'Données projet'!$E$11+1,1))-AVERAGE(OFFSET($H$3,0,0,'Données projet'!$E$11+1,1))</f>
        <v>458.88102603650725</v>
      </c>
      <c r="BJ111" s="59">
        <f t="shared" si="92"/>
        <v>277.79020316059552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244.36332349402628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244.36332349402628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269.8175999999998</v>
      </c>
      <c r="CA111" s="13">
        <f t="shared" si="93"/>
        <v>64.810557882019467</v>
      </c>
      <c r="CB111" s="20">
        <f t="shared" si="64"/>
        <v>582.81070831118348</v>
      </c>
      <c r="CC111" s="59">
        <f t="shared" si="65"/>
        <v>862.29579250118286</v>
      </c>
      <c r="CD111" s="59">
        <f ca="1">AVERAGE(OFFSET($CC$3,0,0,'Données projet'!$E$12+1,1))-AVERAGE(OFFSET($H$3,0,0,'Données projet'!$E$12+1,1))</f>
        <v>400.48995908576177</v>
      </c>
      <c r="CE111" s="59">
        <f t="shared" si="94"/>
        <v>384.86917865380076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26.467162785811421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26.467162785811421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277.99999999999994</v>
      </c>
      <c r="CU111" s="17">
        <f>CT111*VLOOKUP('Données projet'!$B$13,Paramètres!$A$1:$I$89,3,0)*VLOOKUP('Données projet'!$B$13,Paramètres!$A$1:$I$89,5,0)</f>
        <v>151.78799999999998</v>
      </c>
      <c r="CV111" s="13">
        <f t="shared" si="95"/>
        <v>38.984634390835623</v>
      </c>
      <c r="CW111" s="20">
        <f t="shared" si="67"/>
        <v>332.26233823070532</v>
      </c>
      <c r="CX111" s="59">
        <f t="shared" si="68"/>
        <v>611.74742242070465</v>
      </c>
      <c r="CY111" s="59">
        <f ca="1">AVERAGE(OFFSET($CX$3,0,0,'Données projet'!$E$13+1,1))-AVERAGE(OFFSET($H$3,0,0,'Données projet'!$E$13+1,1))</f>
        <v>215.37314197175104</v>
      </c>
      <c r="CZ111" s="59">
        <f t="shared" si="96"/>
        <v>361.17630426655978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7.8319842881540911</v>
      </c>
      <c r="DG111" s="21">
        <f>EXP(-LN(2)/25)*DG110+(1-EXP(-LN(2)/25))/(LN(2)/25)*Calculateur!DB111*Calculateur!DD111*VLOOKUP('Données projet'!$B$13,Paramètres!$A$1:$I$89,3,0)*0.475*44/12</f>
        <v>11.047021871806184</v>
      </c>
      <c r="DH111" s="21">
        <f>EXP(-LN(2)/2)*DH110+(1-EXP(-LN(2)/2))/(LN(2)/2)*DB111*DE111*VLOOKUP('Données projet'!$B$13,Paramètres!$A$1:$I$89,3,0)*0.475*44/12</f>
        <v>4.6121952562708859E-14</v>
      </c>
      <c r="DI111" s="22">
        <f t="shared" si="69"/>
        <v>18.879006159960323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498.97000000000031</v>
      </c>
      <c r="O112" s="13">
        <f>N112*VLOOKUP('Données projet'!$B$9,Paramètres!$A$1:$I$89,3,0)*VLOOKUP('Données projet'!$B$9,Paramètres!$A$1:$I$89,5,0)</f>
        <v>451.46805600000027</v>
      </c>
      <c r="P112" s="13">
        <f t="shared" si="87"/>
        <v>102.13639049659334</v>
      </c>
      <c r="Q112" s="20">
        <f t="shared" si="107"/>
        <v>964.1944109815671</v>
      </c>
      <c r="R112" s="59">
        <f t="shared" si="55"/>
        <v>1243.9197313341565</v>
      </c>
      <c r="S112" s="59">
        <f ca="1">AVERAGE(OFFSET($R$3,0,0,'Données projet'!$E$9+1,1))-AVERAGE(OFFSET($H$3,0,0,'Données projet'!$E$9+1,1))</f>
        <v>567.42635821336114</v>
      </c>
      <c r="T112" s="59">
        <f t="shared" si="88"/>
        <v>299.0473530693472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</v>
      </c>
      <c r="AI112" s="13">
        <f>IF('Données projet'!$A$62&gt;35,AI111+AH112-AQ111,IF(A112&lt;'Données projet'!$A$62,$AF$205^A112,IF(A112='Données projet'!$A$62,'Données projet'!$B$62,AI111+AH112-AQ111)))</f>
        <v>485.59999999999997</v>
      </c>
      <c r="AJ112" s="13">
        <f>AI112*VLOOKUP('Données projet'!$B$10,Paramètres!$A$1:$I$89,3,0)*VLOOKUP('Données projet'!$B$10,Paramètres!$A$1:$I$89,5,0)</f>
        <v>416.64479999999998</v>
      </c>
      <c r="AK112" s="13">
        <f t="shared" si="89"/>
        <v>95.143094443977361</v>
      </c>
      <c r="AL112" s="20">
        <f t="shared" si="58"/>
        <v>891.36391615659386</v>
      </c>
      <c r="AM112" s="59">
        <f t="shared" si="59"/>
        <v>1171.0892365091831</v>
      </c>
      <c r="AN112" s="59">
        <f ca="1">AVERAGE(OFFSET($AM$3,0,0,'Données projet'!$E$10+1,1))-AVERAGE(OFFSET($H$3,0,0,'Données projet'!$E$10+1,1))</f>
        <v>569.97793593332699</v>
      </c>
      <c r="AO112" s="59">
        <f t="shared" si="90"/>
        <v>331.25104323342907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123.40609090941489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123.40609090941489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16.750000000000213</v>
      </c>
      <c r="BE112" s="13">
        <f>BD112*VLOOKUP('Données projet'!$B$11,Paramètres!$A$1:$I$89,3,0)*VLOOKUP('Données projet'!$B$11,Paramètres!$A$1:$I$89,5,0)</f>
        <v>14.11020000000018</v>
      </c>
      <c r="BF112" s="13">
        <f t="shared" si="91"/>
        <v>4.7783677814795205</v>
      </c>
      <c r="BG112" s="20">
        <f t="shared" si="61"/>
        <v>32.897588886077138</v>
      </c>
      <c r="BH112" s="59">
        <f t="shared" si="62"/>
        <v>312.62290923866641</v>
      </c>
      <c r="BI112" s="59">
        <f ca="1">AVERAGE(OFFSET($BH$3,0,0,'Données projet'!$E$11+1,1))-AVERAGE(OFFSET($H$3,0,0,'Données projet'!$E$11+1,1))</f>
        <v>458.88102603650725</v>
      </c>
      <c r="BJ112" s="59">
        <f t="shared" si="92"/>
        <v>277.79020316059552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239.57150776721861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239.57150776721861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269.8175999999998</v>
      </c>
      <c r="CA112" s="13">
        <f t="shared" si="93"/>
        <v>64.810557882019467</v>
      </c>
      <c r="CB112" s="20">
        <f t="shared" si="64"/>
        <v>582.81070831118348</v>
      </c>
      <c r="CC112" s="59">
        <f t="shared" si="65"/>
        <v>862.53602866377275</v>
      </c>
      <c r="CD112" s="59">
        <f ca="1">AVERAGE(OFFSET($CC$3,0,0,'Données projet'!$E$12+1,1))-AVERAGE(OFFSET($H$3,0,0,'Données projet'!$E$12+1,1))</f>
        <v>400.48995908576177</v>
      </c>
      <c r="CE112" s="59">
        <f t="shared" si="94"/>
        <v>384.86917865380076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25.948157866956933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25.948157866956933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277.99999999999994</v>
      </c>
      <c r="CU112" s="17">
        <f>CT112*VLOOKUP('Données projet'!$B$13,Paramètres!$A$1:$I$89,3,0)*VLOOKUP('Données projet'!$B$13,Paramètres!$A$1:$I$89,5,0)</f>
        <v>151.78799999999998</v>
      </c>
      <c r="CV112" s="13">
        <f t="shared" si="95"/>
        <v>38.984634390835623</v>
      </c>
      <c r="CW112" s="20">
        <f t="shared" si="67"/>
        <v>332.26233823070532</v>
      </c>
      <c r="CX112" s="59">
        <f t="shared" si="68"/>
        <v>611.98765858329466</v>
      </c>
      <c r="CY112" s="59">
        <f ca="1">AVERAGE(OFFSET($CX$3,0,0,'Données projet'!$E$13+1,1))-AVERAGE(OFFSET($H$3,0,0,'Données projet'!$E$13+1,1))</f>
        <v>215.37314197175104</v>
      </c>
      <c r="CZ112" s="59">
        <f t="shared" si="96"/>
        <v>361.17630426655978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7.6784038533021119</v>
      </c>
      <c r="DG112" s="21">
        <f>EXP(-LN(2)/25)*DG111+(1-EXP(-LN(2)/25))/(LN(2)/25)*Calculateur!DB112*Calculateur!DD112*VLOOKUP('Données projet'!$B$13,Paramètres!$A$1:$I$89,3,0)*0.475*44/12</f>
        <v>10.744940477784011</v>
      </c>
      <c r="DH112" s="21">
        <f>EXP(-LN(2)/2)*DH111+(1-EXP(-LN(2)/2))/(LN(2)/2)*DB112*DE112*VLOOKUP('Données projet'!$B$13,Paramètres!$A$1:$I$89,3,0)*0.475*44/12</f>
        <v>3.2613145418655697E-14</v>
      </c>
      <c r="DI112" s="22">
        <f t="shared" si="69"/>
        <v>18.423344331086156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1135.195600289926</v>
      </c>
      <c r="S113" s="59">
        <f ca="1">AVERAGE(OFFSET($R$3,0,0,'Données projet'!$E$9+1,1))-AVERAGE(OFFSET($H$3,0,0,'Données projet'!$E$9+1,1))</f>
        <v>567.42635821336114</v>
      </c>
      <c r="T113" s="59">
        <f t="shared" si="88"/>
        <v>299.0473530693472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493</v>
      </c>
      <c r="AG113" s="12">
        <f>VLOOKUP(A113,'Données projet'!$A$61:$I$81,9,0)</f>
        <v>7.4</v>
      </c>
      <c r="AH113" s="12">
        <f t="array" ref="AH113">INDEX(AG:AG,MIN(IF(ISNUMBER(AG113:AG309),ROW(AG113:AG309),"")))</f>
        <v>7.4</v>
      </c>
      <c r="AI113" s="13">
        <f>IF('Données projet'!$A$62&gt;35,AI112+AH113-AQ112,IF(A113&lt;'Données projet'!$A$62,$AF$205^A113,IF(A113='Données projet'!$A$62,'Données projet'!$B$62,AI112+AH113-AQ112)))</f>
        <v>492.99999999999994</v>
      </c>
      <c r="AJ113" s="13">
        <f>AI113*VLOOKUP('Données projet'!$B$10,Paramètres!$A$1:$I$89,3,0)*VLOOKUP('Données projet'!$B$10,Paramètres!$A$1:$I$89,5,0)</f>
        <v>422.99399999999997</v>
      </c>
      <c r="AK113" s="13">
        <f t="shared" si="89"/>
        <v>96.423073437021841</v>
      </c>
      <c r="AL113" s="20">
        <f t="shared" si="58"/>
        <v>904.65140290281306</v>
      </c>
      <c r="AM113" s="59">
        <f t="shared" si="59"/>
        <v>1184.612791857659</v>
      </c>
      <c r="AN113" s="59">
        <f ca="1">AVERAGE(OFFSET($AM$3,0,0,'Données projet'!$E$10+1,1))-AVERAGE(OFFSET($H$3,0,0,'Données projet'!$E$10+1,1))</f>
        <v>569.97793593332699</v>
      </c>
      <c r="AO113" s="59">
        <f t="shared" si="90"/>
        <v>331.25104323342907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27</v>
      </c>
      <c r="AR113" s="16">
        <f>IF(ISNA(VLOOKUP(A113,'Données projet'!$A$61:$I$81,5,0)),0%,VLOOKUP(A113,'Données projet'!$A$61:$I$81,5,0)*VLOOKUP('Données projet'!$B$10,Paramètres!$A$1:$I$89,7,0))</f>
        <v>0.53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134.55911594746237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134.55911594746237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16.750000000000213</v>
      </c>
      <c r="BE113" s="13">
        <f>BD113*VLOOKUP('Données projet'!$B$11,Paramètres!$A$1:$I$89,3,0)*VLOOKUP('Données projet'!$B$11,Paramètres!$A$1:$I$89,5,0)</f>
        <v>14.11020000000018</v>
      </c>
      <c r="BF113" s="13">
        <f t="shared" si="91"/>
        <v>4.7783677814795205</v>
      </c>
      <c r="BG113" s="20">
        <f t="shared" si="61"/>
        <v>32.897588886077138</v>
      </c>
      <c r="BH113" s="59">
        <f t="shared" si="62"/>
        <v>312.85897784092299</v>
      </c>
      <c r="BI113" s="59">
        <f ca="1">AVERAGE(OFFSET($BH$3,0,0,'Données projet'!$E$11+1,1))-AVERAGE(OFFSET($H$3,0,0,'Données projet'!$E$11+1,1))</f>
        <v>458.88102603650725</v>
      </c>
      <c r="BJ113" s="59">
        <f t="shared" si="92"/>
        <v>277.79020316059552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234.87365662409462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234.87365662409462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269.8175999999998</v>
      </c>
      <c r="CA113" s="13">
        <f t="shared" si="93"/>
        <v>64.810557882019467</v>
      </c>
      <c r="CB113" s="20">
        <f t="shared" si="64"/>
        <v>582.81070831118348</v>
      </c>
      <c r="CC113" s="59">
        <f t="shared" si="65"/>
        <v>862.77209726602928</v>
      </c>
      <c r="CD113" s="59">
        <f ca="1">AVERAGE(OFFSET($CC$3,0,0,'Données projet'!$E$12+1,1))-AVERAGE(OFFSET($H$3,0,0,'Données projet'!$E$12+1,1))</f>
        <v>400.48995908576177</v>
      </c>
      <c r="CE113" s="59">
        <f t="shared" si="94"/>
        <v>384.86917865380076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25.439330317999438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25.439330317999438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277.99999999999994</v>
      </c>
      <c r="CU113" s="17">
        <f>CT113*VLOOKUP('Données projet'!$B$13,Paramètres!$A$1:$I$89,3,0)*VLOOKUP('Données projet'!$B$13,Paramètres!$A$1:$I$89,5,0)</f>
        <v>151.78799999999998</v>
      </c>
      <c r="CV113" s="13">
        <f t="shared" si="95"/>
        <v>38.984634390835623</v>
      </c>
      <c r="CW113" s="20">
        <f t="shared" si="67"/>
        <v>332.26233823070532</v>
      </c>
      <c r="CX113" s="59">
        <f t="shared" si="68"/>
        <v>612.22372718555118</v>
      </c>
      <c r="CY113" s="59">
        <f ca="1">AVERAGE(OFFSET($CX$3,0,0,'Données projet'!$E$13+1,1))-AVERAGE(OFFSET($H$3,0,0,'Données projet'!$E$13+1,1))</f>
        <v>215.37314197175104</v>
      </c>
      <c r="CZ113" s="59">
        <f t="shared" si="96"/>
        <v>361.17630426655978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7.527835037102764</v>
      </c>
      <c r="DG113" s="21">
        <f>EXP(-LN(2)/25)*DG112+(1-EXP(-LN(2)/25))/(LN(2)/25)*Calculateur!DB113*Calculateur!DD113*VLOOKUP('Données projet'!$B$13,Paramètres!$A$1:$I$89,3,0)*0.475*44/12</f>
        <v>10.451119515367145</v>
      </c>
      <c r="DH113" s="21">
        <f>EXP(-LN(2)/2)*DH112+(1-EXP(-LN(2)/2))/(LN(2)/2)*DB113*DE113*VLOOKUP('Données projet'!$B$13,Paramètres!$A$1:$I$89,3,0)*0.475*44/12</f>
        <v>2.3060976281354429E-14</v>
      </c>
      <c r="DI113" s="22">
        <f t="shared" si="69"/>
        <v>17.978954552469929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1153.2463065318834</v>
      </c>
      <c r="S114" s="59">
        <f ca="1">AVERAGE(OFFSET($R$3,0,0,'Données projet'!$E$9+1,1))-AVERAGE(OFFSET($H$3,0,0,'Données projet'!$E$9+1,1))</f>
        <v>567.42635821336114</v>
      </c>
      <c r="T114" s="59">
        <f t="shared" si="88"/>
        <v>299.0473530693472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</v>
      </c>
      <c r="AI114" s="13">
        <f>IF('Données projet'!$A$62&gt;35,AI113+AH114-AQ113,IF(A114&lt;'Données projet'!$A$62,$AF$205^A114,IF(A114='Données projet'!$A$62,'Données projet'!$B$62,AI113+AH114-AQ113)))</f>
        <v>472.99999999999994</v>
      </c>
      <c r="AJ114" s="13">
        <f>AI114*VLOOKUP('Données projet'!$B$10,Paramètres!$A$1:$I$89,3,0)*VLOOKUP('Données projet'!$B$10,Paramètres!$A$1:$I$89,5,0)</f>
        <v>405.834</v>
      </c>
      <c r="AK114" s="13">
        <f t="shared" si="89"/>
        <v>92.958420619932326</v>
      </c>
      <c r="AL114" s="20">
        <f t="shared" si="58"/>
        <v>868.73013257971536</v>
      </c>
      <c r="AM114" s="59">
        <f t="shared" si="59"/>
        <v>1148.923494874339</v>
      </c>
      <c r="AN114" s="59">
        <f ca="1">AVERAGE(OFFSET($AM$3,0,0,'Données projet'!$E$10+1,1))-AVERAGE(OFFSET($H$3,0,0,'Données projet'!$E$10+1,1))</f>
        <v>569.97793593332699</v>
      </c>
      <c r="AO114" s="59">
        <f t="shared" si="90"/>
        <v>331.25104323342907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131.92049375668932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131.92049375668932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16.750000000000213</v>
      </c>
      <c r="BE114" s="13">
        <f>BD114*VLOOKUP('Données projet'!$B$11,Paramètres!$A$1:$I$89,3,0)*VLOOKUP('Données projet'!$B$11,Paramètres!$A$1:$I$89,5,0)</f>
        <v>14.11020000000018</v>
      </c>
      <c r="BF114" s="13">
        <f t="shared" si="91"/>
        <v>4.7783677814795205</v>
      </c>
      <c r="BG114" s="20">
        <f t="shared" si="61"/>
        <v>32.897588886077138</v>
      </c>
      <c r="BH114" s="59">
        <f t="shared" si="62"/>
        <v>313.0909511807007</v>
      </c>
      <c r="BI114" s="59">
        <f ca="1">AVERAGE(OFFSET($BH$3,0,0,'Données projet'!$E$11+1,1))-AVERAGE(OFFSET($H$3,0,0,'Données projet'!$E$11+1,1))</f>
        <v>458.88102603650725</v>
      </c>
      <c r="BJ114" s="59">
        <f t="shared" si="92"/>
        <v>277.79020316059552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230.26792747648105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230.26792747648105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269.8175999999998</v>
      </c>
      <c r="CA114" s="13">
        <f t="shared" si="93"/>
        <v>64.810557882019467</v>
      </c>
      <c r="CB114" s="20">
        <f t="shared" si="64"/>
        <v>582.81070831118348</v>
      </c>
      <c r="CC114" s="59">
        <f t="shared" si="65"/>
        <v>863.0040706058071</v>
      </c>
      <c r="CD114" s="59">
        <f ca="1">AVERAGE(OFFSET($CC$3,0,0,'Données projet'!$E$12+1,1))-AVERAGE(OFFSET($H$3,0,0,'Données projet'!$E$12+1,1))</f>
        <v>400.48995908576177</v>
      </c>
      <c r="CE114" s="59">
        <f t="shared" si="94"/>
        <v>384.86917865380076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24.94048056692284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24.94048056692284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277.99999999999994</v>
      </c>
      <c r="CU114" s="17">
        <f>CT114*VLOOKUP('Données projet'!$B$13,Paramètres!$A$1:$I$89,3,0)*VLOOKUP('Données projet'!$B$13,Paramètres!$A$1:$I$89,5,0)</f>
        <v>151.78799999999998</v>
      </c>
      <c r="CV114" s="13">
        <f t="shared" si="95"/>
        <v>38.984634390835623</v>
      </c>
      <c r="CW114" s="20">
        <f t="shared" si="67"/>
        <v>332.26233823070532</v>
      </c>
      <c r="CX114" s="59">
        <f t="shared" si="68"/>
        <v>612.45570052532889</v>
      </c>
      <c r="CY114" s="59">
        <f ca="1">AVERAGE(OFFSET($CX$3,0,0,'Données projet'!$E$13+1,1))-AVERAGE(OFFSET($H$3,0,0,'Données projet'!$E$13+1,1))</f>
        <v>215.37314197175104</v>
      </c>
      <c r="CZ114" s="59">
        <f t="shared" si="96"/>
        <v>361.17630426655978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7.3802187835511761</v>
      </c>
      <c r="DG114" s="21">
        <f>EXP(-LN(2)/25)*DG113+(1-EXP(-LN(2)/25))/(LN(2)/25)*Calculateur!DB114*Calculateur!DD114*VLOOKUP('Données projet'!$B$13,Paramètres!$A$1:$I$89,3,0)*0.475*44/12</f>
        <v>10.165333102618941</v>
      </c>
      <c r="DH114" s="21">
        <f>EXP(-LN(2)/2)*DH113+(1-EXP(-LN(2)/2))/(LN(2)/2)*DB114*DE114*VLOOKUP('Données projet'!$B$13,Paramètres!$A$1:$I$89,3,0)*0.475*44/12</f>
        <v>1.6306572709327848E-14</v>
      </c>
      <c r="DI114" s="22">
        <f t="shared" si="69"/>
        <v>17.545551886170134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1171.2857110770487</v>
      </c>
      <c r="S115" s="59">
        <f ca="1">AVERAGE(OFFSET($R$3,0,0,'Données projet'!$E$9+1,1))-AVERAGE(OFFSET($H$3,0,0,'Données projet'!$E$9+1,1))</f>
        <v>567.42635821336114</v>
      </c>
      <c r="T115" s="59">
        <f t="shared" si="88"/>
        <v>299.0473530693472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</v>
      </c>
      <c r="AI115" s="13">
        <f>IF('Données projet'!$A$62&gt;35,AI114+AH115-AQ114,IF(A115&lt;'Données projet'!$A$62,$AF$205^A115,IF(A115='Données projet'!$A$62,'Données projet'!$B$62,AI114+AH115-AQ114)))</f>
        <v>479.99999999999994</v>
      </c>
      <c r="AJ115" s="13">
        <f>AI115*VLOOKUP('Données projet'!$B$10,Paramètres!$A$1:$I$89,3,0)*VLOOKUP('Données projet'!$B$10,Paramètres!$A$1:$I$89,5,0)</f>
        <v>411.84000000000003</v>
      </c>
      <c r="AK115" s="13">
        <f t="shared" si="89"/>
        <v>94.172953187816049</v>
      </c>
      <c r="AL115" s="20">
        <f t="shared" si="58"/>
        <v>881.30589346877969</v>
      </c>
      <c r="AM115" s="59">
        <f t="shared" si="59"/>
        <v>1161.7272048843506</v>
      </c>
      <c r="AN115" s="59">
        <f ca="1">AVERAGE(OFFSET($AM$3,0,0,'Données projet'!$E$10+1,1))-AVERAGE(OFFSET($H$3,0,0,'Données projet'!$E$10+1,1))</f>
        <v>569.97793593332699</v>
      </c>
      <c r="AO115" s="59">
        <f t="shared" si="90"/>
        <v>331.25104323342907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129.33361333767672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129.33361333767672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16.750000000000213</v>
      </c>
      <c r="BE115" s="13">
        <f>BD115*VLOOKUP('Données projet'!$B$11,Paramètres!$A$1:$I$89,3,0)*VLOOKUP('Données projet'!$B$11,Paramètres!$A$1:$I$89,5,0)</f>
        <v>14.11020000000018</v>
      </c>
      <c r="BF115" s="13">
        <f t="shared" si="91"/>
        <v>4.7783677814795205</v>
      </c>
      <c r="BG115" s="20">
        <f t="shared" si="61"/>
        <v>32.897588886077138</v>
      </c>
      <c r="BH115" s="59">
        <f t="shared" si="62"/>
        <v>313.318900301648</v>
      </c>
      <c r="BI115" s="59">
        <f ca="1">AVERAGE(OFFSET($BH$3,0,0,'Données projet'!$E$11+1,1))-AVERAGE(OFFSET($H$3,0,0,'Données projet'!$E$11+1,1))</f>
        <v>458.88102603650725</v>
      </c>
      <c r="BJ115" s="59">
        <f t="shared" si="92"/>
        <v>277.79020316059552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225.75251386823479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225.75251386823479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269.8175999999998</v>
      </c>
      <c r="CA115" s="13">
        <f t="shared" si="93"/>
        <v>64.810557882019467</v>
      </c>
      <c r="CB115" s="20">
        <f t="shared" si="64"/>
        <v>582.81070831118348</v>
      </c>
      <c r="CC115" s="59">
        <f t="shared" si="65"/>
        <v>863.23201972675429</v>
      </c>
      <c r="CD115" s="59">
        <f ca="1">AVERAGE(OFFSET($CC$3,0,0,'Données projet'!$E$12+1,1))-AVERAGE(OFFSET($H$3,0,0,'Données projet'!$E$12+1,1))</f>
        <v>400.48995908576177</v>
      </c>
      <c r="CE115" s="59">
        <f t="shared" si="94"/>
        <v>384.86917865380076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24.451412955196549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24.451412955196549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277.99999999999994</v>
      </c>
      <c r="CU115" s="17">
        <f>CT115*VLOOKUP('Données projet'!$B$13,Paramètres!$A$1:$I$89,3,0)*VLOOKUP('Données projet'!$B$13,Paramètres!$A$1:$I$89,5,0)</f>
        <v>151.78799999999998</v>
      </c>
      <c r="CV115" s="13">
        <f t="shared" si="95"/>
        <v>38.984634390835623</v>
      </c>
      <c r="CW115" s="20">
        <f t="shared" si="67"/>
        <v>332.26233823070532</v>
      </c>
      <c r="CX115" s="59">
        <f t="shared" si="68"/>
        <v>612.68364964627619</v>
      </c>
      <c r="CY115" s="59">
        <f ca="1">AVERAGE(OFFSET($CX$3,0,0,'Données projet'!$E$13+1,1))-AVERAGE(OFFSET($H$3,0,0,'Données projet'!$E$13+1,1))</f>
        <v>215.37314197175104</v>
      </c>
      <c r="CZ115" s="59">
        <f t="shared" si="96"/>
        <v>361.17630426655978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7.2354971946947106</v>
      </c>
      <c r="DG115" s="21">
        <f>EXP(-LN(2)/25)*DG114+(1-EXP(-LN(2)/25))/(LN(2)/25)*Calculateur!DB115*Calculateur!DD115*VLOOKUP('Données projet'!$B$13,Paramètres!$A$1:$I$89,3,0)*0.475*44/12</f>
        <v>9.8873615343561916</v>
      </c>
      <c r="DH115" s="21">
        <f>EXP(-LN(2)/2)*DH114+(1-EXP(-LN(2)/2))/(LN(2)/2)*DB115*DE115*VLOOKUP('Données projet'!$B$13,Paramètres!$A$1:$I$89,3,0)*0.475*44/12</f>
        <v>1.1530488140677215E-14</v>
      </c>
      <c r="DI115" s="22">
        <f t="shared" si="69"/>
        <v>17.122858729050915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1189.314049560586</v>
      </c>
      <c r="S116" s="59">
        <f ca="1">AVERAGE(OFFSET($R$3,0,0,'Données projet'!$E$9+1,1))-AVERAGE(OFFSET($H$3,0,0,'Données projet'!$E$9+1,1))</f>
        <v>567.42635821336114</v>
      </c>
      <c r="T116" s="59">
        <f t="shared" si="88"/>
        <v>299.0473530693472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</v>
      </c>
      <c r="AI116" s="13">
        <f>IF('Données projet'!$A$62&gt;35,AI115+AH116-AQ115,IF(A116&lt;'Données projet'!$A$62,$AF$205^A116,IF(A116='Données projet'!$A$62,'Données projet'!$B$62,AI115+AH116-AQ115)))</f>
        <v>486.99999999999994</v>
      </c>
      <c r="AJ116" s="13">
        <f>AI116*VLOOKUP('Données projet'!$B$10,Paramètres!$A$1:$I$89,3,0)*VLOOKUP('Données projet'!$B$10,Paramètres!$A$1:$I$89,5,0)</f>
        <v>417.84599999999995</v>
      </c>
      <c r="AK116" s="13">
        <f t="shared" si="89"/>
        <v>95.385425758311655</v>
      </c>
      <c r="AL116" s="20">
        <f t="shared" si="58"/>
        <v>893.87806652905931</v>
      </c>
      <c r="AM116" s="59">
        <f t="shared" si="59"/>
        <v>1174.523372657947</v>
      </c>
      <c r="AN116" s="59">
        <f ca="1">AVERAGE(OFFSET($AM$3,0,0,'Données projet'!$E$10+1,1))-AVERAGE(OFFSET($H$3,0,0,'Données projet'!$E$10+1,1))</f>
        <v>569.97793593332699</v>
      </c>
      <c r="AO116" s="59">
        <f t="shared" si="90"/>
        <v>331.25104323342907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126.7974600658397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126.7974600658397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16.750000000000213</v>
      </c>
      <c r="BE116" s="13">
        <f>BD116*VLOOKUP('Données projet'!$B$11,Paramètres!$A$1:$I$89,3,0)*VLOOKUP('Données projet'!$B$11,Paramètres!$A$1:$I$89,5,0)</f>
        <v>14.11020000000018</v>
      </c>
      <c r="BF116" s="13">
        <f t="shared" si="91"/>
        <v>4.7783677814795205</v>
      </c>
      <c r="BG116" s="20">
        <f t="shared" si="61"/>
        <v>32.897588886077138</v>
      </c>
      <c r="BH116" s="59">
        <f t="shared" si="62"/>
        <v>313.54289501496476</v>
      </c>
      <c r="BI116" s="59">
        <f ca="1">AVERAGE(OFFSET($BH$3,0,0,'Données projet'!$E$11+1,1))-AVERAGE(OFFSET($H$3,0,0,'Données projet'!$E$11+1,1))</f>
        <v>458.88102603650725</v>
      </c>
      <c r="BJ116" s="59">
        <f t="shared" si="92"/>
        <v>277.79020316059552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221.32564476671587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221.32564476671587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269.8175999999998</v>
      </c>
      <c r="CA116" s="13">
        <f t="shared" si="93"/>
        <v>64.810557882019467</v>
      </c>
      <c r="CB116" s="20">
        <f t="shared" si="64"/>
        <v>582.81070831118348</v>
      </c>
      <c r="CC116" s="59">
        <f t="shared" si="65"/>
        <v>863.45601444007116</v>
      </c>
      <c r="CD116" s="59">
        <f ca="1">AVERAGE(OFFSET($CC$3,0,0,'Données projet'!$E$12+1,1))-AVERAGE(OFFSET($H$3,0,0,'Données projet'!$E$12+1,1))</f>
        <v>400.48995908576177</v>
      </c>
      <c r="CE116" s="59">
        <f t="shared" si="94"/>
        <v>384.86917865380076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23.971935661034422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23.971935661034422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277.99999999999994</v>
      </c>
      <c r="CU116" s="17">
        <f>CT116*VLOOKUP('Données projet'!$B$13,Paramètres!$A$1:$I$89,3,0)*VLOOKUP('Données projet'!$B$13,Paramètres!$A$1:$I$89,5,0)</f>
        <v>151.78799999999998</v>
      </c>
      <c r="CV116" s="13">
        <f t="shared" si="95"/>
        <v>38.984634390835623</v>
      </c>
      <c r="CW116" s="20">
        <f t="shared" si="67"/>
        <v>332.26233823070532</v>
      </c>
      <c r="CX116" s="59">
        <f t="shared" si="68"/>
        <v>612.90764435959295</v>
      </c>
      <c r="CY116" s="59">
        <f ca="1">AVERAGE(OFFSET($CX$3,0,0,'Données projet'!$E$13+1,1))-AVERAGE(OFFSET($H$3,0,0,'Données projet'!$E$13+1,1))</f>
        <v>215.37314197175104</v>
      </c>
      <c r="CZ116" s="59">
        <f t="shared" si="96"/>
        <v>361.17630426655978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7.0936135079242675</v>
      </c>
      <c r="DG116" s="21">
        <f>EXP(-LN(2)/25)*DG115+(1-EXP(-LN(2)/25))/(LN(2)/25)*Calculateur!DB116*Calculateur!DD116*VLOOKUP('Données projet'!$B$13,Paramètres!$A$1:$I$89,3,0)*0.475*44/12</f>
        <v>9.6169911132454757</v>
      </c>
      <c r="DH116" s="21">
        <f>EXP(-LN(2)/2)*DH115+(1-EXP(-LN(2)/2))/(LN(2)/2)*DB116*DE116*VLOOKUP('Données projet'!$B$13,Paramètres!$A$1:$I$89,3,0)*0.475*44/12</f>
        <v>8.1532863546639242E-15</v>
      </c>
      <c r="DI116" s="22">
        <f t="shared" si="69"/>
        <v>16.71060462116975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1207.3315493864777</v>
      </c>
      <c r="S117" s="59">
        <f ca="1">AVERAGE(OFFSET($R$3,0,0,'Données projet'!$E$9+1,1))-AVERAGE(OFFSET($H$3,0,0,'Données projet'!$E$9+1,1))</f>
        <v>567.42635821336114</v>
      </c>
      <c r="T117" s="59">
        <f t="shared" si="88"/>
        <v>299.0473530693472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</v>
      </c>
      <c r="AI117" s="13">
        <f>IF('Données projet'!$A$62&gt;35,AI116+AH117-AQ116,IF(A117&lt;'Données projet'!$A$62,$AF$205^A117,IF(A117='Données projet'!$A$62,'Données projet'!$B$62,AI116+AH117-AQ116)))</f>
        <v>493.99999999999994</v>
      </c>
      <c r="AJ117" s="13">
        <f>AI117*VLOOKUP('Données projet'!$B$10,Paramètres!$A$1:$I$89,3,0)*VLOOKUP('Données projet'!$B$10,Paramètres!$A$1:$I$89,5,0)</f>
        <v>423.85199999999998</v>
      </c>
      <c r="AK117" s="13">
        <f t="shared" si="89"/>
        <v>96.595871362472579</v>
      </c>
      <c r="AL117" s="20">
        <f t="shared" si="58"/>
        <v>906.44670928963967</v>
      </c>
      <c r="AM117" s="59">
        <f t="shared" si="59"/>
        <v>1187.3121243243452</v>
      </c>
      <c r="AN117" s="59">
        <f ca="1">AVERAGE(OFFSET($AM$3,0,0,'Données projet'!$E$10+1,1))-AVERAGE(OFFSET($H$3,0,0,'Données projet'!$E$10+1,1))</f>
        <v>569.97793593332699</v>
      </c>
      <c r="AO117" s="59">
        <f t="shared" si="90"/>
        <v>331.25104323342907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124.31103921276265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124.31103921276265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16.750000000000213</v>
      </c>
      <c r="BE117" s="13">
        <f>BD117*VLOOKUP('Données projet'!$B$11,Paramètres!$A$1:$I$89,3,0)*VLOOKUP('Données projet'!$B$11,Paramètres!$A$1:$I$89,5,0)</f>
        <v>14.11020000000018</v>
      </c>
      <c r="BF117" s="13">
        <f t="shared" si="91"/>
        <v>4.7783677814795205</v>
      </c>
      <c r="BG117" s="20">
        <f t="shared" si="61"/>
        <v>32.897588886077138</v>
      </c>
      <c r="BH117" s="59">
        <f t="shared" si="62"/>
        <v>313.76300392078258</v>
      </c>
      <c r="BI117" s="59">
        <f ca="1">AVERAGE(OFFSET($BH$3,0,0,'Données projet'!$E$11+1,1))-AVERAGE(OFFSET($H$3,0,0,'Données projet'!$E$11+1,1))</f>
        <v>458.88102603650725</v>
      </c>
      <c r="BJ117" s="59">
        <f t="shared" si="92"/>
        <v>277.79020316059552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216.98558386815421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216.98558386815421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269.8175999999998</v>
      </c>
      <c r="CA117" s="13">
        <f t="shared" si="93"/>
        <v>64.810557882019467</v>
      </c>
      <c r="CB117" s="20">
        <f t="shared" si="64"/>
        <v>582.81070831118348</v>
      </c>
      <c r="CC117" s="59">
        <f t="shared" si="65"/>
        <v>863.67612334588898</v>
      </c>
      <c r="CD117" s="59">
        <f ca="1">AVERAGE(OFFSET($CC$3,0,0,'Données projet'!$E$12+1,1))-AVERAGE(OFFSET($H$3,0,0,'Données projet'!$E$12+1,1))</f>
        <v>400.48995908576177</v>
      </c>
      <c r="CE117" s="59">
        <f t="shared" si="94"/>
        <v>384.86917865380076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23.501860624158542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23.501860624158542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277.99999999999994</v>
      </c>
      <c r="CU117" s="17">
        <f>CT117*VLOOKUP('Données projet'!$B$13,Paramètres!$A$1:$I$89,3,0)*VLOOKUP('Données projet'!$B$13,Paramètres!$A$1:$I$89,5,0)</f>
        <v>151.78799999999998</v>
      </c>
      <c r="CV117" s="13">
        <f t="shared" si="95"/>
        <v>38.984634390835623</v>
      </c>
      <c r="CW117" s="20">
        <f t="shared" si="67"/>
        <v>332.26233823070532</v>
      </c>
      <c r="CX117" s="59">
        <f t="shared" si="68"/>
        <v>613.12775326541077</v>
      </c>
      <c r="CY117" s="59">
        <f ca="1">AVERAGE(OFFSET($CX$3,0,0,'Données projet'!$E$13+1,1))-AVERAGE(OFFSET($H$3,0,0,'Données projet'!$E$13+1,1))</f>
        <v>215.37314197175104</v>
      </c>
      <c r="CZ117" s="59">
        <f t="shared" si="96"/>
        <v>361.17630426655978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6.9545120737108883</v>
      </c>
      <c r="DG117" s="21">
        <f>EXP(-LN(2)/25)*DG116+(1-EXP(-LN(2)/25))/(LN(2)/25)*Calculateur!DB117*Calculateur!DD117*VLOOKUP('Données projet'!$B$13,Paramètres!$A$1:$I$89,3,0)*0.475*44/12</f>
        <v>9.3540139855181952</v>
      </c>
      <c r="DH117" s="21">
        <f>EXP(-LN(2)/2)*DH116+(1-EXP(-LN(2)/2))/(LN(2)/2)*DB117*DE117*VLOOKUP('Données projet'!$B$13,Paramètres!$A$1:$I$89,3,0)*0.475*44/12</f>
        <v>5.7652440703386073E-15</v>
      </c>
      <c r="DI117" s="22">
        <f t="shared" si="69"/>
        <v>16.308526059229091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1225.3384301775986</v>
      </c>
      <c r="S118" s="59">
        <f ca="1">AVERAGE(OFFSET($R$3,0,0,'Données projet'!$E$9+1,1))-AVERAGE(OFFSET($H$3,0,0,'Données projet'!$E$9+1,1))</f>
        <v>567.42635821336114</v>
      </c>
      <c r="T118" s="59">
        <f t="shared" si="88"/>
        <v>299.0473530693472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501</v>
      </c>
      <c r="AG118" s="12">
        <f>VLOOKUP(A118,'Données projet'!$A$61:$I$81,9,0)</f>
        <v>7</v>
      </c>
      <c r="AH118" s="12">
        <f t="array" ref="AH118">INDEX(AG:AG,MIN(IF(ISNUMBER(AG118:AG314),ROW(AG118:AG314),"")))</f>
        <v>7</v>
      </c>
      <c r="AI118" s="13">
        <f>IF('Données projet'!$A$62&gt;35,AI117+AH118-AQ117,IF(A118&lt;'Données projet'!$A$62,$AF$205^A118,IF(A118='Données projet'!$A$62,'Données projet'!$B$62,AI117+AH118-AQ117)))</f>
        <v>500.99999999999994</v>
      </c>
      <c r="AJ118" s="13">
        <f>AI118*VLOOKUP('Données projet'!$B$10,Paramètres!$A$1:$I$89,3,0)*VLOOKUP('Données projet'!$B$10,Paramètres!$A$1:$I$89,5,0)</f>
        <v>429.858</v>
      </c>
      <c r="AK118" s="13">
        <f t="shared" si="89"/>
        <v>97.804322041485804</v>
      </c>
      <c r="AL118" s="20">
        <f t="shared" si="58"/>
        <v>919.01187755558783</v>
      </c>
      <c r="AM118" s="59">
        <f t="shared" si="59"/>
        <v>1200.093583098685</v>
      </c>
      <c r="AN118" s="59">
        <f ca="1">AVERAGE(OFFSET($AM$3,0,0,'Données projet'!$E$10+1,1))-AVERAGE(OFFSET($H$3,0,0,'Données projet'!$E$10+1,1))</f>
        <v>569.97793593332699</v>
      </c>
      <c r="AO118" s="59">
        <f t="shared" si="90"/>
        <v>331.25104323342907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26</v>
      </c>
      <c r="AR118" s="16">
        <f>IF(ISNA(VLOOKUP(A118,'Données projet'!$A$61:$I$81,5,0)),0%,VLOOKUP(A118,'Données projet'!$A$61:$I$81,5,0)*VLOOKUP('Données projet'!$B$10,Paramètres!$A$1:$I$89,7,0))</f>
        <v>0.53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134.94361716615663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134.94361716615663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16.750000000000213</v>
      </c>
      <c r="BE118" s="13">
        <f>BD118*VLOOKUP('Données projet'!$B$11,Paramètres!$A$1:$I$89,3,0)*VLOOKUP('Données projet'!$B$11,Paramètres!$A$1:$I$89,5,0)</f>
        <v>14.11020000000018</v>
      </c>
      <c r="BF118" s="13">
        <f t="shared" si="91"/>
        <v>4.7783677814795205</v>
      </c>
      <c r="BG118" s="20">
        <f t="shared" si="61"/>
        <v>32.897588886077138</v>
      </c>
      <c r="BH118" s="59">
        <f t="shared" si="62"/>
        <v>313.97929442917439</v>
      </c>
      <c r="BI118" s="59">
        <f ca="1">AVERAGE(OFFSET($BH$3,0,0,'Données projet'!$E$11+1,1))-AVERAGE(OFFSET($H$3,0,0,'Données projet'!$E$11+1,1))</f>
        <v>458.88102603650725</v>
      </c>
      <c r="BJ118" s="59">
        <f t="shared" si="92"/>
        <v>277.79020316059552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212.73062891663756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212.73062891663756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269.8175999999998</v>
      </c>
      <c r="CA118" s="13">
        <f t="shared" si="93"/>
        <v>64.810557882019467</v>
      </c>
      <c r="CB118" s="20">
        <f t="shared" si="64"/>
        <v>582.81070831118348</v>
      </c>
      <c r="CC118" s="59">
        <f t="shared" si="65"/>
        <v>863.89241385428068</v>
      </c>
      <c r="CD118" s="59">
        <f ca="1">AVERAGE(OFFSET($CC$3,0,0,'Données projet'!$E$12+1,1))-AVERAGE(OFFSET($H$3,0,0,'Données projet'!$E$12+1,1))</f>
        <v>400.48995908576177</v>
      </c>
      <c r="CE118" s="59">
        <f t="shared" si="94"/>
        <v>384.86917865380076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23.041003472038337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23.041003472038337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277.99999999999994</v>
      </c>
      <c r="CU118" s="17">
        <f>CT118*VLOOKUP('Données projet'!$B$13,Paramètres!$A$1:$I$89,3,0)*VLOOKUP('Données projet'!$B$13,Paramètres!$A$1:$I$89,5,0)</f>
        <v>151.78799999999998</v>
      </c>
      <c r="CV118" s="13">
        <f t="shared" si="95"/>
        <v>38.984634390835623</v>
      </c>
      <c r="CW118" s="20">
        <f t="shared" si="67"/>
        <v>332.26233823070532</v>
      </c>
      <c r="CX118" s="59">
        <f t="shared" si="68"/>
        <v>613.34404377380258</v>
      </c>
      <c r="CY118" s="59">
        <f ca="1">AVERAGE(OFFSET($CX$3,0,0,'Données projet'!$E$13+1,1))-AVERAGE(OFFSET($H$3,0,0,'Données projet'!$E$13+1,1))</f>
        <v>215.37314197175104</v>
      </c>
      <c r="CZ118" s="59">
        <f t="shared" si="96"/>
        <v>361.17630426655978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6.8181383337789363</v>
      </c>
      <c r="DG118" s="21">
        <f>EXP(-LN(2)/25)*DG117+(1-EXP(-LN(2)/25))/(LN(2)/25)*Calculateur!DB118*Calculateur!DD118*VLOOKUP('Données projet'!$B$13,Paramètres!$A$1:$I$89,3,0)*0.475*44/12</f>
        <v>9.0982279811779829</v>
      </c>
      <c r="DH118" s="21">
        <f>EXP(-LN(2)/2)*DH117+(1-EXP(-LN(2)/2))/(LN(2)/2)*DB118*DE118*VLOOKUP('Données projet'!$B$13,Paramètres!$A$1:$I$89,3,0)*0.475*44/12</f>
        <v>4.0766431773319621E-15</v>
      </c>
      <c r="DI118" s="22">
        <f t="shared" si="69"/>
        <v>15.916366314956923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1243.3349041914457</v>
      </c>
      <c r="S119" s="59">
        <f ca="1">AVERAGE(OFFSET($R$3,0,0,'Données projet'!$E$9+1,1))-AVERAGE(OFFSET($H$3,0,0,'Données projet'!$E$9+1,1))</f>
        <v>567.42635821336114</v>
      </c>
      <c r="T119" s="59">
        <f t="shared" si="88"/>
        <v>299.0473530693472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474.99999999999994</v>
      </c>
      <c r="AJ119" s="13">
        <f>AI119*VLOOKUP('Données projet'!$B$10,Paramètres!$A$1:$I$89,3,0)*VLOOKUP('Données projet'!$B$10,Paramètres!$A$1:$I$89,5,0)</f>
        <v>407.55</v>
      </c>
      <c r="AK119" s="13">
        <f t="shared" si="89"/>
        <v>93.305642095357683</v>
      </c>
      <c r="AL119" s="20">
        <f t="shared" si="58"/>
        <v>872.32357664941446</v>
      </c>
      <c r="AM119" s="59">
        <f t="shared" si="59"/>
        <v>1153.6178205441361</v>
      </c>
      <c r="AN119" s="59">
        <f ca="1">AVERAGE(OFFSET($AM$3,0,0,'Données projet'!$E$10+1,1))-AVERAGE(OFFSET($H$3,0,0,'Données projet'!$E$10+1,1))</f>
        <v>569.97793593332699</v>
      </c>
      <c r="AO119" s="59">
        <f t="shared" si="90"/>
        <v>331.25104323342907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132.29745514100759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132.29745514100759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16.750000000000213</v>
      </c>
      <c r="BE119" s="13">
        <f>BD119*VLOOKUP('Données projet'!$B$11,Paramètres!$A$1:$I$89,3,0)*VLOOKUP('Données projet'!$B$11,Paramètres!$A$1:$I$89,5,0)</f>
        <v>14.11020000000018</v>
      </c>
      <c r="BF119" s="13">
        <f t="shared" si="91"/>
        <v>4.7783677814795205</v>
      </c>
      <c r="BG119" s="20">
        <f t="shared" si="61"/>
        <v>32.897588886077138</v>
      </c>
      <c r="BH119" s="59">
        <f t="shared" si="62"/>
        <v>314.19183278079862</v>
      </c>
      <c r="BI119" s="59">
        <f ca="1">AVERAGE(OFFSET($BH$3,0,0,'Données projet'!$E$11+1,1))-AVERAGE(OFFSET($H$3,0,0,'Données projet'!$E$11+1,1))</f>
        <v>458.88102603650725</v>
      </c>
      <c r="BJ119" s="59">
        <f t="shared" si="92"/>
        <v>277.79020316059552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208.55911103645391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208.55911103645391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269.8175999999998</v>
      </c>
      <c r="CA119" s="13">
        <f t="shared" si="93"/>
        <v>64.810557882019467</v>
      </c>
      <c r="CB119" s="20">
        <f t="shared" si="64"/>
        <v>582.81070831118348</v>
      </c>
      <c r="CC119" s="59">
        <f t="shared" si="65"/>
        <v>864.10495220590497</v>
      </c>
      <c r="CD119" s="59">
        <f ca="1">AVERAGE(OFFSET($CC$3,0,0,'Données projet'!$E$12+1,1))-AVERAGE(OFFSET($H$3,0,0,'Données projet'!$E$12+1,1))</f>
        <v>400.48995908576177</v>
      </c>
      <c r="CE119" s="59">
        <f t="shared" si="94"/>
        <v>384.86917865380076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22.589183447576104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22.589183447576104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277.99999999999994</v>
      </c>
      <c r="CU119" s="17">
        <f>CT119*VLOOKUP('Données projet'!$B$13,Paramètres!$A$1:$I$89,3,0)*VLOOKUP('Données projet'!$B$13,Paramètres!$A$1:$I$89,5,0)</f>
        <v>151.78799999999998</v>
      </c>
      <c r="CV119" s="13">
        <f t="shared" si="95"/>
        <v>38.984634390835623</v>
      </c>
      <c r="CW119" s="20">
        <f t="shared" si="67"/>
        <v>332.26233823070532</v>
      </c>
      <c r="CX119" s="59">
        <f t="shared" si="68"/>
        <v>613.55658212542676</v>
      </c>
      <c r="CY119" s="59">
        <f ca="1">AVERAGE(OFFSET($CX$3,0,0,'Données projet'!$E$13+1,1))-AVERAGE(OFFSET($H$3,0,0,'Données projet'!$E$13+1,1))</f>
        <v>215.37314197175104</v>
      </c>
      <c r="CZ119" s="59">
        <f t="shared" si="96"/>
        <v>361.17630426655978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6.6844387997072818</v>
      </c>
      <c r="DG119" s="21">
        <f>EXP(-LN(2)/25)*DG118+(1-EXP(-LN(2)/25))/(LN(2)/25)*Calculateur!DB119*Calculateur!DD119*VLOOKUP('Données projet'!$B$13,Paramètres!$A$1:$I$89,3,0)*0.475*44/12</f>
        <v>8.8494364585776566</v>
      </c>
      <c r="DH119" s="21">
        <f>EXP(-LN(2)/2)*DH118+(1-EXP(-LN(2)/2))/(LN(2)/2)*DB119*DE119*VLOOKUP('Données projet'!$B$13,Paramètres!$A$1:$I$89,3,0)*0.475*44/12</f>
        <v>2.8826220351693037E-15</v>
      </c>
      <c r="DI119" s="22">
        <f t="shared" si="69"/>
        <v>15.533875258284942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1261.3211767048238</v>
      </c>
      <c r="S120" s="59">
        <f ca="1">AVERAGE(OFFSET($R$3,0,0,'Données projet'!$E$9+1,1))-AVERAGE(OFFSET($H$3,0,0,'Données projet'!$E$9+1,1))</f>
        <v>567.42635821336114</v>
      </c>
      <c r="T120" s="59">
        <f t="shared" si="88"/>
        <v>299.0473530693472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474.99999999999994</v>
      </c>
      <c r="AJ120" s="13">
        <f>AI120*VLOOKUP('Données projet'!$B$10,Paramètres!$A$1:$I$89,3,0)*VLOOKUP('Données projet'!$B$10,Paramètres!$A$1:$I$89,5,0)</f>
        <v>407.55</v>
      </c>
      <c r="AK120" s="13">
        <f t="shared" si="89"/>
        <v>93.305642095357683</v>
      </c>
      <c r="AL120" s="20">
        <f t="shared" si="58"/>
        <v>872.32357664941446</v>
      </c>
      <c r="AM120" s="59">
        <f t="shared" si="59"/>
        <v>1153.826671830524</v>
      </c>
      <c r="AN120" s="59">
        <f ca="1">AVERAGE(OFFSET($AM$3,0,0,'Données projet'!$E$10+1,1))-AVERAGE(OFFSET($H$3,0,0,'Données projet'!$E$10+1,1))</f>
        <v>569.97793593332699</v>
      </c>
      <c r="AO120" s="59">
        <f t="shared" si="90"/>
        <v>331.25104323342907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129.70318273917223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129.70318273917223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16.750000000000213</v>
      </c>
      <c r="BE120" s="13">
        <f>BD120*VLOOKUP('Données projet'!$B$11,Paramètres!$A$1:$I$89,3,0)*VLOOKUP('Données projet'!$B$11,Paramètres!$A$1:$I$89,5,0)</f>
        <v>14.11020000000018</v>
      </c>
      <c r="BF120" s="13">
        <f t="shared" si="91"/>
        <v>4.7783677814795205</v>
      </c>
      <c r="BG120" s="20">
        <f t="shared" si="61"/>
        <v>32.897588886077138</v>
      </c>
      <c r="BH120" s="59">
        <f t="shared" si="62"/>
        <v>314.40068406718677</v>
      </c>
      <c r="BI120" s="59">
        <f ca="1">AVERAGE(OFFSET($BH$3,0,0,'Données projet'!$E$11+1,1))-AVERAGE(OFFSET($H$3,0,0,'Données projet'!$E$11+1,1))</f>
        <v>458.88102603650725</v>
      </c>
      <c r="BJ120" s="59">
        <f t="shared" si="92"/>
        <v>277.79020316059552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204.46939407752598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204.46939407752598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269.8175999999998</v>
      </c>
      <c r="CA120" s="13">
        <f t="shared" si="93"/>
        <v>64.810557882019467</v>
      </c>
      <c r="CB120" s="20">
        <f t="shared" si="64"/>
        <v>582.81070831118348</v>
      </c>
      <c r="CC120" s="59">
        <f t="shared" si="65"/>
        <v>864.31380349229312</v>
      </c>
      <c r="CD120" s="59">
        <f ca="1">AVERAGE(OFFSET($CC$3,0,0,'Données projet'!$E$12+1,1))-AVERAGE(OFFSET($H$3,0,0,'Données projet'!$E$12+1,1))</f>
        <v>400.48995908576177</v>
      </c>
      <c r="CE120" s="59">
        <f t="shared" si="94"/>
        <v>384.86917865380076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22.146223338210572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22.146223338210572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277.99999999999994</v>
      </c>
      <c r="CU120" s="17">
        <f>CT120*VLOOKUP('Données projet'!$B$13,Paramètres!$A$1:$I$89,3,0)*VLOOKUP('Données projet'!$B$13,Paramètres!$A$1:$I$89,5,0)</f>
        <v>151.78799999999998</v>
      </c>
      <c r="CV120" s="13">
        <f t="shared" si="95"/>
        <v>38.984634390835623</v>
      </c>
      <c r="CW120" s="20">
        <f t="shared" si="67"/>
        <v>332.26233823070532</v>
      </c>
      <c r="CX120" s="59">
        <f t="shared" si="68"/>
        <v>613.76543341181491</v>
      </c>
      <c r="CY120" s="59">
        <f ca="1">AVERAGE(OFFSET($CX$3,0,0,'Données projet'!$E$13+1,1))-AVERAGE(OFFSET($H$3,0,0,'Données projet'!$E$13+1,1))</f>
        <v>215.37314197175104</v>
      </c>
      <c r="CZ120" s="59">
        <f t="shared" si="96"/>
        <v>361.17630426655978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6.553361031950109</v>
      </c>
      <c r="DG120" s="21">
        <f>EXP(-LN(2)/25)*DG119+(1-EXP(-LN(2)/25))/(LN(2)/25)*Calculateur!DB120*Calculateur!DD120*VLOOKUP('Données projet'!$B$13,Paramètres!$A$1:$I$89,3,0)*0.475*44/12</f>
        <v>8.6074481532462137</v>
      </c>
      <c r="DH120" s="21">
        <f>EXP(-LN(2)/2)*DH119+(1-EXP(-LN(2)/2))/(LN(2)/2)*DB120*DE120*VLOOKUP('Données projet'!$B$13,Paramètres!$A$1:$I$89,3,0)*0.475*44/12</f>
        <v>2.0383215886659811E-15</v>
      </c>
      <c r="DI120" s="22">
        <f t="shared" si="69"/>
        <v>15.160809185196324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1279.2974463703877</v>
      </c>
      <c r="S121" s="59">
        <f ca="1">AVERAGE(OFFSET($R$3,0,0,'Données projet'!$E$9+1,1))-AVERAGE(OFFSET($H$3,0,0,'Données projet'!$E$9+1,1))</f>
        <v>567.42635821336114</v>
      </c>
      <c r="T121" s="59">
        <f t="shared" si="88"/>
        <v>299.0473530693472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474.99999999999994</v>
      </c>
      <c r="AJ121" s="13">
        <f>AI121*VLOOKUP('Données projet'!$B$10,Paramètres!$A$1:$I$89,3,0)*VLOOKUP('Données projet'!$B$10,Paramètres!$A$1:$I$89,5,0)</f>
        <v>407.55</v>
      </c>
      <c r="AK121" s="13">
        <f t="shared" si="89"/>
        <v>93.305642095357683</v>
      </c>
      <c r="AL121" s="20">
        <f t="shared" si="58"/>
        <v>872.32357664941446</v>
      </c>
      <c r="AM121" s="59">
        <f t="shared" si="59"/>
        <v>1154.0319000140148</v>
      </c>
      <c r="AN121" s="59">
        <f ca="1">AVERAGE(OFFSET($AM$3,0,0,'Données projet'!$E$10+1,1))-AVERAGE(OFFSET($H$3,0,0,'Données projet'!$E$10+1,1))</f>
        <v>569.97793593332699</v>
      </c>
      <c r="AO121" s="59">
        <f t="shared" si="90"/>
        <v>331.25104323342907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127.15978243678697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127.15978243678697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16.750000000000213</v>
      </c>
      <c r="BE121" s="13">
        <f>BD121*VLOOKUP('Données projet'!$B$11,Paramètres!$A$1:$I$89,3,0)*VLOOKUP('Données projet'!$B$11,Paramètres!$A$1:$I$89,5,0)</f>
        <v>14.11020000000018</v>
      </c>
      <c r="BF121" s="13">
        <f t="shared" si="91"/>
        <v>4.7783677814795205</v>
      </c>
      <c r="BG121" s="20">
        <f t="shared" si="61"/>
        <v>32.897588886077138</v>
      </c>
      <c r="BH121" s="59">
        <f t="shared" si="62"/>
        <v>314.60591225067753</v>
      </c>
      <c r="BI121" s="59">
        <f ca="1">AVERAGE(OFFSET($BH$3,0,0,'Données projet'!$E$11+1,1))-AVERAGE(OFFSET($H$3,0,0,'Données projet'!$E$11+1,1))</f>
        <v>458.88102603650725</v>
      </c>
      <c r="BJ121" s="59">
        <f t="shared" si="92"/>
        <v>277.79020316059552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200.4598739736816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200.4598739736816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269.8175999999998</v>
      </c>
      <c r="CA121" s="13">
        <f t="shared" si="93"/>
        <v>64.810557882019467</v>
      </c>
      <c r="CB121" s="20">
        <f t="shared" si="64"/>
        <v>582.81070831118348</v>
      </c>
      <c r="CC121" s="59">
        <f t="shared" si="65"/>
        <v>864.51903167578394</v>
      </c>
      <c r="CD121" s="59">
        <f ca="1">AVERAGE(OFFSET($CC$3,0,0,'Données projet'!$E$12+1,1))-AVERAGE(OFFSET($H$3,0,0,'Données projet'!$E$12+1,1))</f>
        <v>400.48995908576177</v>
      </c>
      <c r="CE121" s="59">
        <f t="shared" si="94"/>
        <v>384.86917865380076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21.711949406410707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21.711949406410707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277.99999999999994</v>
      </c>
      <c r="CU121" s="17">
        <f>CT121*VLOOKUP('Données projet'!$B$13,Paramètres!$A$1:$I$89,3,0)*VLOOKUP('Données projet'!$B$13,Paramètres!$A$1:$I$89,5,0)</f>
        <v>151.78799999999998</v>
      </c>
      <c r="CV121" s="13">
        <f t="shared" si="95"/>
        <v>38.984634390835623</v>
      </c>
      <c r="CW121" s="20">
        <f t="shared" si="67"/>
        <v>332.26233823070532</v>
      </c>
      <c r="CX121" s="59">
        <f t="shared" si="68"/>
        <v>613.97066159530573</v>
      </c>
      <c r="CY121" s="59">
        <f ca="1">AVERAGE(OFFSET($CX$3,0,0,'Données projet'!$E$13+1,1))-AVERAGE(OFFSET($H$3,0,0,'Données projet'!$E$13+1,1))</f>
        <v>215.37314197175104</v>
      </c>
      <c r="CZ121" s="59">
        <f t="shared" si="96"/>
        <v>361.17630426655978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6.4248536192691104</v>
      </c>
      <c r="DG121" s="21">
        <f>EXP(-LN(2)/25)*DG120+(1-EXP(-LN(2)/25))/(LN(2)/25)*Calculateur!DB121*Calculateur!DD121*VLOOKUP('Données projet'!$B$13,Paramètres!$A$1:$I$89,3,0)*0.475*44/12</f>
        <v>8.3720770308496704</v>
      </c>
      <c r="DH121" s="21">
        <f>EXP(-LN(2)/2)*DH120+(1-EXP(-LN(2)/2))/(LN(2)/2)*DB121*DE121*VLOOKUP('Données projet'!$B$13,Paramètres!$A$1:$I$89,3,0)*0.475*44/12</f>
        <v>1.4413110175846518E-15</v>
      </c>
      <c r="DI121" s="22">
        <f t="shared" si="69"/>
        <v>14.796930650118783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1297.2639055476438</v>
      </c>
      <c r="S122" s="59">
        <f ca="1">AVERAGE(OFFSET($R$3,0,0,'Données projet'!$E$9+1,1))-AVERAGE(OFFSET($H$3,0,0,'Données projet'!$E$9+1,1))</f>
        <v>567.42635821336114</v>
      </c>
      <c r="T122" s="59">
        <f t="shared" si="88"/>
        <v>299.0473530693472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474.99999999999994</v>
      </c>
      <c r="AJ122" s="13">
        <f>AI122*VLOOKUP('Données projet'!$B$10,Paramètres!$A$1:$I$89,3,0)*VLOOKUP('Données projet'!$B$10,Paramètres!$A$1:$I$89,5,0)</f>
        <v>407.55</v>
      </c>
      <c r="AK122" s="13">
        <f t="shared" si="89"/>
        <v>93.305642095357683</v>
      </c>
      <c r="AL122" s="20">
        <f t="shared" si="58"/>
        <v>872.32357664941446</v>
      </c>
      <c r="AM122" s="59">
        <f t="shared" si="59"/>
        <v>1154.2335679473435</v>
      </c>
      <c r="AN122" s="59">
        <f ca="1">AVERAGE(OFFSET($AM$3,0,0,'Données projet'!$E$10+1,1))-AVERAGE(OFFSET($H$3,0,0,'Données projet'!$E$10+1,1))</f>
        <v>569.97793593332699</v>
      </c>
      <c r="AO122" s="59">
        <f t="shared" si="90"/>
        <v>331.25104323342907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124.66625666301047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124.66625666301047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16.750000000000213</v>
      </c>
      <c r="BE122" s="13">
        <f>BD122*VLOOKUP('Données projet'!$B$11,Paramètres!$A$1:$I$89,3,0)*VLOOKUP('Données projet'!$B$11,Paramètres!$A$1:$I$89,5,0)</f>
        <v>14.11020000000018</v>
      </c>
      <c r="BF122" s="13">
        <f t="shared" si="91"/>
        <v>4.7783677814795205</v>
      </c>
      <c r="BG122" s="20">
        <f t="shared" si="61"/>
        <v>32.897588886077138</v>
      </c>
      <c r="BH122" s="59">
        <f t="shared" si="62"/>
        <v>314.80758018400627</v>
      </c>
      <c r="BI122" s="59">
        <f ca="1">AVERAGE(OFFSET($BH$3,0,0,'Données projet'!$E$11+1,1))-AVERAGE(OFFSET($H$3,0,0,'Données projet'!$E$11+1,1))</f>
        <v>458.88102603650725</v>
      </c>
      <c r="BJ122" s="59">
        <f t="shared" si="92"/>
        <v>277.79020316059552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196.5289781135078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196.5289781135078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269.8175999999998</v>
      </c>
      <c r="CA122" s="13">
        <f t="shared" si="93"/>
        <v>64.810557882019467</v>
      </c>
      <c r="CB122" s="20">
        <f t="shared" si="64"/>
        <v>582.81070831118348</v>
      </c>
      <c r="CC122" s="59">
        <f t="shared" si="65"/>
        <v>864.72069960911267</v>
      </c>
      <c r="CD122" s="59">
        <f ca="1">AVERAGE(OFFSET($CC$3,0,0,'Données projet'!$E$12+1,1))-AVERAGE(OFFSET($H$3,0,0,'Données projet'!$E$12+1,1))</f>
        <v>400.48995908576177</v>
      </c>
      <c r="CE122" s="59">
        <f t="shared" si="94"/>
        <v>384.86917865380076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21.286191321532495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21.286191321532495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277.99999999999994</v>
      </c>
      <c r="CU122" s="17">
        <f>CT122*VLOOKUP('Données projet'!$B$13,Paramètres!$A$1:$I$89,3,0)*VLOOKUP('Données projet'!$B$13,Paramètres!$A$1:$I$89,5,0)</f>
        <v>151.78799999999998</v>
      </c>
      <c r="CV122" s="13">
        <f t="shared" si="95"/>
        <v>38.984634390835623</v>
      </c>
      <c r="CW122" s="20">
        <f t="shared" si="67"/>
        <v>332.26233823070532</v>
      </c>
      <c r="CX122" s="59">
        <f t="shared" si="68"/>
        <v>614.17232952863446</v>
      </c>
      <c r="CY122" s="59">
        <f ca="1">AVERAGE(OFFSET($CX$3,0,0,'Données projet'!$E$13+1,1))-AVERAGE(OFFSET($H$3,0,0,'Données projet'!$E$13+1,1))</f>
        <v>215.37314197175104</v>
      </c>
      <c r="CZ122" s="59">
        <f t="shared" si="96"/>
        <v>361.17630426655978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6.2988661585690044</v>
      </c>
      <c r="DG122" s="21">
        <f>EXP(-LN(2)/25)*DG121+(1-EXP(-LN(2)/25))/(LN(2)/25)*Calculateur!DB122*Calculateur!DD122*VLOOKUP('Données projet'!$B$13,Paramètres!$A$1:$I$89,3,0)*0.475*44/12</f>
        <v>8.143142144172689</v>
      </c>
      <c r="DH122" s="21">
        <f>EXP(-LN(2)/2)*DH121+(1-EXP(-LN(2)/2))/(LN(2)/2)*DB122*DE122*VLOOKUP('Données projet'!$B$13,Paramètres!$A$1:$I$89,3,0)*0.475*44/12</f>
        <v>1.0191607943329905E-15</v>
      </c>
      <c r="DI122" s="22">
        <f t="shared" si="69"/>
        <v>14.442008302741696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924.07962126815801</v>
      </c>
      <c r="S123" s="59">
        <f ca="1">AVERAGE(OFFSET($R$3,0,0,'Données projet'!$E$9+1,1))-AVERAGE(OFFSET($H$3,0,0,'Données projet'!$E$9+1,1))</f>
        <v>567.42635821336114</v>
      </c>
      <c r="T123" s="59">
        <f t="shared" si="88"/>
        <v>299.0473530693472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474.99999999999994</v>
      </c>
      <c r="AJ123" s="13">
        <f>AI123*VLOOKUP('Données projet'!$B$10,Paramètres!$A$1:$I$89,3,0)*VLOOKUP('Données projet'!$B$10,Paramètres!$A$1:$I$89,5,0)</f>
        <v>407.55</v>
      </c>
      <c r="AK123" s="13">
        <f t="shared" si="89"/>
        <v>93.305642095357683</v>
      </c>
      <c r="AL123" s="20">
        <f t="shared" si="58"/>
        <v>872.32357664941446</v>
      </c>
      <c r="AM123" s="59">
        <f t="shared" si="59"/>
        <v>1154.4317373928911</v>
      </c>
      <c r="AN123" s="59">
        <f ca="1">AVERAGE(OFFSET($AM$3,0,0,'Données projet'!$E$10+1,1))-AVERAGE(OFFSET($H$3,0,0,'Données projet'!$E$10+1,1))</f>
        <v>569.97793593332699</v>
      </c>
      <c r="AO123" s="59">
        <f t="shared" si="90"/>
        <v>331.25104323342907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122.22162740875719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122.22162740875719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16.750000000000213</v>
      </c>
      <c r="BE123" s="13">
        <f>BD123*VLOOKUP('Données projet'!$B$11,Paramètres!$A$1:$I$89,3,0)*VLOOKUP('Données projet'!$B$11,Paramètres!$A$1:$I$89,5,0)</f>
        <v>14.11020000000018</v>
      </c>
      <c r="BF123" s="13">
        <f t="shared" si="91"/>
        <v>4.7783677814795205</v>
      </c>
      <c r="BG123" s="20">
        <f t="shared" si="61"/>
        <v>32.897588886077138</v>
      </c>
      <c r="BH123" s="59">
        <f t="shared" si="62"/>
        <v>315.00574962955375</v>
      </c>
      <c r="BI123" s="59">
        <f ca="1">AVERAGE(OFFSET($BH$3,0,0,'Données projet'!$E$11+1,1))-AVERAGE(OFFSET($H$3,0,0,'Données projet'!$E$11+1,1))</f>
        <v>458.88102603650725</v>
      </c>
      <c r="BJ123" s="59">
        <f t="shared" si="92"/>
        <v>277.79020316059552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192.67516472354231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192.67516472354231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269.8175999999998</v>
      </c>
      <c r="CA123" s="13">
        <f t="shared" si="93"/>
        <v>64.810557882019467</v>
      </c>
      <c r="CB123" s="20">
        <f t="shared" si="64"/>
        <v>582.81070831118348</v>
      </c>
      <c r="CC123" s="59">
        <f t="shared" si="65"/>
        <v>864.91886905466004</v>
      </c>
      <c r="CD123" s="59">
        <f ca="1">AVERAGE(OFFSET($CC$3,0,0,'Données projet'!$E$12+1,1))-AVERAGE(OFFSET($H$3,0,0,'Données projet'!$E$12+1,1))</f>
        <v>400.48995908576177</v>
      </c>
      <c r="CE123" s="59">
        <f t="shared" si="94"/>
        <v>384.86917865380076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20.868782093011955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20.868782093011955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277.99999999999994</v>
      </c>
      <c r="CU123" s="17">
        <f>CT123*VLOOKUP('Données projet'!$B$13,Paramètres!$A$1:$I$89,3,0)*VLOOKUP('Données projet'!$B$13,Paramètres!$A$1:$I$89,5,0)</f>
        <v>151.78799999999998</v>
      </c>
      <c r="CV123" s="13">
        <f t="shared" si="95"/>
        <v>38.984634390835623</v>
      </c>
      <c r="CW123" s="20">
        <f t="shared" si="67"/>
        <v>332.26233823070532</v>
      </c>
      <c r="CX123" s="59">
        <f t="shared" si="68"/>
        <v>614.37049897418194</v>
      </c>
      <c r="CY123" s="59">
        <f ca="1">AVERAGE(OFFSET($CX$3,0,0,'Données projet'!$E$13+1,1))-AVERAGE(OFFSET($H$3,0,0,'Données projet'!$E$13+1,1))</f>
        <v>215.37314197175104</v>
      </c>
      <c r="CZ123" s="59">
        <f t="shared" si="96"/>
        <v>361.17630426655978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6.175349235128464</v>
      </c>
      <c r="DG123" s="21">
        <f>EXP(-LN(2)/25)*DG122+(1-EXP(-LN(2)/25))/(LN(2)/25)*Calculateur!DB123*Calculateur!DD123*VLOOKUP('Données projet'!$B$13,Paramètres!$A$1:$I$89,3,0)*0.475*44/12</f>
        <v>7.9204674940110529</v>
      </c>
      <c r="DH123" s="21">
        <f>EXP(-LN(2)/2)*DH122+(1-EXP(-LN(2)/2))/(LN(2)/2)*DB123*DE123*VLOOKUP('Données projet'!$B$13,Paramètres!$A$1:$I$89,3,0)*0.475*44/12</f>
        <v>7.2065550879232592E-16</v>
      </c>
      <c r="DI123" s="22">
        <f t="shared" si="69"/>
        <v>14.095816729139518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923.56417530694648</v>
      </c>
      <c r="S124" s="59">
        <f ca="1">AVERAGE(OFFSET($R$3,0,0,'Données projet'!$E$9+1,1))-AVERAGE(OFFSET($H$3,0,0,'Données projet'!$E$9+1,1))</f>
        <v>567.42635821336114</v>
      </c>
      <c r="T124" s="59">
        <f t="shared" si="88"/>
        <v>299.0473530693472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474.99999999999994</v>
      </c>
      <c r="AJ124" s="13">
        <f>AI124*VLOOKUP('Données projet'!$B$10,Paramètres!$A$1:$I$89,3,0)*VLOOKUP('Données projet'!$B$10,Paramètres!$A$1:$I$89,5,0)</f>
        <v>407.55</v>
      </c>
      <c r="AK124" s="13">
        <f t="shared" si="89"/>
        <v>93.305642095357683</v>
      </c>
      <c r="AL124" s="20">
        <f t="shared" si="58"/>
        <v>872.32357664941446</v>
      </c>
      <c r="AM124" s="59">
        <f t="shared" si="59"/>
        <v>1154.6264690415987</v>
      </c>
      <c r="AN124" s="59">
        <f ca="1">AVERAGE(OFFSET($AM$3,0,0,'Données projet'!$E$10+1,1))-AVERAGE(OFFSET($H$3,0,0,'Données projet'!$E$10+1,1))</f>
        <v>569.97793593332699</v>
      </c>
      <c r="AO124" s="59">
        <f t="shared" si="90"/>
        <v>331.25104323342907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119.82493584310319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119.82493584310319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16.750000000000213</v>
      </c>
      <c r="BE124" s="13">
        <f>BD124*VLOOKUP('Données projet'!$B$11,Paramètres!$A$1:$I$89,3,0)*VLOOKUP('Données projet'!$B$11,Paramètres!$A$1:$I$89,5,0)</f>
        <v>14.11020000000018</v>
      </c>
      <c r="BF124" s="13">
        <f t="shared" si="91"/>
        <v>4.7783677814795205</v>
      </c>
      <c r="BG124" s="20">
        <f t="shared" si="61"/>
        <v>32.897588886077138</v>
      </c>
      <c r="BH124" s="59">
        <f t="shared" si="62"/>
        <v>315.20048127826152</v>
      </c>
      <c r="BI124" s="59">
        <f ca="1">AVERAGE(OFFSET($BH$3,0,0,'Données projet'!$E$11+1,1))-AVERAGE(OFFSET($H$3,0,0,'Données projet'!$E$11+1,1))</f>
        <v>458.88102603650725</v>
      </c>
      <c r="BJ124" s="59">
        <f t="shared" si="92"/>
        <v>277.79020316059552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188.89692226355996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188.89692226355996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269.8175999999998</v>
      </c>
      <c r="CA124" s="13">
        <f t="shared" si="93"/>
        <v>64.810557882019467</v>
      </c>
      <c r="CB124" s="20">
        <f t="shared" si="64"/>
        <v>582.81070831118348</v>
      </c>
      <c r="CC124" s="59">
        <f t="shared" si="65"/>
        <v>865.11360070336787</v>
      </c>
      <c r="CD124" s="59">
        <f ca="1">AVERAGE(OFFSET($CC$3,0,0,'Données projet'!$E$12+1,1))-AVERAGE(OFFSET($H$3,0,0,'Données projet'!$E$12+1,1))</f>
        <v>400.48995908576177</v>
      </c>
      <c r="CE124" s="59">
        <f t="shared" si="94"/>
        <v>384.86917865380076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20.459558004868214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20.459558004868214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277.99999999999994</v>
      </c>
      <c r="CU124" s="17">
        <f>CT124*VLOOKUP('Données projet'!$B$13,Paramètres!$A$1:$I$89,3,0)*VLOOKUP('Données projet'!$B$13,Paramètres!$A$1:$I$89,5,0)</f>
        <v>151.78799999999998</v>
      </c>
      <c r="CV124" s="13">
        <f t="shared" si="95"/>
        <v>38.984634390835623</v>
      </c>
      <c r="CW124" s="20">
        <f t="shared" si="67"/>
        <v>332.26233823070532</v>
      </c>
      <c r="CX124" s="59">
        <f t="shared" si="68"/>
        <v>614.56523062288966</v>
      </c>
      <c r="CY124" s="59">
        <f ca="1">AVERAGE(OFFSET($CX$3,0,0,'Données projet'!$E$13+1,1))-AVERAGE(OFFSET($H$3,0,0,'Données projet'!$E$13+1,1))</f>
        <v>215.37314197175104</v>
      </c>
      <c r="CZ124" s="59">
        <f t="shared" si="96"/>
        <v>361.17630426655978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6.0542544032187084</v>
      </c>
      <c r="DG124" s="21">
        <f>EXP(-LN(2)/25)*DG123+(1-EXP(-LN(2)/25))/(LN(2)/25)*Calculateur!DB124*Calculateur!DD124*VLOOKUP('Données projet'!$B$13,Paramètres!$A$1:$I$89,3,0)*0.475*44/12</f>
        <v>7.7038818938680373</v>
      </c>
      <c r="DH124" s="21">
        <f>EXP(-LN(2)/2)*DH123+(1-EXP(-LN(2)/2))/(LN(2)/2)*DB124*DE124*VLOOKUP('Données projet'!$B$13,Paramètres!$A$1:$I$89,3,0)*0.475*44/12</f>
        <v>5.0958039716649526E-16</v>
      </c>
      <c r="DI124" s="22">
        <f t="shared" si="69"/>
        <v>13.758136297086747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923.04533494518887</v>
      </c>
      <c r="S125" s="59">
        <f ca="1">AVERAGE(OFFSET($R$3,0,0,'Données projet'!$E$9+1,1))-AVERAGE(OFFSET($H$3,0,0,'Données projet'!$E$9+1,1))</f>
        <v>567.42635821336114</v>
      </c>
      <c r="T125" s="59">
        <f t="shared" si="88"/>
        <v>299.0473530693472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474.99999999999994</v>
      </c>
      <c r="AJ125" s="13">
        <f>AI125*VLOOKUP('Données projet'!$B$10,Paramètres!$A$1:$I$89,3,0)*VLOOKUP('Données projet'!$B$10,Paramètres!$A$1:$I$89,5,0)</f>
        <v>407.55</v>
      </c>
      <c r="AK125" s="13">
        <f t="shared" si="89"/>
        <v>93.305642095357683</v>
      </c>
      <c r="AL125" s="20">
        <f t="shared" si="58"/>
        <v>872.32357664941446</v>
      </c>
      <c r="AM125" s="59">
        <f t="shared" si="59"/>
        <v>1154.8178225315562</v>
      </c>
      <c r="AN125" s="59">
        <f ca="1">AVERAGE(OFFSET($AM$3,0,0,'Données projet'!$E$10+1,1))-AVERAGE(OFFSET($H$3,0,0,'Données projet'!$E$10+1,1))</f>
        <v>569.97793593332699</v>
      </c>
      <c r="AO125" s="59">
        <f t="shared" si="90"/>
        <v>331.25104323342907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117.47524193721416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117.47524193721416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16.750000000000213</v>
      </c>
      <c r="BE125" s="13">
        <f>BD125*VLOOKUP('Données projet'!$B$11,Paramètres!$A$1:$I$89,3,0)*VLOOKUP('Données projet'!$B$11,Paramètres!$A$1:$I$89,5,0)</f>
        <v>14.11020000000018</v>
      </c>
      <c r="BF125" s="13">
        <f t="shared" si="91"/>
        <v>4.7783677814795205</v>
      </c>
      <c r="BG125" s="20">
        <f t="shared" si="61"/>
        <v>32.897588886077138</v>
      </c>
      <c r="BH125" s="59">
        <f t="shared" si="62"/>
        <v>315.39183476821893</v>
      </c>
      <c r="BI125" s="59">
        <f ca="1">AVERAGE(OFFSET($BH$3,0,0,'Données projet'!$E$11+1,1))-AVERAGE(OFFSET($H$3,0,0,'Données projet'!$E$11+1,1))</f>
        <v>458.88102603650725</v>
      </c>
      <c r="BJ125" s="59">
        <f t="shared" si="92"/>
        <v>277.79020316059552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185.19276883371751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185.19276883371751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269.8175999999998</v>
      </c>
      <c r="CA125" s="13">
        <f t="shared" si="93"/>
        <v>64.810557882019467</v>
      </c>
      <c r="CB125" s="20">
        <f t="shared" si="64"/>
        <v>582.81070831118348</v>
      </c>
      <c r="CC125" s="59">
        <f t="shared" si="65"/>
        <v>865.30495419332533</v>
      </c>
      <c r="CD125" s="59">
        <f ca="1">AVERAGE(OFFSET($CC$3,0,0,'Données projet'!$E$12+1,1))-AVERAGE(OFFSET($H$3,0,0,'Données projet'!$E$12+1,1))</f>
        <v>400.48995908576177</v>
      </c>
      <c r="CE125" s="59">
        <f t="shared" si="94"/>
        <v>384.86917865380076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20.058358551490922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20.058358551490922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277.99999999999994</v>
      </c>
      <c r="CU125" s="17">
        <f>CT125*VLOOKUP('Données projet'!$B$13,Paramètres!$A$1:$I$89,3,0)*VLOOKUP('Données projet'!$B$13,Paramètres!$A$1:$I$89,5,0)</f>
        <v>151.78799999999998</v>
      </c>
      <c r="CV125" s="13">
        <f t="shared" si="95"/>
        <v>38.984634390835623</v>
      </c>
      <c r="CW125" s="20">
        <f t="shared" si="67"/>
        <v>332.26233823070532</v>
      </c>
      <c r="CX125" s="59">
        <f t="shared" si="68"/>
        <v>614.75658411284712</v>
      </c>
      <c r="CY125" s="59">
        <f ca="1">AVERAGE(OFFSET($CX$3,0,0,'Données projet'!$E$13+1,1))-AVERAGE(OFFSET($H$3,0,0,'Données projet'!$E$13+1,1))</f>
        <v>215.37314197175104</v>
      </c>
      <c r="CZ125" s="59">
        <f t="shared" si="96"/>
        <v>361.17630426655978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5.9355341671021487</v>
      </c>
      <c r="DG125" s="21">
        <f>EXP(-LN(2)/25)*DG124+(1-EXP(-LN(2)/25))/(LN(2)/25)*Calculateur!DB125*Calculateur!DD125*VLOOKUP('Données projet'!$B$13,Paramètres!$A$1:$I$89,3,0)*0.475*44/12</f>
        <v>7.4932188383506748</v>
      </c>
      <c r="DH125" s="21">
        <f>EXP(-LN(2)/2)*DH124+(1-EXP(-LN(2)/2))/(LN(2)/2)*DB125*DE125*VLOOKUP('Données projet'!$B$13,Paramètres!$A$1:$I$89,3,0)*0.475*44/12</f>
        <v>3.6032775439616296E-16</v>
      </c>
      <c r="DI125" s="22">
        <f t="shared" si="69"/>
        <v>13.428753005452823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922.52315876582202</v>
      </c>
      <c r="S126" s="59">
        <f ca="1">AVERAGE(OFFSET($R$3,0,0,'Données projet'!$E$9+1,1))-AVERAGE(OFFSET($H$3,0,0,'Données projet'!$E$9+1,1))</f>
        <v>567.42635821336114</v>
      </c>
      <c r="T126" s="59">
        <f t="shared" si="88"/>
        <v>299.0473530693472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474.99999999999994</v>
      </c>
      <c r="AJ126" s="13">
        <f>AI126*VLOOKUP('Données projet'!$B$10,Paramètres!$A$1:$I$89,3,0)*VLOOKUP('Données projet'!$B$10,Paramètres!$A$1:$I$89,5,0)</f>
        <v>407.55</v>
      </c>
      <c r="AK126" s="13">
        <f t="shared" si="89"/>
        <v>93.305642095357683</v>
      </c>
      <c r="AL126" s="20">
        <f t="shared" si="58"/>
        <v>872.32357664941446</v>
      </c>
      <c r="AM126" s="59">
        <f t="shared" si="59"/>
        <v>1155.0058564662652</v>
      </c>
      <c r="AN126" s="59">
        <f ca="1">AVERAGE(OFFSET($AM$3,0,0,'Données projet'!$E$10+1,1))-AVERAGE(OFFSET($H$3,0,0,'Données projet'!$E$10+1,1))</f>
        <v>569.97793593332699</v>
      </c>
      <c r="AO126" s="59">
        <f t="shared" si="90"/>
        <v>331.25104323342907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115.17162409564784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115.17162409564784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16.750000000000213</v>
      </c>
      <c r="BE126" s="13">
        <f>BD126*VLOOKUP('Données projet'!$B$11,Paramètres!$A$1:$I$89,3,0)*VLOOKUP('Données projet'!$B$11,Paramètres!$A$1:$I$89,5,0)</f>
        <v>14.11020000000018</v>
      </c>
      <c r="BF126" s="13">
        <f t="shared" si="91"/>
        <v>4.7783677814795205</v>
      </c>
      <c r="BG126" s="20">
        <f t="shared" si="61"/>
        <v>32.897588886077138</v>
      </c>
      <c r="BH126" s="59">
        <f t="shared" si="62"/>
        <v>315.5798687029278</v>
      </c>
      <c r="BI126" s="59">
        <f ca="1">AVERAGE(OFFSET($BH$3,0,0,'Données projet'!$E$11+1,1))-AVERAGE(OFFSET($H$3,0,0,'Données projet'!$E$11+1,1))</f>
        <v>458.88102603650725</v>
      </c>
      <c r="BJ126" s="59">
        <f t="shared" si="92"/>
        <v>277.79020316059552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181.56125159332379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181.56125159332379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269.8175999999998</v>
      </c>
      <c r="CA126" s="13">
        <f t="shared" si="93"/>
        <v>64.810557882019467</v>
      </c>
      <c r="CB126" s="20">
        <f t="shared" si="64"/>
        <v>582.81070831118348</v>
      </c>
      <c r="CC126" s="59">
        <f t="shared" si="65"/>
        <v>865.49298812803409</v>
      </c>
      <c r="CD126" s="59">
        <f ca="1">AVERAGE(OFFSET($CC$3,0,0,'Données projet'!$E$12+1,1))-AVERAGE(OFFSET($H$3,0,0,'Données projet'!$E$12+1,1))</f>
        <v>400.48995908576177</v>
      </c>
      <c r="CE126" s="59">
        <f t="shared" si="94"/>
        <v>384.86917865380076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19.665026374686857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19.665026374686857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277.99999999999994</v>
      </c>
      <c r="CU126" s="17">
        <f>CT126*VLOOKUP('Données projet'!$B$13,Paramètres!$A$1:$I$89,3,0)*VLOOKUP('Données projet'!$B$13,Paramètres!$A$1:$I$89,5,0)</f>
        <v>151.78799999999998</v>
      </c>
      <c r="CV126" s="13">
        <f t="shared" si="95"/>
        <v>38.984634390835623</v>
      </c>
      <c r="CW126" s="20">
        <f t="shared" si="67"/>
        <v>332.26233823070532</v>
      </c>
      <c r="CX126" s="59">
        <f t="shared" si="68"/>
        <v>614.94461804755599</v>
      </c>
      <c r="CY126" s="59">
        <f ca="1">AVERAGE(OFFSET($CX$3,0,0,'Données projet'!$E$13+1,1))-AVERAGE(OFFSET($H$3,0,0,'Données projet'!$E$13+1,1))</f>
        <v>215.37314197175104</v>
      </c>
      <c r="CZ126" s="59">
        <f t="shared" si="96"/>
        <v>361.17630426655978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5.8191419624036405</v>
      </c>
      <c r="DG126" s="21">
        <f>EXP(-LN(2)/25)*DG125+(1-EXP(-LN(2)/25))/(LN(2)/25)*Calculateur!DB126*Calculateur!DD126*VLOOKUP('Données projet'!$B$13,Paramètres!$A$1:$I$89,3,0)*0.475*44/12</f>
        <v>7.2883163751647233</v>
      </c>
      <c r="DH126" s="21">
        <f>EXP(-LN(2)/2)*DH125+(1-EXP(-LN(2)/2))/(LN(2)/2)*DB126*DE126*VLOOKUP('Données projet'!$B$13,Paramètres!$A$1:$I$89,3,0)*0.475*44/12</f>
        <v>2.5479019858324763E-16</v>
      </c>
      <c r="DI126" s="22">
        <f t="shared" si="69"/>
        <v>13.107458337568364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730.60550613593932</v>
      </c>
      <c r="S127" s="59">
        <f ca="1">AVERAGE(OFFSET($R$3,0,0,'Données projet'!$E$9+1,1))-AVERAGE(OFFSET($H$3,0,0,'Données projet'!$E$9+1,1))</f>
        <v>567.42635821336114</v>
      </c>
      <c r="T127" s="59">
        <f t="shared" si="88"/>
        <v>299.0473530693472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474.99999999999994</v>
      </c>
      <c r="AJ127" s="13">
        <f>AI127*VLOOKUP('Données projet'!$B$10,Paramètres!$A$1:$I$89,3,0)*VLOOKUP('Données projet'!$B$10,Paramètres!$A$1:$I$89,5,0)</f>
        <v>407.55</v>
      </c>
      <c r="AK127" s="13">
        <f t="shared" si="89"/>
        <v>93.305642095357683</v>
      </c>
      <c r="AL127" s="20">
        <f t="shared" si="58"/>
        <v>872.32357664941446</v>
      </c>
      <c r="AM127" s="59">
        <f t="shared" si="59"/>
        <v>1155.1906284325878</v>
      </c>
      <c r="AN127" s="59">
        <f ca="1">AVERAGE(OFFSET($AM$3,0,0,'Données projet'!$E$10+1,1))-AVERAGE(OFFSET($H$3,0,0,'Données projet'!$E$10+1,1))</f>
        <v>569.97793593332699</v>
      </c>
      <c r="AO127" s="59">
        <f t="shared" si="90"/>
        <v>331.25104323342907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112.91317879488649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112.91317879488649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16.750000000000213</v>
      </c>
      <c r="BE127" s="13">
        <f>BD127*VLOOKUP('Données projet'!$B$11,Paramètres!$A$1:$I$89,3,0)*VLOOKUP('Données projet'!$B$11,Paramètres!$A$1:$I$89,5,0)</f>
        <v>14.11020000000018</v>
      </c>
      <c r="BF127" s="13">
        <f t="shared" si="91"/>
        <v>4.7783677814795205</v>
      </c>
      <c r="BG127" s="20">
        <f t="shared" si="61"/>
        <v>32.897588886077138</v>
      </c>
      <c r="BH127" s="59">
        <f t="shared" si="62"/>
        <v>315.76464066925047</v>
      </c>
      <c r="BI127" s="59">
        <f ca="1">AVERAGE(OFFSET($BH$3,0,0,'Données projet'!$E$11+1,1))-AVERAGE(OFFSET($H$3,0,0,'Données projet'!$E$11+1,1))</f>
        <v>458.88102603650725</v>
      </c>
      <c r="BJ127" s="59">
        <f t="shared" si="92"/>
        <v>277.79020316059552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178.00094619100739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178.00094619100739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269.8175999999998</v>
      </c>
      <c r="CA127" s="13">
        <f t="shared" si="93"/>
        <v>64.810557882019467</v>
      </c>
      <c r="CB127" s="20">
        <f t="shared" si="64"/>
        <v>582.81070831118348</v>
      </c>
      <c r="CC127" s="59">
        <f t="shared" si="65"/>
        <v>865.67776009435681</v>
      </c>
      <c r="CD127" s="59">
        <f ca="1">AVERAGE(OFFSET($CC$3,0,0,'Données projet'!$E$12+1,1))-AVERAGE(OFFSET($H$3,0,0,'Données projet'!$E$12+1,1))</f>
        <v>400.48995908576177</v>
      </c>
      <c r="CE127" s="59">
        <f t="shared" si="94"/>
        <v>384.86917865380076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19.279407201960979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19.279407201960979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277.99999999999994</v>
      </c>
      <c r="CU127" s="17">
        <f>CT127*VLOOKUP('Données projet'!$B$13,Paramètres!$A$1:$I$89,3,0)*VLOOKUP('Données projet'!$B$13,Paramètres!$A$1:$I$89,5,0)</f>
        <v>151.78799999999998</v>
      </c>
      <c r="CV127" s="13">
        <f t="shared" si="95"/>
        <v>38.984634390835623</v>
      </c>
      <c r="CW127" s="20">
        <f t="shared" si="67"/>
        <v>332.26233823070532</v>
      </c>
      <c r="CX127" s="59">
        <f t="shared" si="68"/>
        <v>615.12939001387872</v>
      </c>
      <c r="CY127" s="59">
        <f ca="1">AVERAGE(OFFSET($CX$3,0,0,'Données projet'!$E$13+1,1))-AVERAGE(OFFSET($H$3,0,0,'Données projet'!$E$13+1,1))</f>
        <v>215.37314197175104</v>
      </c>
      <c r="CZ127" s="59">
        <f t="shared" si="96"/>
        <v>361.17630426655978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5.7050321378470352</v>
      </c>
      <c r="DG127" s="21">
        <f>EXP(-LN(2)/25)*DG126+(1-EXP(-LN(2)/25))/(LN(2)/25)*Calculateur!DB127*Calculateur!DD127*VLOOKUP('Données projet'!$B$13,Paramètres!$A$1:$I$89,3,0)*0.475*44/12</f>
        <v>7.0890169806099435</v>
      </c>
      <c r="DH127" s="21">
        <f>EXP(-LN(2)/2)*DH126+(1-EXP(-LN(2)/2))/(LN(2)/2)*DB127*DE127*VLOOKUP('Données projet'!$B$13,Paramètres!$A$1:$I$89,3,0)*0.475*44/12</f>
        <v>1.8016387719808148E-16</v>
      </c>
      <c r="DI127" s="22">
        <f t="shared" si="69"/>
        <v>12.794049118456979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731.16646569963109</v>
      </c>
      <c r="S128" s="59">
        <f ca="1">AVERAGE(OFFSET($R$3,0,0,'Données projet'!$E$9+1,1))-AVERAGE(OFFSET($H$3,0,0,'Données projet'!$E$9+1,1))</f>
        <v>567.42635821336114</v>
      </c>
      <c r="T128" s="59">
        <f t="shared" si="88"/>
        <v>299.0473530693472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474.99999999999994</v>
      </c>
      <c r="AJ128" s="13">
        <f>AI128*VLOOKUP('Données projet'!$B$10,Paramètres!$A$1:$I$89,3,0)*VLOOKUP('Données projet'!$B$10,Paramètres!$A$1:$I$89,5,0)</f>
        <v>407.55</v>
      </c>
      <c r="AK128" s="13">
        <f t="shared" si="89"/>
        <v>93.305642095357683</v>
      </c>
      <c r="AL128" s="20">
        <f t="shared" si="58"/>
        <v>872.32357664941446</v>
      </c>
      <c r="AM128" s="59">
        <f t="shared" si="59"/>
        <v>1155.3721950183831</v>
      </c>
      <c r="AN128" s="59">
        <f ca="1">AVERAGE(OFFSET($AM$3,0,0,'Données projet'!$E$10+1,1))-AVERAGE(OFFSET($H$3,0,0,'Données projet'!$E$10+1,1))</f>
        <v>569.97793593332699</v>
      </c>
      <c r="AO128" s="59">
        <f t="shared" si="90"/>
        <v>331.25104323342907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110.69902022895747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110.69902022895747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16.750000000000213</v>
      </c>
      <c r="BE128" s="13">
        <f>BD128*VLOOKUP('Données projet'!$B$11,Paramètres!$A$1:$I$89,3,0)*VLOOKUP('Données projet'!$B$11,Paramètres!$A$1:$I$89,5,0)</f>
        <v>14.11020000000018</v>
      </c>
      <c r="BF128" s="13">
        <f t="shared" si="91"/>
        <v>4.7783677814795205</v>
      </c>
      <c r="BG128" s="20">
        <f t="shared" si="61"/>
        <v>32.897588886077138</v>
      </c>
      <c r="BH128" s="59">
        <f t="shared" si="62"/>
        <v>315.94620725504564</v>
      </c>
      <c r="BI128" s="59">
        <f ca="1">AVERAGE(OFFSET($BH$3,0,0,'Données projet'!$E$11+1,1))-AVERAGE(OFFSET($H$3,0,0,'Données projet'!$E$11+1,1))</f>
        <v>458.88102603650725</v>
      </c>
      <c r="BJ128" s="59">
        <f t="shared" si="92"/>
        <v>277.79020316059552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174.51045620605854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174.51045620605854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269.8175999999998</v>
      </c>
      <c r="CA128" s="13">
        <f t="shared" si="93"/>
        <v>64.810557882019467</v>
      </c>
      <c r="CB128" s="20">
        <f t="shared" si="64"/>
        <v>582.81070831118348</v>
      </c>
      <c r="CC128" s="59">
        <f t="shared" si="65"/>
        <v>865.85932668015198</v>
      </c>
      <c r="CD128" s="59">
        <f ca="1">AVERAGE(OFFSET($CC$3,0,0,'Données projet'!$E$12+1,1))-AVERAGE(OFFSET($H$3,0,0,'Données projet'!$E$12+1,1))</f>
        <v>400.48995908576177</v>
      </c>
      <c r="CE128" s="59">
        <f t="shared" si="94"/>
        <v>384.86917865380076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18.901349786007785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18.901349786007785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277.99999999999994</v>
      </c>
      <c r="CU128" s="17">
        <f>CT128*VLOOKUP('Données projet'!$B$13,Paramètres!$A$1:$I$89,3,0)*VLOOKUP('Données projet'!$B$13,Paramètres!$A$1:$I$89,5,0)</f>
        <v>151.78799999999998</v>
      </c>
      <c r="CV128" s="13">
        <f t="shared" si="95"/>
        <v>38.984634390835623</v>
      </c>
      <c r="CW128" s="20">
        <f t="shared" si="67"/>
        <v>332.26233823070532</v>
      </c>
      <c r="CX128" s="59">
        <f t="shared" si="68"/>
        <v>615.31095659967377</v>
      </c>
      <c r="CY128" s="59">
        <f ca="1">AVERAGE(OFFSET($CX$3,0,0,'Données projet'!$E$13+1,1))-AVERAGE(OFFSET($H$3,0,0,'Données projet'!$E$13+1,1))</f>
        <v>215.37314197175104</v>
      </c>
      <c r="CZ128" s="59">
        <f t="shared" si="96"/>
        <v>361.17630426655978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5.5931599373498644</v>
      </c>
      <c r="DG128" s="21">
        <f>EXP(-LN(2)/25)*DG127+(1-EXP(-LN(2)/25))/(LN(2)/25)*Calculateur!DB128*Calculateur!DD128*VLOOKUP('Données projet'!$B$13,Paramètres!$A$1:$I$89,3,0)*0.475*44/12</f>
        <v>6.8951674384799633</v>
      </c>
      <c r="DH128" s="21">
        <f>EXP(-LN(2)/2)*DH127+(1-EXP(-LN(2)/2))/(LN(2)/2)*DB128*DE128*VLOOKUP('Données projet'!$B$13,Paramètres!$A$1:$I$89,3,0)*0.475*44/12</f>
        <v>1.2739509929162382E-16</v>
      </c>
      <c r="DI128" s="22">
        <f t="shared" si="69"/>
        <v>12.488327375829828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731.72426861329507</v>
      </c>
      <c r="S129" s="59">
        <f ca="1">AVERAGE(OFFSET($R$3,0,0,'Données projet'!$E$9+1,1))-AVERAGE(OFFSET($H$3,0,0,'Données projet'!$E$9+1,1))</f>
        <v>567.42635821336114</v>
      </c>
      <c r="T129" s="59">
        <f t="shared" si="88"/>
        <v>299.0473530693472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474.99999999999994</v>
      </c>
      <c r="AJ129" s="13">
        <f>AI129*VLOOKUP('Données projet'!$B$10,Paramètres!$A$1:$I$89,3,0)*VLOOKUP('Données projet'!$B$10,Paramètres!$A$1:$I$89,5,0)</f>
        <v>407.55</v>
      </c>
      <c r="AK129" s="13">
        <f t="shared" si="89"/>
        <v>93.305642095357683</v>
      </c>
      <c r="AL129" s="20">
        <f t="shared" si="58"/>
        <v>872.32357664941446</v>
      </c>
      <c r="AM129" s="59">
        <f t="shared" si="59"/>
        <v>1155.5506118298367</v>
      </c>
      <c r="AN129" s="59">
        <f ca="1">AVERAGE(OFFSET($AM$3,0,0,'Données projet'!$E$10+1,1))-AVERAGE(OFFSET($H$3,0,0,'Données projet'!$E$10+1,1))</f>
        <v>569.97793593332699</v>
      </c>
      <c r="AO129" s="59">
        <f t="shared" si="90"/>
        <v>331.25104323342907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108.52827996200293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108.52827996200293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16.750000000000213</v>
      </c>
      <c r="BE129" s="13">
        <f>BD129*VLOOKUP('Données projet'!$B$11,Paramètres!$A$1:$I$89,3,0)*VLOOKUP('Données projet'!$B$11,Paramètres!$A$1:$I$89,5,0)</f>
        <v>14.11020000000018</v>
      </c>
      <c r="BF129" s="13">
        <f t="shared" si="91"/>
        <v>4.7783677814795205</v>
      </c>
      <c r="BG129" s="20">
        <f t="shared" si="61"/>
        <v>32.897588886077138</v>
      </c>
      <c r="BH129" s="59">
        <f t="shared" si="62"/>
        <v>316.12462406649934</v>
      </c>
      <c r="BI129" s="59">
        <f ca="1">AVERAGE(OFFSET($BH$3,0,0,'Données projet'!$E$11+1,1))-AVERAGE(OFFSET($H$3,0,0,'Données projet'!$E$11+1,1))</f>
        <v>458.88102603650725</v>
      </c>
      <c r="BJ129" s="59">
        <f t="shared" si="92"/>
        <v>277.79020316059552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171.08841260072586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171.08841260072586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269.8175999999998</v>
      </c>
      <c r="CA129" s="13">
        <f t="shared" si="93"/>
        <v>64.810557882019467</v>
      </c>
      <c r="CB129" s="20">
        <f t="shared" si="64"/>
        <v>582.81070831118348</v>
      </c>
      <c r="CC129" s="59">
        <f t="shared" si="65"/>
        <v>866.03774349160562</v>
      </c>
      <c r="CD129" s="59">
        <f ca="1">AVERAGE(OFFSET($CC$3,0,0,'Données projet'!$E$12+1,1))-AVERAGE(OFFSET($H$3,0,0,'Données projet'!$E$12+1,1))</f>
        <v>400.48995908576177</v>
      </c>
      <c r="CE129" s="59">
        <f t="shared" si="94"/>
        <v>384.86917865380076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18.530705845389178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18.530705845389178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277.99999999999994</v>
      </c>
      <c r="CU129" s="17">
        <f>CT129*VLOOKUP('Données projet'!$B$13,Paramètres!$A$1:$I$89,3,0)*VLOOKUP('Données projet'!$B$13,Paramètres!$A$1:$I$89,5,0)</f>
        <v>151.78799999999998</v>
      </c>
      <c r="CV129" s="13">
        <f t="shared" si="95"/>
        <v>38.984634390835623</v>
      </c>
      <c r="CW129" s="20">
        <f t="shared" si="67"/>
        <v>332.26233823070532</v>
      </c>
      <c r="CX129" s="59">
        <f t="shared" si="68"/>
        <v>615.48937341112753</v>
      </c>
      <c r="CY129" s="59">
        <f ca="1">AVERAGE(OFFSET($CX$3,0,0,'Données projet'!$E$13+1,1))-AVERAGE(OFFSET($H$3,0,0,'Données projet'!$E$13+1,1))</f>
        <v>215.37314197175104</v>
      </c>
      <c r="CZ129" s="59">
        <f t="shared" si="96"/>
        <v>361.17630426655978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5.4834814824691387</v>
      </c>
      <c r="DG129" s="21">
        <f>EXP(-LN(2)/25)*DG128+(1-EXP(-LN(2)/25))/(LN(2)/25)*Calculateur!DB129*Calculateur!DD129*VLOOKUP('Données projet'!$B$13,Paramètres!$A$1:$I$89,3,0)*0.475*44/12</f>
        <v>6.7066187222736326</v>
      </c>
      <c r="DH129" s="21">
        <f>EXP(-LN(2)/2)*DH128+(1-EXP(-LN(2)/2))/(LN(2)/2)*DB129*DE129*VLOOKUP('Données projet'!$B$13,Paramètres!$A$1:$I$89,3,0)*0.475*44/12</f>
        <v>9.008193859904074E-17</v>
      </c>
      <c r="DI129" s="22">
        <f t="shared" si="69"/>
        <v>12.190100204742771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732.27896952512003</v>
      </c>
      <c r="S130" s="59">
        <f ca="1">AVERAGE(OFFSET($R$3,0,0,'Données projet'!$E$9+1,1))-AVERAGE(OFFSET($H$3,0,0,'Données projet'!$E$9+1,1))</f>
        <v>567.42635821336114</v>
      </c>
      <c r="T130" s="59">
        <f t="shared" si="88"/>
        <v>299.0473530693472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474.99999999999994</v>
      </c>
      <c r="AJ130" s="13">
        <f>AI130*VLOOKUP('Données projet'!$B$10,Paramètres!$A$1:$I$89,3,0)*VLOOKUP('Données projet'!$B$10,Paramètres!$A$1:$I$89,5,0)</f>
        <v>407.55</v>
      </c>
      <c r="AK130" s="13">
        <f t="shared" si="89"/>
        <v>93.305642095357683</v>
      </c>
      <c r="AL130" s="20">
        <f t="shared" si="58"/>
        <v>872.32357664941446</v>
      </c>
      <c r="AM130" s="59">
        <f t="shared" si="59"/>
        <v>1155.7259335084918</v>
      </c>
      <c r="AN130" s="59">
        <f ca="1">AVERAGE(OFFSET($AM$3,0,0,'Données projet'!$E$10+1,1))-AVERAGE(OFFSET($H$3,0,0,'Données projet'!$E$10+1,1))</f>
        <v>569.97793593332699</v>
      </c>
      <c r="AO130" s="59">
        <f t="shared" si="90"/>
        <v>331.25104323342907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106.40010658766255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106.40010658766255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16.750000000000213</v>
      </c>
      <c r="BE130" s="13">
        <f>BD130*VLOOKUP('Données projet'!$B$11,Paramètres!$A$1:$I$89,3,0)*VLOOKUP('Données projet'!$B$11,Paramètres!$A$1:$I$89,5,0)</f>
        <v>14.11020000000018</v>
      </c>
      <c r="BF130" s="13">
        <f t="shared" si="91"/>
        <v>4.7783677814795205</v>
      </c>
      <c r="BG130" s="20">
        <f t="shared" si="61"/>
        <v>32.897588886077138</v>
      </c>
      <c r="BH130" s="59">
        <f t="shared" si="62"/>
        <v>316.29994574515456</v>
      </c>
      <c r="BI130" s="59">
        <f ca="1">AVERAGE(OFFSET($BH$3,0,0,'Données projet'!$E$11+1,1))-AVERAGE(OFFSET($H$3,0,0,'Données projet'!$E$11+1,1))</f>
        <v>458.88102603650725</v>
      </c>
      <c r="BJ130" s="59">
        <f t="shared" si="92"/>
        <v>277.79020316059552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167.73347318325324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167.73347318325324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269.8175999999998</v>
      </c>
      <c r="CA130" s="13">
        <f t="shared" si="93"/>
        <v>64.810557882019467</v>
      </c>
      <c r="CB130" s="20">
        <f t="shared" si="64"/>
        <v>582.81070831118348</v>
      </c>
      <c r="CC130" s="59">
        <f t="shared" si="65"/>
        <v>866.21306517026096</v>
      </c>
      <c r="CD130" s="59">
        <f ca="1">AVERAGE(OFFSET($CC$3,0,0,'Données projet'!$E$12+1,1))-AVERAGE(OFFSET($H$3,0,0,'Données projet'!$E$12+1,1))</f>
        <v>400.48995908576177</v>
      </c>
      <c r="CE130" s="59">
        <f t="shared" si="94"/>
        <v>384.86917865380076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18.167330006375622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18.167330006375622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277.99999999999994</v>
      </c>
      <c r="CU130" s="17">
        <f>CT130*VLOOKUP('Données projet'!$B$13,Paramètres!$A$1:$I$89,3,0)*VLOOKUP('Données projet'!$B$13,Paramètres!$A$1:$I$89,5,0)</f>
        <v>151.78799999999998</v>
      </c>
      <c r="CV130" s="13">
        <f t="shared" si="95"/>
        <v>38.984634390835623</v>
      </c>
      <c r="CW130" s="20">
        <f t="shared" si="67"/>
        <v>332.26233823070532</v>
      </c>
      <c r="CX130" s="59">
        <f t="shared" si="68"/>
        <v>615.66469508978275</v>
      </c>
      <c r="CY130" s="59">
        <f ca="1">AVERAGE(OFFSET($CX$3,0,0,'Données projet'!$E$13+1,1))-AVERAGE(OFFSET($H$3,0,0,'Données projet'!$E$13+1,1))</f>
        <v>215.37314197175104</v>
      </c>
      <c r="CZ130" s="59">
        <f t="shared" si="96"/>
        <v>361.17630426655978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5.3759537551913716</v>
      </c>
      <c r="DG130" s="21">
        <f>EXP(-LN(2)/25)*DG129+(1-EXP(-LN(2)/25))/(LN(2)/25)*Calculateur!DB130*Calculateur!DD130*VLOOKUP('Données projet'!$B$13,Paramètres!$A$1:$I$89,3,0)*0.475*44/12</f>
        <v>6.5232258806273098</v>
      </c>
      <c r="DH130" s="21">
        <f>EXP(-LN(2)/2)*DH129+(1-EXP(-LN(2)/2))/(LN(2)/2)*DB130*DE130*VLOOKUP('Données projet'!$B$13,Paramètres!$A$1:$I$89,3,0)*0.475*44/12</f>
        <v>6.3697549645811908E-17</v>
      </c>
      <c r="DI130" s="22">
        <f t="shared" si="69"/>
        <v>11.899179635818681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607.32504205677105</v>
      </c>
      <c r="S131" s="59">
        <f ca="1">AVERAGE(OFFSET($R$3,0,0,'Données projet'!$E$9+1,1))-AVERAGE(OFFSET($H$3,0,0,'Données projet'!$E$9+1,1))</f>
        <v>567.42635821336114</v>
      </c>
      <c r="T131" s="59">
        <f t="shared" si="88"/>
        <v>299.0473530693472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474.99999999999994</v>
      </c>
      <c r="AJ131" s="13">
        <f>AI131*VLOOKUP('Données projet'!$B$10,Paramètres!$A$1:$I$89,3,0)*VLOOKUP('Données projet'!$B$10,Paramètres!$A$1:$I$89,5,0)</f>
        <v>407.55</v>
      </c>
      <c r="AK131" s="13">
        <f t="shared" si="89"/>
        <v>93.305642095357683</v>
      </c>
      <c r="AL131" s="20">
        <f t="shared" si="58"/>
        <v>872.32357664941446</v>
      </c>
      <c r="AM131" s="59">
        <f t="shared" si="59"/>
        <v>1155.8982137479829</v>
      </c>
      <c r="AN131" s="59">
        <f ca="1">AVERAGE(OFFSET($AM$3,0,0,'Données projet'!$E$10+1,1))-AVERAGE(OFFSET($H$3,0,0,'Données projet'!$E$10+1,1))</f>
        <v>569.97793593332699</v>
      </c>
      <c r="AO131" s="59">
        <f t="shared" si="90"/>
        <v>331.25104323342907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104.31366539513539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104.31366539513539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16.750000000000213</v>
      </c>
      <c r="BE131" s="13">
        <f>BD131*VLOOKUP('Données projet'!$B$11,Paramètres!$A$1:$I$89,3,0)*VLOOKUP('Données projet'!$B$11,Paramètres!$A$1:$I$89,5,0)</f>
        <v>14.11020000000018</v>
      </c>
      <c r="BF131" s="13">
        <f t="shared" si="91"/>
        <v>4.7783677814795205</v>
      </c>
      <c r="BG131" s="20">
        <f t="shared" si="61"/>
        <v>32.897588886077138</v>
      </c>
      <c r="BH131" s="59">
        <f t="shared" si="62"/>
        <v>316.47222598464566</v>
      </c>
      <c r="BI131" s="59">
        <f ca="1">AVERAGE(OFFSET($BH$3,0,0,'Données projet'!$E$11+1,1))-AVERAGE(OFFSET($H$3,0,0,'Données projet'!$E$11+1,1))</f>
        <v>458.88102603650725</v>
      </c>
      <c r="BJ131" s="59">
        <f t="shared" si="92"/>
        <v>277.79020316059552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164.44432208144627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164.44432208144627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269.8175999999998</v>
      </c>
      <c r="CA131" s="13">
        <f t="shared" si="93"/>
        <v>64.810557882019467</v>
      </c>
      <c r="CB131" s="20">
        <f t="shared" si="64"/>
        <v>582.81070831118348</v>
      </c>
      <c r="CC131" s="59">
        <f t="shared" si="65"/>
        <v>866.38534540975206</v>
      </c>
      <c r="CD131" s="59">
        <f ca="1">AVERAGE(OFFSET($CC$3,0,0,'Données projet'!$E$12+1,1))-AVERAGE(OFFSET($H$3,0,0,'Données projet'!$E$12+1,1))</f>
        <v>400.48995908576177</v>
      </c>
      <c r="CE131" s="59">
        <f t="shared" si="94"/>
        <v>384.86917865380076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17.811079745927742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17.811079745927742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277.99999999999994</v>
      </c>
      <c r="CU131" s="17">
        <f>CT131*VLOOKUP('Données projet'!$B$13,Paramètres!$A$1:$I$89,3,0)*VLOOKUP('Données projet'!$B$13,Paramètres!$A$1:$I$89,5,0)</f>
        <v>151.78799999999998</v>
      </c>
      <c r="CV131" s="13">
        <f t="shared" si="95"/>
        <v>38.984634390835623</v>
      </c>
      <c r="CW131" s="20">
        <f t="shared" si="67"/>
        <v>332.26233823070532</v>
      </c>
      <c r="CX131" s="59">
        <f t="shared" si="68"/>
        <v>615.83697532927386</v>
      </c>
      <c r="CY131" s="59">
        <f ca="1">AVERAGE(OFFSET($CX$3,0,0,'Données projet'!$E$13+1,1))-AVERAGE(OFFSET($H$3,0,0,'Données projet'!$E$13+1,1))</f>
        <v>215.37314197175104</v>
      </c>
      <c r="CZ131" s="59">
        <f t="shared" si="96"/>
        <v>361.17630426655978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5.2705345810600841</v>
      </c>
      <c r="DG131" s="21">
        <f>EXP(-LN(2)/25)*DG130+(1-EXP(-LN(2)/25))/(LN(2)/25)*Calculateur!DB131*Calculateur!DD131*VLOOKUP('Données projet'!$B$13,Paramètres!$A$1:$I$89,3,0)*0.475*44/12</f>
        <v>6.3448479258800159</v>
      </c>
      <c r="DH131" s="21">
        <f>EXP(-LN(2)/2)*DH130+(1-EXP(-LN(2)/2))/(LN(2)/2)*DB131*DE131*VLOOKUP('Données projet'!$B$13,Paramètres!$A$1:$I$89,3,0)*0.475*44/12</f>
        <v>4.504096929952037E-17</v>
      </c>
      <c r="DI131" s="22">
        <f t="shared" si="69"/>
        <v>11.615382506940101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607.68295538025313</v>
      </c>
      <c r="S132" s="59">
        <f ca="1">AVERAGE(OFFSET($R$3,0,0,'Données projet'!$E$9+1,1))-AVERAGE(OFFSET($H$3,0,0,'Données projet'!$E$9+1,1))</f>
        <v>567.42635821336114</v>
      </c>
      <c r="T132" s="59">
        <f t="shared" si="88"/>
        <v>299.0473530693472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474.99999999999994</v>
      </c>
      <c r="AJ132" s="13">
        <f>AI132*VLOOKUP('Données projet'!$B$10,Paramètres!$A$1:$I$89,3,0)*VLOOKUP('Données projet'!$B$10,Paramètres!$A$1:$I$89,5,0)</f>
        <v>407.55</v>
      </c>
      <c r="AK132" s="13">
        <f t="shared" si="89"/>
        <v>93.305642095357683</v>
      </c>
      <c r="AL132" s="20">
        <f t="shared" ref="AL132:AL153" si="112">(AJ132+AK132)*0.475*44/12</f>
        <v>872.32357664941446</v>
      </c>
      <c r="AM132" s="59">
        <f t="shared" ref="AM132:AM195" si="113">AL132+(AD132+AE132)*44/12</f>
        <v>1156.0675053104799</v>
      </c>
      <c r="AN132" s="59">
        <f ca="1">AVERAGE(OFFSET($AM$3,0,0,'Données projet'!$E$10+1,1))-AVERAGE(OFFSET($H$3,0,0,'Données projet'!$E$10+1,1))</f>
        <v>569.97793593332699</v>
      </c>
      <c r="AO132" s="59">
        <f t="shared" si="90"/>
        <v>331.25104323342907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102.26813804179022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102.26813804179022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16.750000000000213</v>
      </c>
      <c r="BE132" s="13">
        <f>BD132*VLOOKUP('Données projet'!$B$11,Paramètres!$A$1:$I$89,3,0)*VLOOKUP('Données projet'!$B$11,Paramètres!$A$1:$I$89,5,0)</f>
        <v>14.11020000000018</v>
      </c>
      <c r="BF132" s="13">
        <f t="shared" si="91"/>
        <v>4.7783677814795205</v>
      </c>
      <c r="BG132" s="20">
        <f t="shared" ref="BG132:BG153" si="115">(BE132+BF132)*0.475*44/12</f>
        <v>32.897588886077138</v>
      </c>
      <c r="BH132" s="59">
        <f t="shared" ref="BH132:BH195" si="116">BG132+(AY132+AZ132)*44/12</f>
        <v>316.64151754714248</v>
      </c>
      <c r="BI132" s="59">
        <f ca="1">AVERAGE(OFFSET($BH$3,0,0,'Données projet'!$E$11+1,1))-AVERAGE(OFFSET($H$3,0,0,'Données projet'!$E$11+1,1))</f>
        <v>458.88102603650725</v>
      </c>
      <c r="BJ132" s="59">
        <f t="shared" si="92"/>
        <v>277.79020316059552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161.21966922656168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161.21966922656168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269.8175999999998</v>
      </c>
      <c r="CA132" s="13">
        <f t="shared" si="93"/>
        <v>64.810557882019467</v>
      </c>
      <c r="CB132" s="20">
        <f t="shared" ref="CB132:CB153" si="118">(BZ132+CA132)*0.475*44/12</f>
        <v>582.81070831118348</v>
      </c>
      <c r="CC132" s="59">
        <f t="shared" ref="CC132:CC195" si="119">CB132+(BT132+BU132)*44/12</f>
        <v>866.55463697224877</v>
      </c>
      <c r="CD132" s="59">
        <f ca="1">AVERAGE(OFFSET($CC$3,0,0,'Données projet'!$E$12+1,1))-AVERAGE(OFFSET($H$3,0,0,'Données projet'!$E$12+1,1))</f>
        <v>400.48995908576177</v>
      </c>
      <c r="CE132" s="59">
        <f t="shared" si="94"/>
        <v>384.86917865380076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17.461815335796043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17.461815335796043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277.99999999999994</v>
      </c>
      <c r="CU132" s="17">
        <f>CT132*VLOOKUP('Données projet'!$B$13,Paramètres!$A$1:$I$89,3,0)*VLOOKUP('Données projet'!$B$13,Paramètres!$A$1:$I$89,5,0)</f>
        <v>151.78799999999998</v>
      </c>
      <c r="CV132" s="13">
        <f t="shared" si="95"/>
        <v>38.984634390835623</v>
      </c>
      <c r="CW132" s="20">
        <f t="shared" ref="CW132:CW153" si="121">(CU132+CV132)*0.475*44/12</f>
        <v>332.26233823070532</v>
      </c>
      <c r="CX132" s="59">
        <f t="shared" ref="CX132:CX195" si="122">CW132+(CO132+CP132)*44/12</f>
        <v>616.00626689177068</v>
      </c>
      <c r="CY132" s="59">
        <f ca="1">AVERAGE(OFFSET($CX$3,0,0,'Données projet'!$E$13+1,1))-AVERAGE(OFFSET($H$3,0,0,'Données projet'!$E$13+1,1))</f>
        <v>215.37314197175104</v>
      </c>
      <c r="CZ132" s="59">
        <f t="shared" si="96"/>
        <v>361.17630426655978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5.1671826126341642</v>
      </c>
      <c r="DG132" s="21">
        <f>EXP(-LN(2)/25)*DG131+(1-EXP(-LN(2)/25))/(LN(2)/25)*Calculateur!DB132*Calculateur!DD132*VLOOKUP('Données projet'!$B$13,Paramètres!$A$1:$I$89,3,0)*0.475*44/12</f>
        <v>6.1713477256857754</v>
      </c>
      <c r="DH132" s="21">
        <f>EXP(-LN(2)/2)*DH131+(1-EXP(-LN(2)/2))/(LN(2)/2)*DB132*DE132*VLOOKUP('Données projet'!$B$13,Paramètres!$A$1:$I$89,3,0)*0.475*44/12</f>
        <v>3.1848774822905954E-17</v>
      </c>
      <c r="DI132" s="22">
        <f t="shared" ref="DI132:DI153" si="123">SUM(DF132:DH132)</f>
        <v>11.33853033831994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608.03792944527811</v>
      </c>
      <c r="S133" s="59">
        <f ca="1">AVERAGE(OFFSET($R$3,0,0,'Données projet'!$E$9+1,1))-AVERAGE(OFFSET($H$3,0,0,'Données projet'!$E$9+1,1))</f>
        <v>567.42635821336114</v>
      </c>
      <c r="T133" s="59">
        <f t="shared" ref="T133:T196" si="142">$T$3</f>
        <v>299.0473530693472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474.99999999999994</v>
      </c>
      <c r="AJ133" s="13">
        <f>AI133*VLOOKUP('Données projet'!$B$10,Paramètres!$A$1:$I$89,3,0)*VLOOKUP('Données projet'!$B$10,Paramètres!$A$1:$I$89,5,0)</f>
        <v>407.55</v>
      </c>
      <c r="AK133" s="13">
        <f t="shared" ref="AK133:AK153" si="143">EXP(-1.0587+0.8836*LN(AJ133)+0.284)</f>
        <v>93.305642095357683</v>
      </c>
      <c r="AL133" s="20">
        <f t="shared" si="112"/>
        <v>872.32357664941446</v>
      </c>
      <c r="AM133" s="59">
        <f t="shared" si="113"/>
        <v>1156.2338600428466</v>
      </c>
      <c r="AN133" s="59">
        <f ca="1">AVERAGE(OFFSET($AM$3,0,0,'Données projet'!$E$10+1,1))-AVERAGE(OFFSET($H$3,0,0,'Données projet'!$E$10+1,1))</f>
        <v>569.97793593332699</v>
      </c>
      <c r="AO133" s="59">
        <f t="shared" ref="AO133:AO196" si="144">$AO$3</f>
        <v>331.25104323342907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100.26272223219567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100.26272223219567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16.750000000000213</v>
      </c>
      <c r="BE133" s="13">
        <f>BD133*VLOOKUP('Données projet'!$B$11,Paramètres!$A$1:$I$89,3,0)*VLOOKUP('Données projet'!$B$11,Paramètres!$A$1:$I$89,5,0)</f>
        <v>14.11020000000018</v>
      </c>
      <c r="BF133" s="13">
        <f t="shared" ref="BF133:BF153" si="145">EXP(-1.0587+0.8836*LN(BE133)+0.284)</f>
        <v>4.7783677814795205</v>
      </c>
      <c r="BG133" s="20">
        <f t="shared" si="115"/>
        <v>32.897588886077138</v>
      </c>
      <c r="BH133" s="59">
        <f t="shared" si="116"/>
        <v>316.80787227950924</v>
      </c>
      <c r="BI133" s="59">
        <f ca="1">AVERAGE(OFFSET($BH$3,0,0,'Données projet'!$E$11+1,1))-AVERAGE(OFFSET($H$3,0,0,'Données projet'!$E$11+1,1))</f>
        <v>458.88102603650725</v>
      </c>
      <c r="BJ133" s="59">
        <f t="shared" ref="BJ133:BJ196" si="146">$BJ$3</f>
        <v>277.79020316059552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158.05824984731731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158.05824984731731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269.8175999999998</v>
      </c>
      <c r="CA133" s="13">
        <f t="shared" ref="CA133:CA153" si="147">EXP(-1.0587+0.8836*LN(BZ133)+0.284)</f>
        <v>64.810557882019467</v>
      </c>
      <c r="CB133" s="20">
        <f t="shared" si="118"/>
        <v>582.81070831118348</v>
      </c>
      <c r="CC133" s="59">
        <f t="shared" si="119"/>
        <v>866.72099170461559</v>
      </c>
      <c r="CD133" s="59">
        <f ca="1">AVERAGE(OFFSET($CC$3,0,0,'Données projet'!$E$12+1,1))-AVERAGE(OFFSET($H$3,0,0,'Données projet'!$E$12+1,1))</f>
        <v>400.48995908576177</v>
      </c>
      <c r="CE133" s="59">
        <f t="shared" ref="CE133:CE196" si="148">$CE$3</f>
        <v>384.86917865380076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17.119399787716773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17.119399787716773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277.99999999999994</v>
      </c>
      <c r="CU133" s="17">
        <f>CT133*VLOOKUP('Données projet'!$B$13,Paramètres!$A$1:$I$89,3,0)*VLOOKUP('Données projet'!$B$13,Paramètres!$A$1:$I$89,5,0)</f>
        <v>151.78799999999998</v>
      </c>
      <c r="CV133" s="13">
        <f t="shared" ref="CV133:CV153" si="149">EXP(-1.0587+0.8836*LN(CU133)+0.284)</f>
        <v>38.984634390835623</v>
      </c>
      <c r="CW133" s="20">
        <f t="shared" si="121"/>
        <v>332.26233823070532</v>
      </c>
      <c r="CX133" s="59">
        <f t="shared" si="122"/>
        <v>616.17262162413749</v>
      </c>
      <c r="CY133" s="59">
        <f ca="1">AVERAGE(OFFSET($CX$3,0,0,'Données projet'!$E$13+1,1))-AVERAGE(OFFSET($H$3,0,0,'Données projet'!$E$13+1,1))</f>
        <v>215.37314197175104</v>
      </c>
      <c r="CZ133" s="59">
        <f t="shared" ref="CZ133:CZ196" si="150">$CZ$3</f>
        <v>361.17630426655978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5.0658573132706</v>
      </c>
      <c r="DG133" s="21">
        <f>EXP(-LN(2)/25)*DG132+(1-EXP(-LN(2)/25))/(LN(2)/25)*Calculateur!DB133*Calculateur!DD133*VLOOKUP('Données projet'!$B$13,Paramètres!$A$1:$I$89,3,0)*0.475*44/12</f>
        <v>6.0025918975898254</v>
      </c>
      <c r="DH133" s="21">
        <f>EXP(-LN(2)/2)*DH132+(1-EXP(-LN(2)/2))/(LN(2)/2)*DB133*DE133*VLOOKUP('Données projet'!$B$13,Paramètres!$A$1:$I$89,3,0)*0.475*44/12</f>
        <v>2.2520484649760185E-17</v>
      </c>
      <c r="DI133" s="22">
        <f t="shared" si="123"/>
        <v>11.068449210860425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608.39001520089903</v>
      </c>
      <c r="S134" s="59">
        <f ca="1">AVERAGE(OFFSET($R$3,0,0,'Données projet'!$E$9+1,1))-AVERAGE(OFFSET($H$3,0,0,'Données projet'!$E$9+1,1))</f>
        <v>567.42635821336114</v>
      </c>
      <c r="T134" s="59">
        <f t="shared" si="142"/>
        <v>299.0473530693472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474.99999999999994</v>
      </c>
      <c r="AJ134" s="13">
        <f>AI134*VLOOKUP('Données projet'!$B$10,Paramètres!$A$1:$I$89,3,0)*VLOOKUP('Données projet'!$B$10,Paramètres!$A$1:$I$89,5,0)</f>
        <v>407.55</v>
      </c>
      <c r="AK134" s="13">
        <f t="shared" si="143"/>
        <v>93.305642095357683</v>
      </c>
      <c r="AL134" s="20">
        <f t="shared" si="112"/>
        <v>872.32357664941446</v>
      </c>
      <c r="AM134" s="59">
        <f t="shared" si="113"/>
        <v>1156.3973288925201</v>
      </c>
      <c r="AN134" s="59">
        <f ca="1">AVERAGE(OFFSET($AM$3,0,0,'Données projet'!$E$10+1,1))-AVERAGE(OFFSET($H$3,0,0,'Données projet'!$E$10+1,1))</f>
        <v>569.97793593332699</v>
      </c>
      <c r="AO134" s="59">
        <f t="shared" si="144"/>
        <v>331.25104323342907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98.296631403444394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98.296631403444394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16.750000000000213</v>
      </c>
      <c r="BE134" s="13">
        <f>BD134*VLOOKUP('Données projet'!$B$11,Paramètres!$A$1:$I$89,3,0)*VLOOKUP('Données projet'!$B$11,Paramètres!$A$1:$I$89,5,0)</f>
        <v>14.11020000000018</v>
      </c>
      <c r="BF134" s="13">
        <f t="shared" si="145"/>
        <v>4.7783677814795205</v>
      </c>
      <c r="BG134" s="20">
        <f t="shared" si="115"/>
        <v>32.897588886077138</v>
      </c>
      <c r="BH134" s="59">
        <f t="shared" si="116"/>
        <v>316.97134112918286</v>
      </c>
      <c r="BI134" s="59">
        <f ca="1">AVERAGE(OFFSET($BH$3,0,0,'Données projet'!$E$11+1,1))-AVERAGE(OFFSET($H$3,0,0,'Données projet'!$E$11+1,1))</f>
        <v>458.88102603650725</v>
      </c>
      <c r="BJ134" s="59">
        <f t="shared" si="146"/>
        <v>277.79020316059552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154.95882397382454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154.95882397382454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269.8175999999998</v>
      </c>
      <c r="CA134" s="13">
        <f t="shared" si="147"/>
        <v>64.810557882019467</v>
      </c>
      <c r="CB134" s="20">
        <f t="shared" si="118"/>
        <v>582.81070831118348</v>
      </c>
      <c r="CC134" s="59">
        <f t="shared" si="119"/>
        <v>866.88446055428926</v>
      </c>
      <c r="CD134" s="59">
        <f ca="1">AVERAGE(OFFSET($CC$3,0,0,'Données projet'!$E$12+1,1))-AVERAGE(OFFSET($H$3,0,0,'Données projet'!$E$12+1,1))</f>
        <v>400.48995908576177</v>
      </c>
      <c r="CE134" s="59">
        <f t="shared" si="148"/>
        <v>384.86917865380076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16.783698799682476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16.783698799682476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277.99999999999994</v>
      </c>
      <c r="CU134" s="17">
        <f>CT134*VLOOKUP('Données projet'!$B$13,Paramètres!$A$1:$I$89,3,0)*VLOOKUP('Données projet'!$B$13,Paramètres!$A$1:$I$89,5,0)</f>
        <v>151.78799999999998</v>
      </c>
      <c r="CV134" s="13">
        <f t="shared" si="149"/>
        <v>38.984634390835623</v>
      </c>
      <c r="CW134" s="20">
        <f t="shared" si="121"/>
        <v>332.26233823070532</v>
      </c>
      <c r="CX134" s="59">
        <f t="shared" si="122"/>
        <v>616.33609047381105</v>
      </c>
      <c r="CY134" s="59">
        <f ca="1">AVERAGE(OFFSET($CX$3,0,0,'Données projet'!$E$13+1,1))-AVERAGE(OFFSET($H$3,0,0,'Données projet'!$E$13+1,1))</f>
        <v>215.37314197175104</v>
      </c>
      <c r="CZ134" s="59">
        <f t="shared" si="150"/>
        <v>361.17630426655978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4.9665189412252255</v>
      </c>
      <c r="DG134" s="21">
        <f>EXP(-LN(2)/25)*DG133+(1-EXP(-LN(2)/25))/(LN(2)/25)*Calculateur!DB134*Calculateur!DD134*VLOOKUP('Données projet'!$B$13,Paramètres!$A$1:$I$89,3,0)*0.475*44/12</f>
        <v>5.8384507064876425</v>
      </c>
      <c r="DH134" s="21">
        <f>EXP(-LN(2)/2)*DH133+(1-EXP(-LN(2)/2))/(LN(2)/2)*DB134*DE134*VLOOKUP('Données projet'!$B$13,Paramètres!$A$1:$I$89,3,0)*0.475*44/12</f>
        <v>1.5924387411452977E-17</v>
      </c>
      <c r="DI134" s="22">
        <f t="shared" si="123"/>
        <v>10.804969647712868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325.73361547955409</v>
      </c>
      <c r="S135" s="59">
        <f ca="1">AVERAGE(OFFSET($R$3,0,0,'Données projet'!$E$9+1,1))-AVERAGE(OFFSET($H$3,0,0,'Données projet'!$E$9+1,1))</f>
        <v>567.42635821336114</v>
      </c>
      <c r="T135" s="59">
        <f t="shared" si="142"/>
        <v>299.0473530693472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474.99999999999994</v>
      </c>
      <c r="AJ135" s="13">
        <f>AI135*VLOOKUP('Données projet'!$B$10,Paramètres!$A$1:$I$89,3,0)*VLOOKUP('Données projet'!$B$10,Paramètres!$A$1:$I$89,5,0)</f>
        <v>407.55</v>
      </c>
      <c r="AK135" s="13">
        <f t="shared" si="143"/>
        <v>93.305642095357683</v>
      </c>
      <c r="AL135" s="20">
        <f t="shared" si="112"/>
        <v>872.32357664941446</v>
      </c>
      <c r="AM135" s="59">
        <f t="shared" si="113"/>
        <v>1156.5579619231137</v>
      </c>
      <c r="AN135" s="59">
        <f ca="1">AVERAGE(OFFSET($AM$3,0,0,'Données projet'!$E$10+1,1))-AVERAGE(OFFSET($H$3,0,0,'Données projet'!$E$10+1,1))</f>
        <v>569.97793593332699</v>
      </c>
      <c r="AO135" s="59">
        <f t="shared" si="144"/>
        <v>331.25104323342907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96.36909441664794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96.36909441664794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16.750000000000213</v>
      </c>
      <c r="BE135" s="13">
        <f>BD135*VLOOKUP('Données projet'!$B$11,Paramètres!$A$1:$I$89,3,0)*VLOOKUP('Données projet'!$B$11,Paramètres!$A$1:$I$89,5,0)</f>
        <v>14.11020000000018</v>
      </c>
      <c r="BF135" s="13">
        <f t="shared" si="145"/>
        <v>4.7783677814795205</v>
      </c>
      <c r="BG135" s="20">
        <f t="shared" si="115"/>
        <v>32.897588886077138</v>
      </c>
      <c r="BH135" s="59">
        <f t="shared" si="116"/>
        <v>317.13197415977629</v>
      </c>
      <c r="BI135" s="59">
        <f ca="1">AVERAGE(OFFSET($BH$3,0,0,'Données projet'!$E$11+1,1))-AVERAGE(OFFSET($H$3,0,0,'Données projet'!$E$11+1,1))</f>
        <v>458.88102603650725</v>
      </c>
      <c r="BJ135" s="59">
        <f t="shared" si="146"/>
        <v>277.79020316059552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151.92017595124781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151.92017595124781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269.8175999999998</v>
      </c>
      <c r="CA135" s="13">
        <f t="shared" si="147"/>
        <v>64.810557882019467</v>
      </c>
      <c r="CB135" s="20">
        <f t="shared" si="118"/>
        <v>582.81070831118348</v>
      </c>
      <c r="CC135" s="59">
        <f t="shared" si="119"/>
        <v>867.04509358488258</v>
      </c>
      <c r="CD135" s="59">
        <f ca="1">AVERAGE(OFFSET($CC$3,0,0,'Données projet'!$E$12+1,1))-AVERAGE(OFFSET($H$3,0,0,'Données projet'!$E$12+1,1))</f>
        <v>400.48995908576177</v>
      </c>
      <c r="CE135" s="59">
        <f t="shared" si="148"/>
        <v>384.86917865380076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16.454580703266146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16.454580703266146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277.99999999999994</v>
      </c>
      <c r="CU135" s="17">
        <f>CT135*VLOOKUP('Données projet'!$B$13,Paramètres!$A$1:$I$89,3,0)*VLOOKUP('Données projet'!$B$13,Paramètres!$A$1:$I$89,5,0)</f>
        <v>151.78799999999998</v>
      </c>
      <c r="CV135" s="13">
        <f t="shared" si="149"/>
        <v>38.984634390835623</v>
      </c>
      <c r="CW135" s="20">
        <f t="shared" si="121"/>
        <v>332.26233823070532</v>
      </c>
      <c r="CX135" s="59">
        <f t="shared" si="122"/>
        <v>616.49672350440449</v>
      </c>
      <c r="CY135" s="59">
        <f ca="1">AVERAGE(OFFSET($CX$3,0,0,'Données projet'!$E$13+1,1))-AVERAGE(OFFSET($H$3,0,0,'Données projet'!$E$13+1,1))</f>
        <v>215.37314197175104</v>
      </c>
      <c r="CZ135" s="59">
        <f t="shared" si="150"/>
        <v>361.17630426655978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4.8691285340652364</v>
      </c>
      <c r="DG135" s="21">
        <f>EXP(-LN(2)/25)*DG134+(1-EXP(-LN(2)/25))/(LN(2)/25)*Calculateur!DB135*Calculateur!DD135*VLOOKUP('Données projet'!$B$13,Paramètres!$A$1:$I$89,3,0)*0.475*44/12</f>
        <v>5.6787979648879592</v>
      </c>
      <c r="DH135" s="21">
        <f>EXP(-LN(2)/2)*DH134+(1-EXP(-LN(2)/2))/(LN(2)/2)*DB135*DE135*VLOOKUP('Données projet'!$B$13,Paramètres!$A$1:$I$89,3,0)*0.475*44/12</f>
        <v>1.1260242324880092E-17</v>
      </c>
      <c r="DI135" s="22">
        <f t="shared" si="123"/>
        <v>10.547926498953196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325.89146188618832</v>
      </c>
      <c r="S136" s="59">
        <f ca="1">AVERAGE(OFFSET($R$3,0,0,'Données projet'!$E$9+1,1))-AVERAGE(OFFSET($H$3,0,0,'Données projet'!$E$9+1,1))</f>
        <v>567.42635821336114</v>
      </c>
      <c r="T136" s="59">
        <f t="shared" si="142"/>
        <v>299.0473530693472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474.99999999999994</v>
      </c>
      <c r="AJ136" s="13">
        <f>AI136*VLOOKUP('Données projet'!$B$10,Paramètres!$A$1:$I$89,3,0)*VLOOKUP('Données projet'!$B$10,Paramètres!$A$1:$I$89,5,0)</f>
        <v>407.55</v>
      </c>
      <c r="AK136" s="13">
        <f t="shared" si="143"/>
        <v>93.305642095357683</v>
      </c>
      <c r="AL136" s="20">
        <f t="shared" si="112"/>
        <v>872.32357664941446</v>
      </c>
      <c r="AM136" s="59">
        <f t="shared" si="113"/>
        <v>1156.7158083297479</v>
      </c>
      <c r="AN136" s="59">
        <f ca="1">AVERAGE(OFFSET($AM$3,0,0,'Données projet'!$E$10+1,1))-AVERAGE(OFFSET($H$3,0,0,'Données projet'!$E$10+1,1))</f>
        <v>569.97793593332699</v>
      </c>
      <c r="AO136" s="59">
        <f t="shared" si="144"/>
        <v>331.25104323342907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94.479355254481092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94.479355254481092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16.750000000000213</v>
      </c>
      <c r="BE136" s="13">
        <f>BD136*VLOOKUP('Données projet'!$B$11,Paramètres!$A$1:$I$89,3,0)*VLOOKUP('Données projet'!$B$11,Paramètres!$A$1:$I$89,5,0)</f>
        <v>14.11020000000018</v>
      </c>
      <c r="BF136" s="13">
        <f t="shared" si="145"/>
        <v>4.7783677814795205</v>
      </c>
      <c r="BG136" s="20">
        <f t="shared" si="115"/>
        <v>32.897588886077138</v>
      </c>
      <c r="BH136" s="59">
        <f t="shared" si="116"/>
        <v>317.28982056641053</v>
      </c>
      <c r="BI136" s="59">
        <f ca="1">AVERAGE(OFFSET($BH$3,0,0,'Données projet'!$E$11+1,1))-AVERAGE(OFFSET($H$3,0,0,'Données projet'!$E$11+1,1))</f>
        <v>458.88102603650725</v>
      </c>
      <c r="BJ136" s="59">
        <f t="shared" si="146"/>
        <v>277.79020316059552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148.94111396300156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148.94111396300156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269.8175999999998</v>
      </c>
      <c r="CA136" s="13">
        <f t="shared" si="147"/>
        <v>64.810557882019467</v>
      </c>
      <c r="CB136" s="20">
        <f t="shared" si="118"/>
        <v>582.81070831118348</v>
      </c>
      <c r="CC136" s="59">
        <f t="shared" si="119"/>
        <v>867.20293999151681</v>
      </c>
      <c r="CD136" s="59">
        <f ca="1">AVERAGE(OFFSET($CC$3,0,0,'Données projet'!$E$12+1,1))-AVERAGE(OFFSET($H$3,0,0,'Données projet'!$E$12+1,1))</f>
        <v>400.48995908576177</v>
      </c>
      <c r="CE136" s="59">
        <f t="shared" si="148"/>
        <v>384.86917865380076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16.131916411978324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16.131916411978324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277.99999999999994</v>
      </c>
      <c r="CU136" s="17">
        <f>CT136*VLOOKUP('Données projet'!$B$13,Paramètres!$A$1:$I$89,3,0)*VLOOKUP('Données projet'!$B$13,Paramètres!$A$1:$I$89,5,0)</f>
        <v>151.78799999999998</v>
      </c>
      <c r="CV136" s="13">
        <f t="shared" si="149"/>
        <v>38.984634390835623</v>
      </c>
      <c r="CW136" s="20">
        <f t="shared" si="121"/>
        <v>332.26233823070532</v>
      </c>
      <c r="CX136" s="59">
        <f t="shared" si="122"/>
        <v>616.65456991103872</v>
      </c>
      <c r="CY136" s="59">
        <f ca="1">AVERAGE(OFFSET($CX$3,0,0,'Données projet'!$E$13+1,1))-AVERAGE(OFFSET($H$3,0,0,'Données projet'!$E$13+1,1))</f>
        <v>215.37314197175104</v>
      </c>
      <c r="CZ136" s="59">
        <f t="shared" si="150"/>
        <v>361.17630426655978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4.7736478933873725</v>
      </c>
      <c r="DG136" s="21">
        <f>EXP(-LN(2)/25)*DG135+(1-EXP(-LN(2)/25))/(LN(2)/25)*Calculateur!DB136*Calculateur!DD136*VLOOKUP('Données projet'!$B$13,Paramètres!$A$1:$I$89,3,0)*0.475*44/12</f>
        <v>5.5235109359030918</v>
      </c>
      <c r="DH136" s="21">
        <f>EXP(-LN(2)/2)*DH135+(1-EXP(-LN(2)/2))/(LN(2)/2)*DB136*DE136*VLOOKUP('Données projet'!$B$13,Paramètres!$A$1:$I$89,3,0)*0.475*44/12</f>
        <v>7.9621937057264885E-18</v>
      </c>
      <c r="DI136" s="22">
        <f t="shared" si="123"/>
        <v>10.297158829290463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326.04657001055921</v>
      </c>
      <c r="S137" s="59">
        <f ca="1">AVERAGE(OFFSET($R$3,0,0,'Données projet'!$E$9+1,1))-AVERAGE(OFFSET($H$3,0,0,'Données projet'!$E$9+1,1))</f>
        <v>567.42635821336114</v>
      </c>
      <c r="T137" s="59">
        <f t="shared" si="142"/>
        <v>299.0473530693472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474.99999999999994</v>
      </c>
      <c r="AJ137" s="13">
        <f>AI137*VLOOKUP('Données projet'!$B$10,Paramètres!$A$1:$I$89,3,0)*VLOOKUP('Données projet'!$B$10,Paramètres!$A$1:$I$89,5,0)</f>
        <v>407.55</v>
      </c>
      <c r="AK137" s="13">
        <f t="shared" si="143"/>
        <v>93.305642095357683</v>
      </c>
      <c r="AL137" s="20">
        <f t="shared" si="112"/>
        <v>872.32357664941446</v>
      </c>
      <c r="AM137" s="59">
        <f t="shared" si="113"/>
        <v>1156.8709164541187</v>
      </c>
      <c r="AN137" s="59">
        <f ca="1">AVERAGE(OFFSET($AM$3,0,0,'Données projet'!$E$10+1,1))-AVERAGE(OFFSET($H$3,0,0,'Données projet'!$E$10+1,1))</f>
        <v>569.97793593332699</v>
      </c>
      <c r="AO137" s="59">
        <f t="shared" si="144"/>
        <v>331.25104323342907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92.626672724657254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92.626672724657254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16.750000000000213</v>
      </c>
      <c r="BE137" s="13">
        <f>BD137*VLOOKUP('Données projet'!$B$11,Paramètres!$A$1:$I$89,3,0)*VLOOKUP('Données projet'!$B$11,Paramètres!$A$1:$I$89,5,0)</f>
        <v>14.11020000000018</v>
      </c>
      <c r="BF137" s="13">
        <f t="shared" si="145"/>
        <v>4.7783677814795205</v>
      </c>
      <c r="BG137" s="20">
        <f t="shared" si="115"/>
        <v>32.897588886077138</v>
      </c>
      <c r="BH137" s="59">
        <f t="shared" si="116"/>
        <v>317.44492869078141</v>
      </c>
      <c r="BI137" s="59">
        <f ca="1">AVERAGE(OFFSET($BH$3,0,0,'Données projet'!$E$11+1,1))-AVERAGE(OFFSET($H$3,0,0,'Données projet'!$E$11+1,1))</f>
        <v>458.88102603650725</v>
      </c>
      <c r="BJ137" s="59">
        <f t="shared" si="146"/>
        <v>277.79020316059552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146.02046956329642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146.02046956329642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269.8175999999998</v>
      </c>
      <c r="CA137" s="13">
        <f t="shared" si="147"/>
        <v>64.810557882019467</v>
      </c>
      <c r="CB137" s="20">
        <f t="shared" si="118"/>
        <v>582.81070831118348</v>
      </c>
      <c r="CC137" s="59">
        <f t="shared" si="119"/>
        <v>867.35804811588775</v>
      </c>
      <c r="CD137" s="59">
        <f ca="1">AVERAGE(OFFSET($CC$3,0,0,'Données projet'!$E$12+1,1))-AVERAGE(OFFSET($H$3,0,0,'Données projet'!$E$12+1,1))</f>
        <v>400.48995908576177</v>
      </c>
      <c r="CE137" s="59">
        <f t="shared" si="148"/>
        <v>384.86917865380076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15.81557937063687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15.81557937063687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277.99999999999994</v>
      </c>
      <c r="CU137" s="17">
        <f>CT137*VLOOKUP('Données projet'!$B$13,Paramètres!$A$1:$I$89,3,0)*VLOOKUP('Données projet'!$B$13,Paramètres!$A$1:$I$89,5,0)</f>
        <v>151.78799999999998</v>
      </c>
      <c r="CV137" s="13">
        <f t="shared" si="149"/>
        <v>38.984634390835623</v>
      </c>
      <c r="CW137" s="20">
        <f t="shared" si="121"/>
        <v>332.26233823070532</v>
      </c>
      <c r="CX137" s="59">
        <f t="shared" si="122"/>
        <v>616.80967803540966</v>
      </c>
      <c r="CY137" s="59">
        <f ca="1">AVERAGE(OFFSET($CX$3,0,0,'Données projet'!$E$13+1,1))-AVERAGE(OFFSET($H$3,0,0,'Données projet'!$E$13+1,1))</f>
        <v>215.37314197175104</v>
      </c>
      <c r="CZ137" s="59">
        <f t="shared" si="150"/>
        <v>361.17630426655978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4.6800395698357606</v>
      </c>
      <c r="DG137" s="21">
        <f>EXP(-LN(2)/25)*DG136+(1-EXP(-LN(2)/25))/(LN(2)/25)*Calculateur!DB137*Calculateur!DD137*VLOOKUP('Données projet'!$B$13,Paramètres!$A$1:$I$89,3,0)*0.475*44/12</f>
        <v>5.3724702388920056</v>
      </c>
      <c r="DH137" s="21">
        <f>EXP(-LN(2)/2)*DH136+(1-EXP(-LN(2)/2))/(LN(2)/2)*DB137*DE137*VLOOKUP('Données projet'!$B$13,Paramètres!$A$1:$I$89,3,0)*0.475*44/12</f>
        <v>5.6301211624400462E-18</v>
      </c>
      <c r="DI137" s="22">
        <f t="shared" si="123"/>
        <v>10.052509808727766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326.19898735574208</v>
      </c>
      <c r="S138" s="59">
        <f ca="1">AVERAGE(OFFSET($R$3,0,0,'Données projet'!$E$9+1,1))-AVERAGE(OFFSET($H$3,0,0,'Données projet'!$E$9+1,1))</f>
        <v>567.42635821336114</v>
      </c>
      <c r="T138" s="59">
        <f t="shared" si="142"/>
        <v>299.0473530693472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474.99999999999994</v>
      </c>
      <c r="AJ138" s="13">
        <f>AI138*VLOOKUP('Données projet'!$B$10,Paramètres!$A$1:$I$89,3,0)*VLOOKUP('Données projet'!$B$10,Paramètres!$A$1:$I$89,5,0)</f>
        <v>407.55</v>
      </c>
      <c r="AK138" s="13">
        <f t="shared" si="143"/>
        <v>93.305642095357683</v>
      </c>
      <c r="AL138" s="20">
        <f t="shared" si="112"/>
        <v>872.32357664941446</v>
      </c>
      <c r="AM138" s="59">
        <f t="shared" si="113"/>
        <v>1157.0233337993016</v>
      </c>
      <c r="AN138" s="59">
        <f ca="1">AVERAGE(OFFSET($AM$3,0,0,'Données projet'!$E$10+1,1))-AVERAGE(OFFSET($H$3,0,0,'Données projet'!$E$10+1,1))</f>
        <v>569.97793593332699</v>
      </c>
      <c r="AO138" s="59">
        <f t="shared" si="144"/>
        <v>331.25104323342907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90.8103201692185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90.8103201692185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16.750000000000213</v>
      </c>
      <c r="BE138" s="13">
        <f>BD138*VLOOKUP('Données projet'!$B$11,Paramètres!$A$1:$I$89,3,0)*VLOOKUP('Données projet'!$B$11,Paramètres!$A$1:$I$89,5,0)</f>
        <v>14.11020000000018</v>
      </c>
      <c r="BF138" s="13">
        <f t="shared" si="145"/>
        <v>4.7783677814795205</v>
      </c>
      <c r="BG138" s="20">
        <f t="shared" si="115"/>
        <v>32.897588886077138</v>
      </c>
      <c r="BH138" s="59">
        <f t="shared" si="116"/>
        <v>317.59734603596428</v>
      </c>
      <c r="BI138" s="59">
        <f ca="1">AVERAGE(OFFSET($BH$3,0,0,'Données projet'!$E$11+1,1))-AVERAGE(OFFSET($H$3,0,0,'Données projet'!$E$11+1,1))</f>
        <v>458.88102603650725</v>
      </c>
      <c r="BJ138" s="59">
        <f t="shared" si="146"/>
        <v>277.79020316059552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143.1570972188523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143.1570972188523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269.8175999999998</v>
      </c>
      <c r="CA138" s="13">
        <f t="shared" si="147"/>
        <v>64.810557882019467</v>
      </c>
      <c r="CB138" s="20">
        <f t="shared" si="118"/>
        <v>582.81070831118348</v>
      </c>
      <c r="CC138" s="59">
        <f t="shared" si="119"/>
        <v>867.51046546107068</v>
      </c>
      <c r="CD138" s="59">
        <f ca="1">AVERAGE(OFFSET($CC$3,0,0,'Données projet'!$E$12+1,1))-AVERAGE(OFFSET($H$3,0,0,'Données projet'!$E$12+1,1))</f>
        <v>400.48995908576177</v>
      </c>
      <c r="CE138" s="59">
        <f t="shared" si="148"/>
        <v>384.86917865380076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15.505445505729579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15.505445505729579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277.99999999999994</v>
      </c>
      <c r="CU138" s="17">
        <f>CT138*VLOOKUP('Données projet'!$B$13,Paramètres!$A$1:$I$89,3,0)*VLOOKUP('Données projet'!$B$13,Paramètres!$A$1:$I$89,5,0)</f>
        <v>151.78799999999998</v>
      </c>
      <c r="CV138" s="13">
        <f t="shared" si="149"/>
        <v>38.984634390835623</v>
      </c>
      <c r="CW138" s="20">
        <f t="shared" si="121"/>
        <v>332.26233823070532</v>
      </c>
      <c r="CX138" s="59">
        <f t="shared" si="122"/>
        <v>616.96209538059247</v>
      </c>
      <c r="CY138" s="59">
        <f ca="1">AVERAGE(OFFSET($CX$3,0,0,'Données projet'!$E$13+1,1))-AVERAGE(OFFSET($H$3,0,0,'Données projet'!$E$13+1,1))</f>
        <v>215.37314197175104</v>
      </c>
      <c r="CZ138" s="59">
        <f t="shared" si="150"/>
        <v>361.17630426655978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4.5882668484135563</v>
      </c>
      <c r="DG138" s="21">
        <f>EXP(-LN(2)/25)*DG137+(1-EXP(-LN(2)/25))/(LN(2)/25)*Calculateur!DB138*Calculateur!DD138*VLOOKUP('Données projet'!$B$13,Paramètres!$A$1:$I$89,3,0)*0.475*44/12</f>
        <v>5.2255597576835724</v>
      </c>
      <c r="DH138" s="21">
        <f>EXP(-LN(2)/2)*DH137+(1-EXP(-LN(2)/2))/(LN(2)/2)*DB138*DE138*VLOOKUP('Données projet'!$B$13,Paramètres!$A$1:$I$89,3,0)*0.475*44/12</f>
        <v>3.9810968528632442E-18</v>
      </c>
      <c r="DI138" s="22">
        <f t="shared" si="123"/>
        <v>9.8138266060971286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326.34876060074015</v>
      </c>
      <c r="S139" s="59">
        <f ca="1">AVERAGE(OFFSET($R$3,0,0,'Données projet'!$E$9+1,1))-AVERAGE(OFFSET($H$3,0,0,'Données projet'!$E$9+1,1))</f>
        <v>567.42635821336114</v>
      </c>
      <c r="T139" s="59">
        <f t="shared" si="142"/>
        <v>299.0473530693472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474.99999999999994</v>
      </c>
      <c r="AJ139" s="13">
        <f>AI139*VLOOKUP('Données projet'!$B$10,Paramètres!$A$1:$I$89,3,0)*VLOOKUP('Données projet'!$B$10,Paramètres!$A$1:$I$89,5,0)</f>
        <v>407.55</v>
      </c>
      <c r="AK139" s="13">
        <f t="shared" si="143"/>
        <v>93.305642095357683</v>
      </c>
      <c r="AL139" s="20">
        <f t="shared" si="112"/>
        <v>872.32357664941446</v>
      </c>
      <c r="AM139" s="59">
        <f t="shared" si="113"/>
        <v>1157.1731070442997</v>
      </c>
      <c r="AN139" s="59">
        <f ca="1">AVERAGE(OFFSET($AM$3,0,0,'Données projet'!$E$10+1,1))-AVERAGE(OFFSET($H$3,0,0,'Données projet'!$E$10+1,1))</f>
        <v>569.97793593332699</v>
      </c>
      <c r="AO139" s="59">
        <f t="shared" si="144"/>
        <v>331.25104323342907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89.029585179526237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89.029585179526237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16.750000000000213</v>
      </c>
      <c r="BE139" s="13">
        <f>BD139*VLOOKUP('Données projet'!$B$11,Paramètres!$A$1:$I$89,3,0)*VLOOKUP('Données projet'!$B$11,Paramètres!$A$1:$I$89,5,0)</f>
        <v>14.11020000000018</v>
      </c>
      <c r="BF139" s="13">
        <f t="shared" si="145"/>
        <v>4.7783677814795205</v>
      </c>
      <c r="BG139" s="20">
        <f t="shared" si="115"/>
        <v>32.897588886077138</v>
      </c>
      <c r="BH139" s="59">
        <f t="shared" si="116"/>
        <v>317.74711928096235</v>
      </c>
      <c r="BI139" s="59">
        <f ca="1">AVERAGE(OFFSET($BH$3,0,0,'Données projet'!$E$11+1,1))-AVERAGE(OFFSET($H$3,0,0,'Données projet'!$E$11+1,1))</f>
        <v>458.88102603650725</v>
      </c>
      <c r="BJ139" s="59">
        <f t="shared" si="146"/>
        <v>277.79020316059552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140.34987385959806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140.34987385959806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269.8175999999998</v>
      </c>
      <c r="CA139" s="13">
        <f t="shared" si="147"/>
        <v>64.810557882019467</v>
      </c>
      <c r="CB139" s="20">
        <f t="shared" si="118"/>
        <v>582.81070831118348</v>
      </c>
      <c r="CC139" s="59">
        <f t="shared" si="119"/>
        <v>867.66023870606864</v>
      </c>
      <c r="CD139" s="59">
        <f ca="1">AVERAGE(OFFSET($CC$3,0,0,'Données projet'!$E$12+1,1))-AVERAGE(OFFSET($H$3,0,0,'Données projet'!$E$12+1,1))</f>
        <v>400.48995908576177</v>
      </c>
      <c r="CE139" s="59">
        <f t="shared" si="148"/>
        <v>384.86917865380076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15.201393176750141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15.201393176750141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277.99999999999994</v>
      </c>
      <c r="CU139" s="17">
        <f>CT139*VLOOKUP('Données projet'!$B$13,Paramètres!$A$1:$I$89,3,0)*VLOOKUP('Données projet'!$B$13,Paramètres!$A$1:$I$89,5,0)</f>
        <v>151.78799999999998</v>
      </c>
      <c r="CV139" s="13">
        <f t="shared" si="149"/>
        <v>38.984634390835623</v>
      </c>
      <c r="CW139" s="20">
        <f t="shared" si="121"/>
        <v>332.26233823070532</v>
      </c>
      <c r="CX139" s="59">
        <f t="shared" si="122"/>
        <v>617.11186862559055</v>
      </c>
      <c r="CY139" s="59">
        <f ca="1">AVERAGE(OFFSET($CX$3,0,0,'Données projet'!$E$13+1,1))-AVERAGE(OFFSET($H$3,0,0,'Données projet'!$E$13+1,1))</f>
        <v>215.37314197175104</v>
      </c>
      <c r="CZ139" s="59">
        <f t="shared" si="150"/>
        <v>361.17630426655978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4.4982937340826084</v>
      </c>
      <c r="DG139" s="21">
        <f>EXP(-LN(2)/25)*DG138+(1-EXP(-LN(2)/25))/(LN(2)/25)*Calculateur!DB139*Calculateur!DD139*VLOOKUP('Données projet'!$B$13,Paramètres!$A$1:$I$89,3,0)*0.475*44/12</f>
        <v>5.0826665513094706</v>
      </c>
      <c r="DH139" s="21">
        <f>EXP(-LN(2)/2)*DH138+(1-EXP(-LN(2)/2))/(LN(2)/2)*DB139*DE139*VLOOKUP('Données projet'!$B$13,Paramètres!$A$1:$I$89,3,0)*0.475*44/12</f>
        <v>2.8150605812200231E-18</v>
      </c>
      <c r="DI139" s="22">
        <f t="shared" si="123"/>
        <v>9.580960285392079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326.49593561478031</v>
      </c>
      <c r="S140" s="59">
        <f ca="1">AVERAGE(OFFSET($R$3,0,0,'Données projet'!$E$9+1,1))-AVERAGE(OFFSET($H$3,0,0,'Données projet'!$E$9+1,1))</f>
        <v>567.42635821336114</v>
      </c>
      <c r="T140" s="59">
        <f t="shared" si="142"/>
        <v>299.0473530693472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474.99999999999994</v>
      </c>
      <c r="AJ140" s="13">
        <f>AI140*VLOOKUP('Données projet'!$B$10,Paramètres!$A$1:$I$89,3,0)*VLOOKUP('Données projet'!$B$10,Paramètres!$A$1:$I$89,5,0)</f>
        <v>407.55</v>
      </c>
      <c r="AK140" s="13">
        <f t="shared" si="143"/>
        <v>93.305642095357683</v>
      </c>
      <c r="AL140" s="20">
        <f t="shared" si="112"/>
        <v>872.32357664941446</v>
      </c>
      <c r="AM140" s="59">
        <f t="shared" si="113"/>
        <v>1157.3202820583399</v>
      </c>
      <c r="AN140" s="59">
        <f ca="1">AVERAGE(OFFSET($AM$3,0,0,'Données projet'!$E$10+1,1))-AVERAGE(OFFSET($H$3,0,0,'Données projet'!$E$10+1,1))</f>
        <v>569.97793593332699</v>
      </c>
      <c r="AO140" s="59">
        <f t="shared" si="144"/>
        <v>331.25104323342907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87.283769316840747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87.283769316840747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16.750000000000213</v>
      </c>
      <c r="BE140" s="13">
        <f>BD140*VLOOKUP('Données projet'!$B$11,Paramètres!$A$1:$I$89,3,0)*VLOOKUP('Données projet'!$B$11,Paramètres!$A$1:$I$89,5,0)</f>
        <v>14.11020000000018</v>
      </c>
      <c r="BF140" s="13">
        <f t="shared" si="145"/>
        <v>4.7783677814795205</v>
      </c>
      <c r="BG140" s="20">
        <f t="shared" si="115"/>
        <v>32.897588886077138</v>
      </c>
      <c r="BH140" s="59">
        <f t="shared" si="116"/>
        <v>317.89429429500251</v>
      </c>
      <c r="BI140" s="59">
        <f ca="1">AVERAGE(OFFSET($BH$3,0,0,'Données projet'!$E$11+1,1))-AVERAGE(OFFSET($H$3,0,0,'Données projet'!$E$11+1,1))</f>
        <v>458.88102603650725</v>
      </c>
      <c r="BJ140" s="59">
        <f t="shared" si="146"/>
        <v>277.79020316059552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137.59769843818162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137.59769843818162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269.8175999999998</v>
      </c>
      <c r="CA140" s="13">
        <f t="shared" si="147"/>
        <v>64.810557882019467</v>
      </c>
      <c r="CB140" s="20">
        <f t="shared" si="118"/>
        <v>582.81070831118348</v>
      </c>
      <c r="CC140" s="59">
        <f t="shared" si="119"/>
        <v>867.8074137201088</v>
      </c>
      <c r="CD140" s="59">
        <f ca="1">AVERAGE(OFFSET($CC$3,0,0,'Données projet'!$E$12+1,1))-AVERAGE(OFFSET($H$3,0,0,'Données projet'!$E$12+1,1))</f>
        <v>400.48995908576177</v>
      </c>
      <c r="CE140" s="59">
        <f t="shared" si="148"/>
        <v>384.86917865380076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14.903303128488382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14.903303128488382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277.99999999999994</v>
      </c>
      <c r="CU140" s="17">
        <f>CT140*VLOOKUP('Données projet'!$B$13,Paramètres!$A$1:$I$89,3,0)*VLOOKUP('Données projet'!$B$13,Paramètres!$A$1:$I$89,5,0)</f>
        <v>151.78799999999998</v>
      </c>
      <c r="CV140" s="13">
        <f t="shared" si="149"/>
        <v>38.984634390835623</v>
      </c>
      <c r="CW140" s="20">
        <f t="shared" si="121"/>
        <v>332.26233823070532</v>
      </c>
      <c r="CX140" s="59">
        <f t="shared" si="122"/>
        <v>617.2590436396307</v>
      </c>
      <c r="CY140" s="59">
        <f ca="1">AVERAGE(OFFSET($CX$3,0,0,'Données projet'!$E$13+1,1))-AVERAGE(OFFSET($H$3,0,0,'Données projet'!$E$13+1,1))</f>
        <v>215.37314197175104</v>
      </c>
      <c r="CZ140" s="59">
        <f t="shared" si="150"/>
        <v>361.17630426655978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4.4100849376455091</v>
      </c>
      <c r="DG140" s="21">
        <f>EXP(-LN(2)/25)*DG139+(1-EXP(-LN(2)/25))/(LN(2)/25)*Calculateur!DB140*Calculateur!DD140*VLOOKUP('Données projet'!$B$13,Paramètres!$A$1:$I$89,3,0)*0.475*44/12</f>
        <v>4.9436807671780958</v>
      </c>
      <c r="DH140" s="21">
        <f>EXP(-LN(2)/2)*DH139+(1-EXP(-LN(2)/2))/(LN(2)/2)*DB140*DE140*VLOOKUP('Données projet'!$B$13,Paramètres!$A$1:$I$89,3,0)*0.475*44/12</f>
        <v>1.9905484264316221E-18</v>
      </c>
      <c r="DI140" s="22">
        <f t="shared" si="123"/>
        <v>9.3537657048236049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326.64055747136086</v>
      </c>
      <c r="S141" s="59">
        <f ca="1">AVERAGE(OFFSET($R$3,0,0,'Données projet'!$E$9+1,1))-AVERAGE(OFFSET($H$3,0,0,'Données projet'!$E$9+1,1))</f>
        <v>567.42635821336114</v>
      </c>
      <c r="T141" s="59">
        <f t="shared" si="142"/>
        <v>299.0473530693472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474.99999999999994</v>
      </c>
      <c r="AJ141" s="13">
        <f>AI141*VLOOKUP('Données projet'!$B$10,Paramètres!$A$1:$I$89,3,0)*VLOOKUP('Données projet'!$B$10,Paramètres!$A$1:$I$89,5,0)</f>
        <v>407.55</v>
      </c>
      <c r="AK141" s="13">
        <f t="shared" si="143"/>
        <v>93.305642095357683</v>
      </c>
      <c r="AL141" s="20">
        <f t="shared" si="112"/>
        <v>872.32357664941446</v>
      </c>
      <c r="AM141" s="59">
        <f t="shared" si="113"/>
        <v>1157.4649039149203</v>
      </c>
      <c r="AN141" s="59">
        <f ca="1">AVERAGE(OFFSET($AM$3,0,0,'Données projet'!$E$10+1,1))-AVERAGE(OFFSET($H$3,0,0,'Données projet'!$E$10+1,1))</f>
        <v>569.97793593332699</v>
      </c>
      <c r="AO141" s="59">
        <f t="shared" si="144"/>
        <v>331.25104323342907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85.572187838379989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85.572187838379989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16.750000000000213</v>
      </c>
      <c r="BE141" s="13">
        <f>BD141*VLOOKUP('Données projet'!$B$11,Paramètres!$A$1:$I$89,3,0)*VLOOKUP('Données projet'!$B$11,Paramètres!$A$1:$I$89,5,0)</f>
        <v>14.11020000000018</v>
      </c>
      <c r="BF141" s="13">
        <f t="shared" si="145"/>
        <v>4.7783677814795205</v>
      </c>
      <c r="BG141" s="20">
        <f t="shared" si="115"/>
        <v>32.897588886077138</v>
      </c>
      <c r="BH141" s="59">
        <f t="shared" si="116"/>
        <v>318.03891615158307</v>
      </c>
      <c r="BI141" s="59">
        <f ca="1">AVERAGE(OFFSET($BH$3,0,0,'Données projet'!$E$11+1,1))-AVERAGE(OFFSET($H$3,0,0,'Données projet'!$E$11+1,1))</f>
        <v>458.88102603650725</v>
      </c>
      <c r="BJ141" s="59">
        <f t="shared" si="146"/>
        <v>277.79020316059552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134.8994914981179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134.8994914981179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269.8175999999998</v>
      </c>
      <c r="CA141" s="13">
        <f t="shared" si="147"/>
        <v>64.810557882019467</v>
      </c>
      <c r="CB141" s="20">
        <f t="shared" si="118"/>
        <v>582.81070831118348</v>
      </c>
      <c r="CC141" s="59">
        <f t="shared" si="119"/>
        <v>867.95203557668947</v>
      </c>
      <c r="CD141" s="59">
        <f ca="1">AVERAGE(OFFSET($CC$3,0,0,'Données projet'!$E$12+1,1))-AVERAGE(OFFSET($H$3,0,0,'Données projet'!$E$12+1,1))</f>
        <v>400.48995908576177</v>
      </c>
      <c r="CE141" s="59">
        <f t="shared" si="148"/>
        <v>384.86917865380076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14.611058444256059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14.611058444256059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277.99999999999994</v>
      </c>
      <c r="CU141" s="17">
        <f>CT141*VLOOKUP('Données projet'!$B$13,Paramètres!$A$1:$I$89,3,0)*VLOOKUP('Données projet'!$B$13,Paramètres!$A$1:$I$89,5,0)</f>
        <v>151.78799999999998</v>
      </c>
      <c r="CV141" s="13">
        <f t="shared" si="149"/>
        <v>38.984634390835623</v>
      </c>
      <c r="CW141" s="20">
        <f t="shared" si="121"/>
        <v>332.26233823070532</v>
      </c>
      <c r="CX141" s="59">
        <f t="shared" si="122"/>
        <v>617.40366549621126</v>
      </c>
      <c r="CY141" s="59">
        <f ca="1">AVERAGE(OFFSET($CX$3,0,0,'Données projet'!$E$13+1,1))-AVERAGE(OFFSET($H$3,0,0,'Données projet'!$E$13+1,1))</f>
        <v>215.37314197175104</v>
      </c>
      <c r="CZ141" s="59">
        <f t="shared" si="150"/>
        <v>361.17630426655978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4.3236058619044888</v>
      </c>
      <c r="DG141" s="21">
        <f>EXP(-LN(2)/25)*DG140+(1-EXP(-LN(2)/25))/(LN(2)/25)*Calculateur!DB141*Calculateur!DD141*VLOOKUP('Données projet'!$B$13,Paramètres!$A$1:$I$89,3,0)*0.475*44/12</f>
        <v>4.8084955566227379</v>
      </c>
      <c r="DH141" s="21">
        <f>EXP(-LN(2)/2)*DH140+(1-EXP(-LN(2)/2))/(LN(2)/2)*DB141*DE141*VLOOKUP('Données projet'!$B$13,Paramètres!$A$1:$I$89,3,0)*0.475*44/12</f>
        <v>1.4075302906100116E-18</v>
      </c>
      <c r="DI141" s="22">
        <f t="shared" si="123"/>
        <v>9.1321014185272276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326.78267046205582</v>
      </c>
      <c r="S142" s="59">
        <f ca="1">AVERAGE(OFFSET($R$3,0,0,'Données projet'!$E$9+1,1))-AVERAGE(OFFSET($H$3,0,0,'Données projet'!$E$9+1,1))</f>
        <v>567.42635821336114</v>
      </c>
      <c r="T142" s="59">
        <f t="shared" si="142"/>
        <v>299.0473530693472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474.99999999999994</v>
      </c>
      <c r="AJ142" s="13">
        <f>AI142*VLOOKUP('Données projet'!$B$10,Paramètres!$A$1:$I$89,3,0)*VLOOKUP('Données projet'!$B$10,Paramètres!$A$1:$I$89,5,0)</f>
        <v>407.55</v>
      </c>
      <c r="AK142" s="13">
        <f t="shared" si="143"/>
        <v>93.305642095357683</v>
      </c>
      <c r="AL142" s="20">
        <f t="shared" si="112"/>
        <v>872.32357664941446</v>
      </c>
      <c r="AM142" s="59">
        <f t="shared" si="113"/>
        <v>1157.6070169056154</v>
      </c>
      <c r="AN142" s="59">
        <f ca="1">AVERAGE(OFFSET($AM$3,0,0,'Données projet'!$E$10+1,1))-AVERAGE(OFFSET($H$3,0,0,'Données projet'!$E$10+1,1))</f>
        <v>569.97793593332699</v>
      </c>
      <c r="AO142" s="59">
        <f t="shared" si="144"/>
        <v>331.25104323342907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83.894169428750217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83.894169428750217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16.750000000000213</v>
      </c>
      <c r="BE142" s="13">
        <f>BD142*VLOOKUP('Données projet'!$B$11,Paramètres!$A$1:$I$89,3,0)*VLOOKUP('Données projet'!$B$11,Paramètres!$A$1:$I$89,5,0)</f>
        <v>14.11020000000018</v>
      </c>
      <c r="BF142" s="13">
        <f t="shared" si="145"/>
        <v>4.7783677814795205</v>
      </c>
      <c r="BG142" s="20">
        <f t="shared" si="115"/>
        <v>32.897588886077138</v>
      </c>
      <c r="BH142" s="59">
        <f t="shared" si="116"/>
        <v>318.18102914227802</v>
      </c>
      <c r="BI142" s="59">
        <f ca="1">AVERAGE(OFFSET($BH$3,0,0,'Données projet'!$E$11+1,1))-AVERAGE(OFFSET($H$3,0,0,'Données projet'!$E$11+1,1))</f>
        <v>458.88102603650725</v>
      </c>
      <c r="BJ142" s="59">
        <f t="shared" si="146"/>
        <v>277.79020316059552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132.25419475040508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132.25419475040508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269.8175999999998</v>
      </c>
      <c r="CA142" s="13">
        <f t="shared" si="147"/>
        <v>64.810557882019467</v>
      </c>
      <c r="CB142" s="20">
        <f t="shared" si="118"/>
        <v>582.81070831118348</v>
      </c>
      <c r="CC142" s="59">
        <f t="shared" si="119"/>
        <v>868.09414856738431</v>
      </c>
      <c r="CD142" s="59">
        <f ca="1">AVERAGE(OFFSET($CC$3,0,0,'Données projet'!$E$12+1,1))-AVERAGE(OFFSET($H$3,0,0,'Données projet'!$E$12+1,1))</f>
        <v>400.48995908576177</v>
      </c>
      <c r="CE142" s="59">
        <f t="shared" si="148"/>
        <v>384.86917865380076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14.324544500029875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14.324544500029875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277.99999999999994</v>
      </c>
      <c r="CU142" s="17">
        <f>CT142*VLOOKUP('Données projet'!$B$13,Paramètres!$A$1:$I$89,3,0)*VLOOKUP('Données projet'!$B$13,Paramètres!$A$1:$I$89,5,0)</f>
        <v>151.78799999999998</v>
      </c>
      <c r="CV142" s="13">
        <f t="shared" si="149"/>
        <v>38.984634390835623</v>
      </c>
      <c r="CW142" s="20">
        <f t="shared" si="121"/>
        <v>332.26233823070532</v>
      </c>
      <c r="CX142" s="59">
        <f t="shared" si="122"/>
        <v>617.54577848690622</v>
      </c>
      <c r="CY142" s="59">
        <f ca="1">AVERAGE(OFFSET($CX$3,0,0,'Données projet'!$E$13+1,1))-AVERAGE(OFFSET($H$3,0,0,'Données projet'!$E$13+1,1))</f>
        <v>215.37314197175104</v>
      </c>
      <c r="CZ142" s="59">
        <f t="shared" si="150"/>
        <v>361.17630426655978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4.2388225880917219</v>
      </c>
      <c r="DG142" s="21">
        <f>EXP(-LN(2)/25)*DG141+(1-EXP(-LN(2)/25))/(LN(2)/25)*Calculateur!DB142*Calculateur!DD142*VLOOKUP('Données projet'!$B$13,Paramètres!$A$1:$I$89,3,0)*0.475*44/12</f>
        <v>4.6770069927590976</v>
      </c>
      <c r="DH142" s="21">
        <f>EXP(-LN(2)/2)*DH141+(1-EXP(-LN(2)/2))/(LN(2)/2)*DB142*DE142*VLOOKUP('Données projet'!$B$13,Paramètres!$A$1:$I$89,3,0)*0.475*44/12</f>
        <v>9.9527421321581106E-19</v>
      </c>
      <c r="DI142" s="22">
        <f t="shared" si="123"/>
        <v>8.9158295808508186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326.92231811007929</v>
      </c>
      <c r="S143" s="59">
        <f ca="1">AVERAGE(OFFSET($R$3,0,0,'Données projet'!$E$9+1,1))-AVERAGE(OFFSET($H$3,0,0,'Données projet'!$E$9+1,1))</f>
        <v>567.42635821336114</v>
      </c>
      <c r="T143" s="59">
        <f t="shared" si="142"/>
        <v>299.0473530693472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474.99999999999994</v>
      </c>
      <c r="AJ143" s="13">
        <f>AI143*VLOOKUP('Données projet'!$B$10,Paramètres!$A$1:$I$89,3,0)*VLOOKUP('Données projet'!$B$10,Paramètres!$A$1:$I$89,5,0)</f>
        <v>407.55</v>
      </c>
      <c r="AK143" s="13">
        <f t="shared" si="143"/>
        <v>93.305642095357683</v>
      </c>
      <c r="AL143" s="20">
        <f t="shared" si="112"/>
        <v>872.32357664941446</v>
      </c>
      <c r="AM143" s="59">
        <f t="shared" si="113"/>
        <v>1157.7466645536388</v>
      </c>
      <c r="AN143" s="59">
        <f ca="1">AVERAGE(OFFSET($AM$3,0,0,'Données projet'!$E$10+1,1))-AVERAGE(OFFSET($H$3,0,0,'Données projet'!$E$10+1,1))</f>
        <v>569.97793593332699</v>
      </c>
      <c r="AO143" s="59">
        <f t="shared" si="144"/>
        <v>331.25104323342907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82.249055936643117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82.249055936643117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16.750000000000213</v>
      </c>
      <c r="BE143" s="13">
        <f>BD143*VLOOKUP('Données projet'!$B$11,Paramètres!$A$1:$I$89,3,0)*VLOOKUP('Données projet'!$B$11,Paramètres!$A$1:$I$89,5,0)</f>
        <v>14.11020000000018</v>
      </c>
      <c r="BF143" s="13">
        <f t="shared" si="145"/>
        <v>4.7783677814795205</v>
      </c>
      <c r="BG143" s="20">
        <f t="shared" si="115"/>
        <v>32.897588886077138</v>
      </c>
      <c r="BH143" s="59">
        <f t="shared" si="116"/>
        <v>318.32067679030149</v>
      </c>
      <c r="BI143" s="59">
        <f ca="1">AVERAGE(OFFSET($BH$3,0,0,'Données projet'!$E$11+1,1))-AVERAGE(OFFSET($H$3,0,0,'Données projet'!$E$11+1,1))</f>
        <v>458.88102603650725</v>
      </c>
      <c r="BJ143" s="59">
        <f t="shared" si="146"/>
        <v>277.79020316059552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129.66077065844323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129.66077065844323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269.8175999999998</v>
      </c>
      <c r="CA143" s="13">
        <f t="shared" si="147"/>
        <v>64.810557882019467</v>
      </c>
      <c r="CB143" s="20">
        <f t="shared" si="118"/>
        <v>582.81070831118348</v>
      </c>
      <c r="CC143" s="59">
        <f t="shared" si="119"/>
        <v>868.23379621540789</v>
      </c>
      <c r="CD143" s="59">
        <f ca="1">AVERAGE(OFFSET($CC$3,0,0,'Données projet'!$E$12+1,1))-AVERAGE(OFFSET($H$3,0,0,'Données projet'!$E$12+1,1))</f>
        <v>400.48995908576177</v>
      </c>
      <c r="CE143" s="59">
        <f t="shared" si="148"/>
        <v>384.86917865380076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14.043648919493716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14.043648919493716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277.99999999999994</v>
      </c>
      <c r="CU143" s="17">
        <f>CT143*VLOOKUP('Données projet'!$B$13,Paramètres!$A$1:$I$89,3,0)*VLOOKUP('Données projet'!$B$13,Paramètres!$A$1:$I$89,5,0)</f>
        <v>151.78799999999998</v>
      </c>
      <c r="CV143" s="13">
        <f t="shared" si="149"/>
        <v>38.984634390835623</v>
      </c>
      <c r="CW143" s="20">
        <f t="shared" si="121"/>
        <v>332.26233823070532</v>
      </c>
      <c r="CX143" s="59">
        <f t="shared" si="122"/>
        <v>617.68542613492968</v>
      </c>
      <c r="CY143" s="59">
        <f ca="1">AVERAGE(OFFSET($CX$3,0,0,'Données projet'!$E$13+1,1))-AVERAGE(OFFSET($H$3,0,0,'Données projet'!$E$13+1,1))</f>
        <v>215.37314197175104</v>
      </c>
      <c r="CZ143" s="59">
        <f t="shared" si="150"/>
        <v>361.17630426655978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4.1557018625657323</v>
      </c>
      <c r="DG143" s="21">
        <f>EXP(-LN(2)/25)*DG142+(1-EXP(-LN(2)/25))/(LN(2)/25)*Calculateur!DB143*Calculateur!DD143*VLOOKUP('Données projet'!$B$13,Paramètres!$A$1:$I$89,3,0)*0.475*44/12</f>
        <v>4.5491139905889915</v>
      </c>
      <c r="DH143" s="21">
        <f>EXP(-LN(2)/2)*DH142+(1-EXP(-LN(2)/2))/(LN(2)/2)*DB143*DE143*VLOOKUP('Données projet'!$B$13,Paramètres!$A$1:$I$89,3,0)*0.475*44/12</f>
        <v>7.0376514530500578E-19</v>
      </c>
      <c r="DI143" s="22">
        <f t="shared" si="123"/>
        <v>8.7048158531547237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327.05954318361495</v>
      </c>
      <c r="S144" s="59">
        <f ca="1">AVERAGE(OFFSET($R$3,0,0,'Données projet'!$E$9+1,1))-AVERAGE(OFFSET($H$3,0,0,'Données projet'!$E$9+1,1))</f>
        <v>567.42635821336114</v>
      </c>
      <c r="T144" s="59">
        <f t="shared" si="142"/>
        <v>299.0473530693472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474.99999999999994</v>
      </c>
      <c r="AJ144" s="13">
        <f>AI144*VLOOKUP('Données projet'!$B$10,Paramètres!$A$1:$I$89,3,0)*VLOOKUP('Données projet'!$B$10,Paramètres!$A$1:$I$89,5,0)</f>
        <v>407.55</v>
      </c>
      <c r="AK144" s="13">
        <f t="shared" si="143"/>
        <v>93.305642095357683</v>
      </c>
      <c r="AL144" s="20">
        <f t="shared" si="112"/>
        <v>872.32357664941446</v>
      </c>
      <c r="AM144" s="59">
        <f t="shared" si="113"/>
        <v>1157.8838896271745</v>
      </c>
      <c r="AN144" s="59">
        <f ca="1">AVERAGE(OFFSET($AM$3,0,0,'Données projet'!$E$10+1,1))-AVERAGE(OFFSET($H$3,0,0,'Données projet'!$E$10+1,1))</f>
        <v>569.97793593332699</v>
      </c>
      <c r="AO144" s="59">
        <f t="shared" si="144"/>
        <v>331.25104323342907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80.636202116696083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80.636202116696083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16.750000000000213</v>
      </c>
      <c r="BE144" s="13">
        <f>BD144*VLOOKUP('Données projet'!$B$11,Paramètres!$A$1:$I$89,3,0)*VLOOKUP('Données projet'!$B$11,Paramètres!$A$1:$I$89,5,0)</f>
        <v>14.11020000000018</v>
      </c>
      <c r="BF144" s="13">
        <f t="shared" si="145"/>
        <v>4.7783677814795205</v>
      </c>
      <c r="BG144" s="20">
        <f t="shared" si="115"/>
        <v>32.897588886077138</v>
      </c>
      <c r="BH144" s="59">
        <f t="shared" si="116"/>
        <v>318.45790186383715</v>
      </c>
      <c r="BI144" s="59">
        <f ca="1">AVERAGE(OFFSET($BH$3,0,0,'Données projet'!$E$11+1,1))-AVERAGE(OFFSET($H$3,0,0,'Données projet'!$E$11+1,1))</f>
        <v>458.88102603650725</v>
      </c>
      <c r="BJ144" s="59">
        <f t="shared" si="146"/>
        <v>277.79020316059552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127.11820203109224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127.11820203109224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269.8175999999998</v>
      </c>
      <c r="CA144" s="13">
        <f t="shared" si="147"/>
        <v>64.810557882019467</v>
      </c>
      <c r="CB144" s="20">
        <f t="shared" si="118"/>
        <v>582.81070831118348</v>
      </c>
      <c r="CC144" s="59">
        <f t="shared" si="119"/>
        <v>868.37102128894344</v>
      </c>
      <c r="CD144" s="59">
        <f ca="1">AVERAGE(OFFSET($CC$3,0,0,'Données projet'!$E$12+1,1))-AVERAGE(OFFSET($H$3,0,0,'Données projet'!$E$12+1,1))</f>
        <v>400.48995908576177</v>
      </c>
      <c r="CE144" s="59">
        <f t="shared" si="148"/>
        <v>384.86917865380076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13.768261529962485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13.768261529962485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277.99999999999994</v>
      </c>
      <c r="CU144" s="17">
        <f>CT144*VLOOKUP('Données projet'!$B$13,Paramètres!$A$1:$I$89,3,0)*VLOOKUP('Données projet'!$B$13,Paramètres!$A$1:$I$89,5,0)</f>
        <v>151.78799999999998</v>
      </c>
      <c r="CV144" s="13">
        <f t="shared" si="149"/>
        <v>38.984634390835623</v>
      </c>
      <c r="CW144" s="20">
        <f t="shared" si="121"/>
        <v>332.26233823070532</v>
      </c>
      <c r="CX144" s="59">
        <f t="shared" si="122"/>
        <v>617.82265120846535</v>
      </c>
      <c r="CY144" s="59">
        <f ca="1">AVERAGE(OFFSET($CX$3,0,0,'Données projet'!$E$13+1,1))-AVERAGE(OFFSET($H$3,0,0,'Données projet'!$E$13+1,1))</f>
        <v>215.37314197175104</v>
      </c>
      <c r="CZ144" s="59">
        <f t="shared" si="150"/>
        <v>361.17630426655978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4.0742110837686711</v>
      </c>
      <c r="DG144" s="21">
        <f>EXP(-LN(2)/25)*DG143+(1-EXP(-LN(2)/25))/(LN(2)/25)*Calculateur!DB144*Calculateur!DD144*VLOOKUP('Données projet'!$B$13,Paramètres!$A$1:$I$89,3,0)*0.475*44/12</f>
        <v>4.4247182292888283</v>
      </c>
      <c r="DH144" s="21">
        <f>EXP(-LN(2)/2)*DH143+(1-EXP(-LN(2)/2))/(LN(2)/2)*DB144*DE144*VLOOKUP('Données projet'!$B$13,Paramètres!$A$1:$I$89,3,0)*0.475*44/12</f>
        <v>4.9763710660790553E-19</v>
      </c>
      <c r="DI144" s="22">
        <f t="shared" si="123"/>
        <v>8.4989293130574985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327.19438770891401</v>
      </c>
      <c r="S145" s="59">
        <f ca="1">AVERAGE(OFFSET($R$3,0,0,'Données projet'!$E$9+1,1))-AVERAGE(OFFSET($H$3,0,0,'Données projet'!$E$9+1,1))</f>
        <v>567.42635821336114</v>
      </c>
      <c r="T145" s="59">
        <f t="shared" si="142"/>
        <v>299.0473530693472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474.99999999999994</v>
      </c>
      <c r="AJ145" s="13">
        <f>AI145*VLOOKUP('Données projet'!$B$10,Paramètres!$A$1:$I$89,3,0)*VLOOKUP('Données projet'!$B$10,Paramètres!$A$1:$I$89,5,0)</f>
        <v>407.55</v>
      </c>
      <c r="AK145" s="13">
        <f t="shared" si="143"/>
        <v>93.305642095357683</v>
      </c>
      <c r="AL145" s="20">
        <f t="shared" si="112"/>
        <v>872.32357664941446</v>
      </c>
      <c r="AM145" s="59">
        <f t="shared" si="113"/>
        <v>1158.0187341524736</v>
      </c>
      <c r="AN145" s="59">
        <f ca="1">AVERAGE(OFFSET($AM$3,0,0,'Données projet'!$E$10+1,1))-AVERAGE(OFFSET($H$3,0,0,'Données projet'!$E$10+1,1))</f>
        <v>569.97793593332699</v>
      </c>
      <c r="AO145" s="59">
        <f t="shared" si="144"/>
        <v>331.25104323342907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79.054975376414518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79.054975376414518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16.750000000000213</v>
      </c>
      <c r="BE145" s="13">
        <f>BD145*VLOOKUP('Données projet'!$B$11,Paramètres!$A$1:$I$89,3,0)*VLOOKUP('Données projet'!$B$11,Paramètres!$A$1:$I$89,5,0)</f>
        <v>14.11020000000018</v>
      </c>
      <c r="BF145" s="13">
        <f t="shared" si="145"/>
        <v>4.7783677814795205</v>
      </c>
      <c r="BG145" s="20">
        <f t="shared" si="115"/>
        <v>32.897588886077138</v>
      </c>
      <c r="BH145" s="59">
        <f t="shared" si="116"/>
        <v>318.59274638913621</v>
      </c>
      <c r="BI145" s="59">
        <f ca="1">AVERAGE(OFFSET($BH$3,0,0,'Données projet'!$E$11+1,1))-AVERAGE(OFFSET($H$3,0,0,'Données projet'!$E$11+1,1))</f>
        <v>458.88102603650725</v>
      </c>
      <c r="BJ145" s="59">
        <f t="shared" si="146"/>
        <v>277.79020316059552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124.62549162370986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124.62549162370986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269.8175999999998</v>
      </c>
      <c r="CA145" s="13">
        <f t="shared" si="147"/>
        <v>64.810557882019467</v>
      </c>
      <c r="CB145" s="20">
        <f t="shared" si="118"/>
        <v>582.81070831118348</v>
      </c>
      <c r="CC145" s="59">
        <f t="shared" si="119"/>
        <v>868.5058658142425</v>
      </c>
      <c r="CD145" s="59">
        <f ca="1">AVERAGE(OFFSET($CC$3,0,0,'Données projet'!$E$12+1,1))-AVERAGE(OFFSET($H$3,0,0,'Données projet'!$E$12+1,1))</f>
        <v>400.48995908576177</v>
      </c>
      <c r="CE145" s="59">
        <f t="shared" si="148"/>
        <v>384.86917865380076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13.498274319170239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13.498274319170239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277.99999999999994</v>
      </c>
      <c r="CU145" s="17">
        <f>CT145*VLOOKUP('Données projet'!$B$13,Paramètres!$A$1:$I$89,3,0)*VLOOKUP('Données projet'!$B$13,Paramètres!$A$1:$I$89,5,0)</f>
        <v>151.78799999999998</v>
      </c>
      <c r="CV145" s="13">
        <f t="shared" si="149"/>
        <v>38.984634390835623</v>
      </c>
      <c r="CW145" s="20">
        <f t="shared" si="121"/>
        <v>332.26233823070532</v>
      </c>
      <c r="CX145" s="59">
        <f t="shared" si="122"/>
        <v>617.9574957337644</v>
      </c>
      <c r="CY145" s="59">
        <f ca="1">AVERAGE(OFFSET($CX$3,0,0,'Données projet'!$E$13+1,1))-AVERAGE(OFFSET($H$3,0,0,'Données projet'!$E$13+1,1))</f>
        <v>215.37314197175104</v>
      </c>
      <c r="CZ145" s="59">
        <f t="shared" si="150"/>
        <v>361.17630426655978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3.9943182894393527</v>
      </c>
      <c r="DG145" s="21">
        <f>EXP(-LN(2)/25)*DG144+(1-EXP(-LN(2)/25))/(LN(2)/25)*Calculateur!DB145*Calculateur!DD145*VLOOKUP('Données projet'!$B$13,Paramètres!$A$1:$I$89,3,0)*0.475*44/12</f>
        <v>4.3037240766231069</v>
      </c>
      <c r="DH145" s="21">
        <f>EXP(-LN(2)/2)*DH144+(1-EXP(-LN(2)/2))/(LN(2)/2)*DB145*DE145*VLOOKUP('Données projet'!$B$13,Paramètres!$A$1:$I$89,3,0)*0.475*44/12</f>
        <v>3.5188257265250289E-19</v>
      </c>
      <c r="DI145" s="22">
        <f t="shared" si="123"/>
        <v>8.2980423660624592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327.32689298316637</v>
      </c>
      <c r="S146" s="59">
        <f ca="1">AVERAGE(OFFSET($R$3,0,0,'Données projet'!$E$9+1,1))-AVERAGE(OFFSET($H$3,0,0,'Données projet'!$E$9+1,1))</f>
        <v>567.42635821336114</v>
      </c>
      <c r="T146" s="59">
        <f t="shared" si="142"/>
        <v>299.0473530693472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474.99999999999994</v>
      </c>
      <c r="AJ146" s="13">
        <f>AI146*VLOOKUP('Données projet'!$B$10,Paramètres!$A$1:$I$89,3,0)*VLOOKUP('Données projet'!$B$10,Paramètres!$A$1:$I$89,5,0)</f>
        <v>407.55</v>
      </c>
      <c r="AK146" s="13">
        <f t="shared" si="143"/>
        <v>93.305642095357683</v>
      </c>
      <c r="AL146" s="20">
        <f t="shared" si="112"/>
        <v>872.32357664941446</v>
      </c>
      <c r="AM146" s="59">
        <f t="shared" si="113"/>
        <v>1158.1512394267259</v>
      </c>
      <c r="AN146" s="59">
        <f ca="1">AVERAGE(OFFSET($AM$3,0,0,'Données projet'!$E$10+1,1))-AVERAGE(OFFSET($H$3,0,0,'Données projet'!$E$10+1,1))</f>
        <v>569.97793593332699</v>
      </c>
      <c r="AO146" s="59">
        <f t="shared" si="144"/>
        <v>331.25104323342907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77.504755528056805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77.504755528056805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16.750000000000213</v>
      </c>
      <c r="BE146" s="13">
        <f>BD146*VLOOKUP('Données projet'!$B$11,Paramètres!$A$1:$I$89,3,0)*VLOOKUP('Données projet'!$B$11,Paramètres!$A$1:$I$89,5,0)</f>
        <v>14.11020000000018</v>
      </c>
      <c r="BF146" s="13">
        <f t="shared" si="145"/>
        <v>4.7783677814795205</v>
      </c>
      <c r="BG146" s="20">
        <f t="shared" si="115"/>
        <v>32.897588886077138</v>
      </c>
      <c r="BH146" s="59">
        <f t="shared" si="116"/>
        <v>318.72525166338858</v>
      </c>
      <c r="BI146" s="59">
        <f ca="1">AVERAGE(OFFSET($BH$3,0,0,'Données projet'!$E$11+1,1))-AVERAGE(OFFSET($H$3,0,0,'Données projet'!$E$11+1,1))</f>
        <v>458.88102603650725</v>
      </c>
      <c r="BJ146" s="59">
        <f t="shared" si="146"/>
        <v>277.79020316059552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122.18166174701304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122.18166174701304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269.8175999999998</v>
      </c>
      <c r="CA146" s="13">
        <f t="shared" si="147"/>
        <v>64.810557882019467</v>
      </c>
      <c r="CB146" s="20">
        <f t="shared" si="118"/>
        <v>582.81070831118348</v>
      </c>
      <c r="CC146" s="59">
        <f t="shared" si="119"/>
        <v>868.63837108849498</v>
      </c>
      <c r="CD146" s="59">
        <f ca="1">AVERAGE(OFFSET($CC$3,0,0,'Données projet'!$E$12+1,1))-AVERAGE(OFFSET($H$3,0,0,'Données projet'!$E$12+1,1))</f>
        <v>400.48995908576177</v>
      </c>
      <c r="CE146" s="59">
        <f t="shared" si="148"/>
        <v>384.86917865380076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13.233581392905691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13.233581392905691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277.99999999999994</v>
      </c>
      <c r="CU146" s="17">
        <f>CT146*VLOOKUP('Données projet'!$B$13,Paramètres!$A$1:$I$89,3,0)*VLOOKUP('Données projet'!$B$13,Paramètres!$A$1:$I$89,5,0)</f>
        <v>151.78799999999998</v>
      </c>
      <c r="CV146" s="13">
        <f t="shared" si="149"/>
        <v>38.984634390835623</v>
      </c>
      <c r="CW146" s="20">
        <f t="shared" si="121"/>
        <v>332.26233823070532</v>
      </c>
      <c r="CX146" s="59">
        <f t="shared" si="122"/>
        <v>618.09000100801677</v>
      </c>
      <c r="CY146" s="59">
        <f ca="1">AVERAGE(OFFSET($CX$3,0,0,'Données projet'!$E$13+1,1))-AVERAGE(OFFSET($H$3,0,0,'Données projet'!$E$13+1,1))</f>
        <v>215.37314197175104</v>
      </c>
      <c r="CZ146" s="59">
        <f t="shared" si="150"/>
        <v>361.17630426655978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3.9159921440770398</v>
      </c>
      <c r="DG146" s="21">
        <f>EXP(-LN(2)/25)*DG145+(1-EXP(-LN(2)/25))/(LN(2)/25)*Calculateur!DB146*Calculateur!DD146*VLOOKUP('Données projet'!$B$13,Paramètres!$A$1:$I$89,3,0)*0.475*44/12</f>
        <v>4.1860385154248352</v>
      </c>
      <c r="DH146" s="21">
        <f>EXP(-LN(2)/2)*DH145+(1-EXP(-LN(2)/2))/(LN(2)/2)*DB146*DE146*VLOOKUP('Données projet'!$B$13,Paramètres!$A$1:$I$89,3,0)*0.475*44/12</f>
        <v>2.4881855330395277E-19</v>
      </c>
      <c r="DI146" s="22">
        <f t="shared" si="123"/>
        <v>8.1020306595018745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327.45709958714781</v>
      </c>
      <c r="S147" s="59">
        <f ca="1">AVERAGE(OFFSET($R$3,0,0,'Données projet'!$E$9+1,1))-AVERAGE(OFFSET($H$3,0,0,'Données projet'!$E$9+1,1))</f>
        <v>567.42635821336114</v>
      </c>
      <c r="T147" s="59">
        <f t="shared" si="142"/>
        <v>299.0473530693472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474.99999999999994</v>
      </c>
      <c r="AJ147" s="13">
        <f>AI147*VLOOKUP('Données projet'!$B$10,Paramètres!$A$1:$I$89,3,0)*VLOOKUP('Données projet'!$B$10,Paramètres!$A$1:$I$89,5,0)</f>
        <v>407.55</v>
      </c>
      <c r="AK147" s="13">
        <f t="shared" si="143"/>
        <v>93.305642095357683</v>
      </c>
      <c r="AL147" s="20">
        <f t="shared" si="112"/>
        <v>872.32357664941446</v>
      </c>
      <c r="AM147" s="59">
        <f t="shared" si="113"/>
        <v>1158.2814460307072</v>
      </c>
      <c r="AN147" s="59">
        <f ca="1">AVERAGE(OFFSET($AM$3,0,0,'Données projet'!$E$10+1,1))-AVERAGE(OFFSET($H$3,0,0,'Données projet'!$E$10+1,1))</f>
        <v>569.97793593332699</v>
      </c>
      <c r="AO147" s="59">
        <f t="shared" si="144"/>
        <v>331.25104323342907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75.984934545384633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75.984934545384633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16.750000000000213</v>
      </c>
      <c r="BE147" s="13">
        <f>BD147*VLOOKUP('Données projet'!$B$11,Paramètres!$A$1:$I$89,3,0)*VLOOKUP('Données projet'!$B$11,Paramètres!$A$1:$I$89,5,0)</f>
        <v>14.11020000000018</v>
      </c>
      <c r="BF147" s="13">
        <f t="shared" si="145"/>
        <v>4.7783677814795205</v>
      </c>
      <c r="BG147" s="20">
        <f t="shared" si="115"/>
        <v>32.897588886077138</v>
      </c>
      <c r="BH147" s="59">
        <f t="shared" si="116"/>
        <v>318.85545826737001</v>
      </c>
      <c r="BI147" s="59">
        <f ca="1">AVERAGE(OFFSET($BH$3,0,0,'Données projet'!$E$11+1,1))-AVERAGE(OFFSET($H$3,0,0,'Données projet'!$E$11+1,1))</f>
        <v>458.88102603650725</v>
      </c>
      <c r="BJ147" s="59">
        <f t="shared" si="146"/>
        <v>277.79020316059552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119.7857538836092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119.7857538836092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269.8175999999998</v>
      </c>
      <c r="CA147" s="13">
        <f t="shared" si="147"/>
        <v>64.810557882019467</v>
      </c>
      <c r="CB147" s="20">
        <f t="shared" si="118"/>
        <v>582.81070831118348</v>
      </c>
      <c r="CC147" s="59">
        <f t="shared" si="119"/>
        <v>868.76857769247636</v>
      </c>
      <c r="CD147" s="59">
        <f ca="1">AVERAGE(OFFSET($CC$3,0,0,'Données projet'!$E$12+1,1))-AVERAGE(OFFSET($H$3,0,0,'Données projet'!$E$12+1,1))</f>
        <v>400.48995908576177</v>
      </c>
      <c r="CE147" s="59">
        <f t="shared" si="148"/>
        <v>384.86917865380076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12.974078933478447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12.974078933478447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277.99999999999994</v>
      </c>
      <c r="CU147" s="17">
        <f>CT147*VLOOKUP('Données projet'!$B$13,Paramètres!$A$1:$I$89,3,0)*VLOOKUP('Données projet'!$B$13,Paramètres!$A$1:$I$89,5,0)</f>
        <v>151.78799999999998</v>
      </c>
      <c r="CV147" s="13">
        <f t="shared" si="149"/>
        <v>38.984634390835623</v>
      </c>
      <c r="CW147" s="20">
        <f t="shared" si="121"/>
        <v>332.26233823070532</v>
      </c>
      <c r="CX147" s="59">
        <f t="shared" si="122"/>
        <v>618.22020761199815</v>
      </c>
      <c r="CY147" s="59">
        <f ca="1">AVERAGE(OFFSET($CX$3,0,0,'Données projet'!$E$13+1,1))-AVERAGE(OFFSET($H$3,0,0,'Données projet'!$E$13+1,1))</f>
        <v>215.37314197175104</v>
      </c>
      <c r="CZ147" s="59">
        <f t="shared" si="150"/>
        <v>361.17630426655978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3.8392019266510502</v>
      </c>
      <c r="DG147" s="21">
        <f>EXP(-LN(2)/25)*DG146+(1-EXP(-LN(2)/25))/(LN(2)/25)*Calculateur!DB147*Calculateur!DD147*VLOOKUP('Données projet'!$B$13,Paramètres!$A$1:$I$89,3,0)*0.475*44/12</f>
        <v>4.0715710720863445</v>
      </c>
      <c r="DH147" s="21">
        <f>EXP(-LN(2)/2)*DH146+(1-EXP(-LN(2)/2))/(LN(2)/2)*DB147*DE147*VLOOKUP('Données projet'!$B$13,Paramètres!$A$1:$I$89,3,0)*0.475*44/12</f>
        <v>1.7594128632625144E-19</v>
      </c>
      <c r="DI147" s="22">
        <f t="shared" si="123"/>
        <v>7.9107729987373947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327.58504739764851</v>
      </c>
      <c r="S148" s="59">
        <f ca="1">AVERAGE(OFFSET($R$3,0,0,'Données projet'!$E$9+1,1))-AVERAGE(OFFSET($H$3,0,0,'Données projet'!$E$9+1,1))</f>
        <v>567.42635821336114</v>
      </c>
      <c r="T148" s="59">
        <f t="shared" si="142"/>
        <v>299.0473530693472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474.99999999999994</v>
      </c>
      <c r="AJ148" s="13">
        <f>AI148*VLOOKUP('Données projet'!$B$10,Paramètres!$A$1:$I$89,3,0)*VLOOKUP('Données projet'!$B$10,Paramètres!$A$1:$I$89,5,0)</f>
        <v>407.55</v>
      </c>
      <c r="AK148" s="13">
        <f t="shared" si="143"/>
        <v>93.305642095357683</v>
      </c>
      <c r="AL148" s="20">
        <f t="shared" si="112"/>
        <v>872.32357664941446</v>
      </c>
      <c r="AM148" s="59">
        <f t="shared" si="113"/>
        <v>1158.4093938412079</v>
      </c>
      <c r="AN148" s="59">
        <f ca="1">AVERAGE(OFFSET($AM$3,0,0,'Données projet'!$E$10+1,1))-AVERAGE(OFFSET($H$3,0,0,'Données projet'!$E$10+1,1))</f>
        <v>569.97793593332699</v>
      </c>
      <c r="AO148" s="59">
        <f t="shared" si="144"/>
        <v>331.25104323342907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74.494916325183397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74.494916325183397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16.750000000000213</v>
      </c>
      <c r="BE148" s="13">
        <f>BD148*VLOOKUP('Données projet'!$B$11,Paramètres!$A$1:$I$89,3,0)*VLOOKUP('Données projet'!$B$11,Paramètres!$A$1:$I$89,5,0)</f>
        <v>14.11020000000018</v>
      </c>
      <c r="BF148" s="13">
        <f t="shared" si="145"/>
        <v>4.7783677814795205</v>
      </c>
      <c r="BG148" s="20">
        <f t="shared" si="115"/>
        <v>32.897588886077138</v>
      </c>
      <c r="BH148" s="59">
        <f t="shared" si="116"/>
        <v>318.98340607787071</v>
      </c>
      <c r="BI148" s="59">
        <f ca="1">AVERAGE(OFFSET($BH$3,0,0,'Données projet'!$E$11+1,1))-AVERAGE(OFFSET($H$3,0,0,'Données projet'!$E$11+1,1))</f>
        <v>458.88102603650725</v>
      </c>
      <c r="BJ148" s="59">
        <f t="shared" si="146"/>
        <v>277.79020316059552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117.43682831204721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117.43682831204721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269.8175999999998</v>
      </c>
      <c r="CA148" s="13">
        <f t="shared" si="147"/>
        <v>64.810557882019467</v>
      </c>
      <c r="CB148" s="20">
        <f t="shared" si="118"/>
        <v>582.81070831118348</v>
      </c>
      <c r="CC148" s="59">
        <f t="shared" si="119"/>
        <v>868.89652550297706</v>
      </c>
      <c r="CD148" s="59">
        <f ca="1">AVERAGE(OFFSET($CC$3,0,0,'Données projet'!$E$12+1,1))-AVERAGE(OFFSET($H$3,0,0,'Données projet'!$E$12+1,1))</f>
        <v>400.48995908576177</v>
      </c>
      <c r="CE148" s="59">
        <f t="shared" si="148"/>
        <v>384.86917865380076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12.7196651589997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12.7196651589997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277.99999999999994</v>
      </c>
      <c r="CU148" s="17">
        <f>CT148*VLOOKUP('Données projet'!$B$13,Paramètres!$A$1:$I$89,3,0)*VLOOKUP('Données projet'!$B$13,Paramètres!$A$1:$I$89,5,0)</f>
        <v>151.78799999999998</v>
      </c>
      <c r="CV148" s="13">
        <f t="shared" si="149"/>
        <v>38.984634390835623</v>
      </c>
      <c r="CW148" s="20">
        <f t="shared" si="121"/>
        <v>332.26233823070532</v>
      </c>
      <c r="CX148" s="59">
        <f t="shared" si="122"/>
        <v>618.34815542249885</v>
      </c>
      <c r="CY148" s="59">
        <f ca="1">AVERAGE(OFFSET($CX$3,0,0,'Données projet'!$E$13+1,1))-AVERAGE(OFFSET($H$3,0,0,'Données projet'!$E$13+1,1))</f>
        <v>215.37314197175104</v>
      </c>
      <c r="CZ148" s="59">
        <f t="shared" si="150"/>
        <v>361.17630426655978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3.7639175185513767</v>
      </c>
      <c r="DG148" s="21">
        <f>EXP(-LN(2)/25)*DG147+(1-EXP(-LN(2)/25))/(LN(2)/25)*Calculateur!DB148*Calculateur!DD148*VLOOKUP('Données projet'!$B$13,Paramètres!$A$1:$I$89,3,0)*0.475*44/12</f>
        <v>3.9602337470055264</v>
      </c>
      <c r="DH148" s="21">
        <f>EXP(-LN(2)/2)*DH147+(1-EXP(-LN(2)/2))/(LN(2)/2)*DB148*DE148*VLOOKUP('Données projet'!$B$13,Paramètres!$A$1:$I$89,3,0)*0.475*44/12</f>
        <v>1.2440927665197638E-19</v>
      </c>
      <c r="DI148" s="22">
        <f t="shared" si="123"/>
        <v>7.7241512655569036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327.71077559968558</v>
      </c>
      <c r="S149" s="59">
        <f ca="1">AVERAGE(OFFSET($R$3,0,0,'Données projet'!$E$9+1,1))-AVERAGE(OFFSET($H$3,0,0,'Données projet'!$E$9+1,1))</f>
        <v>567.42635821336114</v>
      </c>
      <c r="T149" s="59">
        <f t="shared" si="142"/>
        <v>299.0473530693472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474.99999999999994</v>
      </c>
      <c r="AJ149" s="13">
        <f>AI149*VLOOKUP('Données projet'!$B$10,Paramètres!$A$1:$I$89,3,0)*VLOOKUP('Données projet'!$B$10,Paramètres!$A$1:$I$89,5,0)</f>
        <v>407.55</v>
      </c>
      <c r="AK149" s="13">
        <f t="shared" si="143"/>
        <v>93.305642095357683</v>
      </c>
      <c r="AL149" s="20">
        <f t="shared" si="112"/>
        <v>872.32357664941446</v>
      </c>
      <c r="AM149" s="59">
        <f t="shared" si="113"/>
        <v>1158.5351220432451</v>
      </c>
      <c r="AN149" s="59">
        <f ca="1">AVERAGE(OFFSET($AM$3,0,0,'Données projet'!$E$10+1,1))-AVERAGE(OFFSET($H$3,0,0,'Données projet'!$E$10+1,1))</f>
        <v>569.97793593332699</v>
      </c>
      <c r="AO149" s="59">
        <f t="shared" si="144"/>
        <v>331.25104323342907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73.034116453458935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73.034116453458935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16.750000000000213</v>
      </c>
      <c r="BE149" s="13">
        <f>BD149*VLOOKUP('Données projet'!$B$11,Paramètres!$A$1:$I$89,3,0)*VLOOKUP('Données projet'!$B$11,Paramètres!$A$1:$I$89,5,0)</f>
        <v>14.11020000000018</v>
      </c>
      <c r="BF149" s="13">
        <f t="shared" si="145"/>
        <v>4.7783677814795205</v>
      </c>
      <c r="BG149" s="20">
        <f t="shared" si="115"/>
        <v>32.897588886077138</v>
      </c>
      <c r="BH149" s="59">
        <f t="shared" si="116"/>
        <v>319.10913427990778</v>
      </c>
      <c r="BI149" s="59">
        <f ca="1">AVERAGE(OFFSET($BH$3,0,0,'Données projet'!$E$11+1,1))-AVERAGE(OFFSET($H$3,0,0,'Données projet'!$E$11+1,1))</f>
        <v>458.88102603650725</v>
      </c>
      <c r="BJ149" s="59">
        <f t="shared" si="146"/>
        <v>277.79020316059552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115.13396373824042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115.13396373824042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269.8175999999998</v>
      </c>
      <c r="CA149" s="13">
        <f t="shared" si="147"/>
        <v>64.810557882019467</v>
      </c>
      <c r="CB149" s="20">
        <f t="shared" si="118"/>
        <v>582.81070831118348</v>
      </c>
      <c r="CC149" s="59">
        <f t="shared" si="119"/>
        <v>869.02225370501412</v>
      </c>
      <c r="CD149" s="59">
        <f ca="1">AVERAGE(OFFSET($CC$3,0,0,'Données projet'!$E$12+1,1))-AVERAGE(OFFSET($H$3,0,0,'Données projet'!$E$12+1,1))</f>
        <v>400.48995908576177</v>
      </c>
      <c r="CE149" s="59">
        <f t="shared" si="148"/>
        <v>384.86917865380076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12.470240283461401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12.470240283461401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277.99999999999994</v>
      </c>
      <c r="CU149" s="17">
        <f>CT149*VLOOKUP('Données projet'!$B$13,Paramètres!$A$1:$I$89,3,0)*VLOOKUP('Données projet'!$B$13,Paramètres!$A$1:$I$89,5,0)</f>
        <v>151.78799999999998</v>
      </c>
      <c r="CV149" s="13">
        <f t="shared" si="149"/>
        <v>38.984634390835623</v>
      </c>
      <c r="CW149" s="20">
        <f t="shared" si="121"/>
        <v>332.26233823070532</v>
      </c>
      <c r="CX149" s="59">
        <f t="shared" si="122"/>
        <v>618.47388362453603</v>
      </c>
      <c r="CY149" s="59">
        <f ca="1">AVERAGE(OFFSET($CX$3,0,0,'Données projet'!$E$13+1,1))-AVERAGE(OFFSET($H$3,0,0,'Données projet'!$E$13+1,1))</f>
        <v>215.37314197175104</v>
      </c>
      <c r="CZ149" s="59">
        <f t="shared" si="150"/>
        <v>361.17630426655978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3.6901093917755827</v>
      </c>
      <c r="DG149" s="21">
        <f>EXP(-LN(2)/25)*DG148+(1-EXP(-LN(2)/25))/(LN(2)/25)*Calculateur!DB149*Calculateur!DD149*VLOOKUP('Données projet'!$B$13,Paramètres!$A$1:$I$89,3,0)*0.475*44/12</f>
        <v>3.8519409469340187</v>
      </c>
      <c r="DH149" s="21">
        <f>EXP(-LN(2)/2)*DH148+(1-EXP(-LN(2)/2))/(LN(2)/2)*DB149*DE149*VLOOKUP('Données projet'!$B$13,Paramètres!$A$1:$I$89,3,0)*0.475*44/12</f>
        <v>8.7970643163125722E-20</v>
      </c>
      <c r="DI149" s="22">
        <f t="shared" si="123"/>
        <v>7.5420503387096014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327.83432269850334</v>
      </c>
      <c r="S150" s="59">
        <f ca="1">AVERAGE(OFFSET($R$3,0,0,'Données projet'!$E$9+1,1))-AVERAGE(OFFSET($H$3,0,0,'Données projet'!$E$9+1,1))</f>
        <v>567.42635821336114</v>
      </c>
      <c r="T150" s="59">
        <f t="shared" si="142"/>
        <v>299.0473530693472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474.99999999999994</v>
      </c>
      <c r="AJ150" s="13">
        <f>AI150*VLOOKUP('Données projet'!$B$10,Paramètres!$A$1:$I$89,3,0)*VLOOKUP('Données projet'!$B$10,Paramètres!$A$1:$I$89,5,0)</f>
        <v>407.55</v>
      </c>
      <c r="AK150" s="13">
        <f t="shared" si="143"/>
        <v>93.305642095357683</v>
      </c>
      <c r="AL150" s="20">
        <f t="shared" si="112"/>
        <v>872.32357664941446</v>
      </c>
      <c r="AM150" s="59">
        <f t="shared" si="113"/>
        <v>1158.658669142063</v>
      </c>
      <c r="AN150" s="59">
        <f ca="1">AVERAGE(OFFSET($AM$3,0,0,'Données projet'!$E$10+1,1))-AVERAGE(OFFSET($H$3,0,0,'Données projet'!$E$10+1,1))</f>
        <v>569.97793593332699</v>
      </c>
      <c r="AO150" s="59">
        <f t="shared" si="144"/>
        <v>331.25104323342907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71.601961976219044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71.601961976219044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16.750000000000213</v>
      </c>
      <c r="BE150" s="13">
        <f>BD150*VLOOKUP('Données projet'!$B$11,Paramètres!$A$1:$I$89,3,0)*VLOOKUP('Données projet'!$B$11,Paramètres!$A$1:$I$89,5,0)</f>
        <v>14.11020000000018</v>
      </c>
      <c r="BF150" s="13">
        <f t="shared" si="145"/>
        <v>4.7783677814795205</v>
      </c>
      <c r="BG150" s="20">
        <f t="shared" si="115"/>
        <v>32.897588886077138</v>
      </c>
      <c r="BH150" s="59">
        <f t="shared" si="116"/>
        <v>319.23268137872554</v>
      </c>
      <c r="BI150" s="59">
        <f ca="1">AVERAGE(OFFSET($BH$3,0,0,'Données projet'!$E$11+1,1))-AVERAGE(OFFSET($H$3,0,0,'Données projet'!$E$11+1,1))</f>
        <v>458.88102603650725</v>
      </c>
      <c r="BJ150" s="59">
        <f t="shared" si="146"/>
        <v>277.79020316059552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112.87625693411729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112.87625693411729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269.8175999999998</v>
      </c>
      <c r="CA150" s="13">
        <f t="shared" si="147"/>
        <v>64.810557882019467</v>
      </c>
      <c r="CB150" s="20">
        <f t="shared" si="118"/>
        <v>582.81070831118348</v>
      </c>
      <c r="CC150" s="59">
        <f t="shared" si="119"/>
        <v>869.14580080383189</v>
      </c>
      <c r="CD150" s="59">
        <f ca="1">AVERAGE(OFFSET($CC$3,0,0,'Données projet'!$E$12+1,1))-AVERAGE(OFFSET($H$3,0,0,'Données projet'!$E$12+1,1))</f>
        <v>400.48995908576177</v>
      </c>
      <c r="CE150" s="59">
        <f t="shared" si="148"/>
        <v>384.86917865380076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12.225706477598257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12.225706477598257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277.99999999999994</v>
      </c>
      <c r="CU150" s="17">
        <f>CT150*VLOOKUP('Données projet'!$B$13,Paramètres!$A$1:$I$89,3,0)*VLOOKUP('Données projet'!$B$13,Paramètres!$A$1:$I$89,5,0)</f>
        <v>151.78799999999998</v>
      </c>
      <c r="CV150" s="13">
        <f t="shared" si="149"/>
        <v>38.984634390835623</v>
      </c>
      <c r="CW150" s="20">
        <f t="shared" si="121"/>
        <v>332.26233823070532</v>
      </c>
      <c r="CX150" s="59">
        <f t="shared" si="122"/>
        <v>618.59743072335368</v>
      </c>
      <c r="CY150" s="59">
        <f ca="1">AVERAGE(OFFSET($CX$3,0,0,'Données projet'!$E$13+1,1))-AVERAGE(OFFSET($H$3,0,0,'Données projet'!$E$13+1,1))</f>
        <v>215.37314197175104</v>
      </c>
      <c r="CZ150" s="59">
        <f t="shared" si="150"/>
        <v>361.17630426655978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3.61774859734735</v>
      </c>
      <c r="DG150" s="21">
        <f>EXP(-LN(2)/25)*DG149+(1-EXP(-LN(2)/25))/(LN(2)/25)*Calculateur!DB150*Calculateur!DD150*VLOOKUP('Données projet'!$B$13,Paramètres!$A$1:$I$89,3,0)*0.475*44/12</f>
        <v>3.7466094191753374</v>
      </c>
      <c r="DH150" s="21">
        <f>EXP(-LN(2)/2)*DH149+(1-EXP(-LN(2)/2))/(LN(2)/2)*DB150*DE150*VLOOKUP('Données projet'!$B$13,Paramètres!$A$1:$I$89,3,0)*0.475*44/12</f>
        <v>6.2204638325988191E-20</v>
      </c>
      <c r="DI150" s="22">
        <f t="shared" si="123"/>
        <v>7.3643580165226874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327.95572653136662</v>
      </c>
      <c r="S151" s="59">
        <f ca="1">AVERAGE(OFFSET($R$3,0,0,'Données projet'!$E$9+1,1))-AVERAGE(OFFSET($H$3,0,0,'Données projet'!$E$9+1,1))</f>
        <v>567.42635821336114</v>
      </c>
      <c r="T151" s="59">
        <f t="shared" si="142"/>
        <v>299.0473530693472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474.99999999999994</v>
      </c>
      <c r="AJ151" s="13">
        <f>AI151*VLOOKUP('Données projet'!$B$10,Paramètres!$A$1:$I$89,3,0)*VLOOKUP('Données projet'!$B$10,Paramètres!$A$1:$I$89,5,0)</f>
        <v>407.55</v>
      </c>
      <c r="AK151" s="13">
        <f t="shared" si="143"/>
        <v>93.305642095357683</v>
      </c>
      <c r="AL151" s="20">
        <f t="shared" si="112"/>
        <v>872.32357664941446</v>
      </c>
      <c r="AM151" s="59">
        <f t="shared" si="113"/>
        <v>1158.780072974926</v>
      </c>
      <c r="AN151" s="59">
        <f ca="1">AVERAGE(OFFSET($AM$3,0,0,'Données projet'!$E$10+1,1))-AVERAGE(OFFSET($H$3,0,0,'Données projet'!$E$10+1,1))</f>
        <v>569.97793593332699</v>
      </c>
      <c r="AO151" s="59">
        <f t="shared" si="144"/>
        <v>331.25104323342907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70.197891174749856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70.197891174749856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16.750000000000213</v>
      </c>
      <c r="BE151" s="13">
        <f>BD151*VLOOKUP('Données projet'!$B$11,Paramètres!$A$1:$I$89,3,0)*VLOOKUP('Données projet'!$B$11,Paramètres!$A$1:$I$89,5,0)</f>
        <v>14.11020000000018</v>
      </c>
      <c r="BF151" s="13">
        <f t="shared" si="145"/>
        <v>4.7783677814795205</v>
      </c>
      <c r="BG151" s="20">
        <f t="shared" si="115"/>
        <v>32.897588886077138</v>
      </c>
      <c r="BH151" s="59">
        <f t="shared" si="116"/>
        <v>319.35408521158882</v>
      </c>
      <c r="BI151" s="59">
        <f ca="1">AVERAGE(OFFSET($BH$3,0,0,'Données projet'!$E$11+1,1))-AVERAGE(OFFSET($H$3,0,0,'Données projet'!$E$11+1,1))</f>
        <v>458.88102603650725</v>
      </c>
      <c r="BJ151" s="59">
        <f t="shared" si="146"/>
        <v>277.79020316059552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110.66282238335783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110.66282238335783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269.8175999999998</v>
      </c>
      <c r="CA151" s="13">
        <f t="shared" si="147"/>
        <v>64.810557882019467</v>
      </c>
      <c r="CB151" s="20">
        <f t="shared" si="118"/>
        <v>582.81070831118348</v>
      </c>
      <c r="CC151" s="59">
        <f t="shared" si="119"/>
        <v>869.26720463669517</v>
      </c>
      <c r="CD151" s="59">
        <f ca="1">AVERAGE(OFFSET($CC$3,0,0,'Données projet'!$E$12+1,1))-AVERAGE(OFFSET($H$3,0,0,'Données projet'!$E$12+1,1))</f>
        <v>400.48995908576177</v>
      </c>
      <c r="CE151" s="59">
        <f t="shared" si="148"/>
        <v>384.86917865380076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11.985967830517193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11.985967830517193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277.99999999999994</v>
      </c>
      <c r="CU151" s="17">
        <f>CT151*VLOOKUP('Données projet'!$B$13,Paramètres!$A$1:$I$89,3,0)*VLOOKUP('Données projet'!$B$13,Paramètres!$A$1:$I$89,5,0)</f>
        <v>151.78799999999998</v>
      </c>
      <c r="CV151" s="13">
        <f t="shared" si="149"/>
        <v>38.984634390835623</v>
      </c>
      <c r="CW151" s="20">
        <f t="shared" si="121"/>
        <v>332.26233823070532</v>
      </c>
      <c r="CX151" s="59">
        <f t="shared" si="122"/>
        <v>618.71883455621696</v>
      </c>
      <c r="CY151" s="59">
        <f ca="1">AVERAGE(OFFSET($CX$3,0,0,'Données projet'!$E$13+1,1))-AVERAGE(OFFSET($H$3,0,0,'Données projet'!$E$13+1,1))</f>
        <v>215.37314197175104</v>
      </c>
      <c r="CZ151" s="59">
        <f t="shared" si="150"/>
        <v>361.17630426655978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3.5468067539621284</v>
      </c>
      <c r="DG151" s="21">
        <f>EXP(-LN(2)/25)*DG150+(1-EXP(-LN(2)/25))/(LN(2)/25)*Calculateur!DB151*Calculateur!DD151*VLOOKUP('Données projet'!$B$13,Paramètres!$A$1:$I$89,3,0)*0.475*44/12</f>
        <v>3.6441581875823617</v>
      </c>
      <c r="DH151" s="21">
        <f>EXP(-LN(2)/2)*DH150+(1-EXP(-LN(2)/2))/(LN(2)/2)*DB151*DE151*VLOOKUP('Données projet'!$B$13,Paramètres!$A$1:$I$89,3,0)*0.475*44/12</f>
        <v>4.3985321581562861E-20</v>
      </c>
      <c r="DI151" s="22">
        <f t="shared" si="123"/>
        <v>7.1909649415444896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328.07502427914801</v>
      </c>
      <c r="S152" s="59">
        <f ca="1">AVERAGE(OFFSET($R$3,0,0,'Données projet'!$E$9+1,1))-AVERAGE(OFFSET($H$3,0,0,'Données projet'!$E$9+1,1))</f>
        <v>567.42635821336114</v>
      </c>
      <c r="T152" s="59">
        <f t="shared" si="142"/>
        <v>299.0473530693472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474.99999999999994</v>
      </c>
      <c r="AJ152" s="13">
        <f>AI152*VLOOKUP('Données projet'!$B$10,Paramètres!$A$1:$I$89,3,0)*VLOOKUP('Données projet'!$B$10,Paramètres!$A$1:$I$89,5,0)</f>
        <v>407.55</v>
      </c>
      <c r="AK152" s="13">
        <f t="shared" si="143"/>
        <v>93.305642095357683</v>
      </c>
      <c r="AL152" s="20">
        <f t="shared" si="112"/>
        <v>872.32357664941446</v>
      </c>
      <c r="AM152" s="59">
        <f t="shared" si="113"/>
        <v>1158.8993707227075</v>
      </c>
      <c r="AN152" s="59">
        <f ca="1">AVERAGE(OFFSET($AM$3,0,0,'Données projet'!$E$10+1,1))-AVERAGE(OFFSET($H$3,0,0,'Données projet'!$E$10+1,1))</f>
        <v>569.97793593332699</v>
      </c>
      <c r="AO152" s="59">
        <f t="shared" si="144"/>
        <v>331.25104323342907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68.821353345298846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68.821353345298846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16.750000000000213</v>
      </c>
      <c r="BE152" s="13">
        <f>BD152*VLOOKUP('Données projet'!$B$11,Paramètres!$A$1:$I$89,3,0)*VLOOKUP('Données projet'!$B$11,Paramètres!$A$1:$I$89,5,0)</f>
        <v>14.11020000000018</v>
      </c>
      <c r="BF152" s="13">
        <f t="shared" si="145"/>
        <v>4.7783677814795205</v>
      </c>
      <c r="BG152" s="20">
        <f t="shared" si="115"/>
        <v>32.897588886077138</v>
      </c>
      <c r="BH152" s="59">
        <f t="shared" si="116"/>
        <v>319.47338295937021</v>
      </c>
      <c r="BI152" s="59">
        <f ca="1">AVERAGE(OFFSET($BH$3,0,0,'Données projet'!$E$11+1,1))-AVERAGE(OFFSET($H$3,0,0,'Données projet'!$E$11+1,1))</f>
        <v>458.88102603650725</v>
      </c>
      <c r="BJ152" s="59">
        <f t="shared" si="146"/>
        <v>277.79020316059552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108.492791934077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108.492791934077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269.8175999999998</v>
      </c>
      <c r="CA152" s="13">
        <f t="shared" si="147"/>
        <v>64.810557882019467</v>
      </c>
      <c r="CB152" s="20">
        <f t="shared" si="118"/>
        <v>582.81070831118348</v>
      </c>
      <c r="CC152" s="59">
        <f t="shared" si="119"/>
        <v>869.38650238447656</v>
      </c>
      <c r="CD152" s="59">
        <f ca="1">AVERAGE(OFFSET($CC$3,0,0,'Données projet'!$E$12+1,1))-AVERAGE(OFFSET($H$3,0,0,'Données projet'!$E$12+1,1))</f>
        <v>400.48995908576177</v>
      </c>
      <c r="CE152" s="59">
        <f t="shared" si="148"/>
        <v>384.86917865380076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11.750930312079253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11.750930312079253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277.99999999999994</v>
      </c>
      <c r="CU152" s="17">
        <f>CT152*VLOOKUP('Données projet'!$B$13,Paramètres!$A$1:$I$89,3,0)*VLOOKUP('Données projet'!$B$13,Paramètres!$A$1:$I$89,5,0)</f>
        <v>151.78799999999998</v>
      </c>
      <c r="CV152" s="13">
        <f t="shared" si="149"/>
        <v>38.984634390835623</v>
      </c>
      <c r="CW152" s="20">
        <f t="shared" si="121"/>
        <v>332.26233823070532</v>
      </c>
      <c r="CX152" s="59">
        <f t="shared" si="122"/>
        <v>618.83813230399846</v>
      </c>
      <c r="CY152" s="59">
        <f ca="1">AVERAGE(OFFSET($CX$3,0,0,'Données projet'!$E$13+1,1))-AVERAGE(OFFSET($H$3,0,0,'Données projet'!$E$13+1,1))</f>
        <v>215.37314197175104</v>
      </c>
      <c r="CZ152" s="59">
        <f t="shared" si="150"/>
        <v>361.17630426655978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3.4772560368554393</v>
      </c>
      <c r="DG152" s="21">
        <f>EXP(-LN(2)/25)*DG151+(1-EXP(-LN(2)/25))/(LN(2)/25)*Calculateur!DB152*Calculateur!DD152*VLOOKUP('Données projet'!$B$13,Paramètres!$A$1:$I$89,3,0)*0.475*44/12</f>
        <v>3.5445084903049717</v>
      </c>
      <c r="DH152" s="21">
        <f>EXP(-LN(2)/2)*DH151+(1-EXP(-LN(2)/2))/(LN(2)/2)*DB152*DE152*VLOOKUP('Données projet'!$B$13,Paramètres!$A$1:$I$89,3,0)*0.475*44/12</f>
        <v>3.1102319162994096E-20</v>
      </c>
      <c r="DI152" s="22">
        <f t="shared" si="123"/>
        <v>7.0217645271604106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328.19225247771527</v>
      </c>
      <c r="S153" s="59">
        <f ca="1">AVERAGE(OFFSET($R$3,0,0,'Données projet'!$E$9+1,1))-AVERAGE(OFFSET($H$3,0,0,'Données projet'!$E$9+1,1))</f>
        <v>567.42635821336114</v>
      </c>
      <c r="T153" s="59">
        <f t="shared" si="142"/>
        <v>299.0473530693472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474.99999999999994</v>
      </c>
      <c r="AJ153" s="13">
        <f>AI153*VLOOKUP('Données projet'!$B$10,Paramètres!$A$1:$I$89,3,0)*VLOOKUP('Données projet'!$B$10,Paramètres!$A$1:$I$89,5,0)</f>
        <v>407.55</v>
      </c>
      <c r="AK153" s="13">
        <f t="shared" si="143"/>
        <v>93.305642095357683</v>
      </c>
      <c r="AL153" s="20">
        <f t="shared" si="112"/>
        <v>872.32357664941446</v>
      </c>
      <c r="AM153" s="59">
        <f t="shared" si="113"/>
        <v>1159.0165989212749</v>
      </c>
      <c r="AN153" s="59">
        <f ca="1">AVERAGE(OFFSET($AM$3,0,0,'Données projet'!$E$10+1,1))-AVERAGE(OFFSET($H$3,0,0,'Données projet'!$E$10+1,1))</f>
        <v>569.97793593332699</v>
      </c>
      <c r="AO153" s="59">
        <f t="shared" si="144"/>
        <v>331.25104323342907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67.4718085830782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67.4718085830782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16.750000000000213</v>
      </c>
      <c r="BE153" s="13">
        <f>BD153*VLOOKUP('Données projet'!$B$11,Paramètres!$A$1:$I$89,3,0)*VLOOKUP('Données projet'!$B$11,Paramètres!$A$1:$I$89,5,0)</f>
        <v>14.11020000000018</v>
      </c>
      <c r="BF153" s="13">
        <f t="shared" si="145"/>
        <v>4.7783677814795205</v>
      </c>
      <c r="BG153" s="20">
        <f t="shared" si="115"/>
        <v>32.897588886077138</v>
      </c>
      <c r="BH153" s="59">
        <f t="shared" si="116"/>
        <v>319.59061115793747</v>
      </c>
      <c r="BI153" s="59">
        <f ca="1">AVERAGE(OFFSET($BH$3,0,0,'Données projet'!$E$11+1,1))-AVERAGE(OFFSET($H$3,0,0,'Données projet'!$E$11+1,1))</f>
        <v>458.88102603650725</v>
      </c>
      <c r="BJ153" s="59">
        <f t="shared" si="146"/>
        <v>277.79020316059552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106.36531445831869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106.36531445831869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269.8175999999998</v>
      </c>
      <c r="CA153" s="13">
        <f t="shared" si="147"/>
        <v>64.810557882019467</v>
      </c>
      <c r="CB153" s="20">
        <f t="shared" si="118"/>
        <v>582.81070831118348</v>
      </c>
      <c r="CC153" s="59">
        <f t="shared" si="119"/>
        <v>869.50373058304376</v>
      </c>
      <c r="CD153" s="59">
        <f ca="1">AVERAGE(OFFSET($CC$3,0,0,'Données projet'!$E$12+1,1))-AVERAGE(OFFSET($H$3,0,0,'Données projet'!$E$12+1,1))</f>
        <v>400.48995908576177</v>
      </c>
      <c r="CE153" s="59">
        <f t="shared" si="148"/>
        <v>384.86917865380076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11.520501736019151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11.520501736019151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277.99999999999994</v>
      </c>
      <c r="CU153" s="17">
        <f>CT153*VLOOKUP('Données projet'!$B$13,Paramètres!$A$1:$I$89,3,0)*VLOOKUP('Données projet'!$B$13,Paramètres!$A$1:$I$89,5,0)</f>
        <v>151.78799999999998</v>
      </c>
      <c r="CV153" s="13">
        <f t="shared" si="149"/>
        <v>38.984634390835623</v>
      </c>
      <c r="CW153" s="20">
        <f t="shared" si="121"/>
        <v>332.26233823070532</v>
      </c>
      <c r="CX153" s="59">
        <f t="shared" si="122"/>
        <v>618.95536050256567</v>
      </c>
      <c r="CY153" s="59">
        <f ca="1">AVERAGE(OFFSET($CX$3,0,0,'Données projet'!$E$13+1,1))-AVERAGE(OFFSET($H$3,0,0,'Données projet'!$E$13+1,1))</f>
        <v>215.37314197175104</v>
      </c>
      <c r="CZ153" s="59">
        <f t="shared" si="150"/>
        <v>361.17630426655978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3.4090691668894633</v>
      </c>
      <c r="DG153" s="21">
        <f>EXP(-LN(2)/25)*DG152+(1-EXP(-LN(2)/25))/(LN(2)/25)*Calculateur!DB153*Calculateur!DD153*VLOOKUP('Données projet'!$B$13,Paramètres!$A$1:$I$89,3,0)*0.475*44/12</f>
        <v>3.4475837192399816</v>
      </c>
      <c r="DH153" s="21">
        <f>EXP(-LN(2)/2)*DH152+(1-EXP(-LN(2)/2))/(LN(2)/2)*DB153*DE153*VLOOKUP('Données projet'!$B$13,Paramètres!$A$1:$I$89,3,0)*0.475*44/12</f>
        <v>2.1992660790781431E-20</v>
      </c>
      <c r="DI153" s="22">
        <f t="shared" si="123"/>
        <v>6.8566528861294449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328.30744702912028</v>
      </c>
      <c r="S154" s="59">
        <f ca="1">AVERAGE(OFFSET($R$3,0,0,'Données projet'!$E$9+1,1))-AVERAGE(OFFSET($H$3,0,0,'Données projet'!$E$9+1,1))</f>
        <v>567.42635821336114</v>
      </c>
      <c r="T154" s="59">
        <f t="shared" si="142"/>
        <v>299.0473530693472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474.99999999999994</v>
      </c>
      <c r="AJ154" s="13">
        <f>AI154*VLOOKUP('Données projet'!$B$10,Paramètres!$A$1:$I$89,3,0)*VLOOKUP('Données projet'!$B$10,Paramètres!$A$1:$I$89,5,0)</f>
        <v>407.55</v>
      </c>
      <c r="AK154" s="13">
        <f t="shared" ref="AK154:AK203" si="164">EXP(-1.0587+0.8836*LN(AJ154)+0.284)</f>
        <v>93.305642095357683</v>
      </c>
      <c r="AL154" s="20">
        <f t="shared" ref="AL154:AL203" si="165">(AJ154+AK154)*0.475*44/12</f>
        <v>872.32357664941446</v>
      </c>
      <c r="AM154" s="59">
        <f t="shared" si="113"/>
        <v>1159.1317934726799</v>
      </c>
      <c r="AN154" s="59">
        <f ca="1">AVERAGE(OFFSET($AM$3,0,0,'Données projet'!$E$10+1,1))-AVERAGE(OFFSET($H$3,0,0,'Données projet'!$E$10+1,1))</f>
        <v>569.97793593332699</v>
      </c>
      <c r="AO154" s="59">
        <f t="shared" si="144"/>
        <v>331.25104323342907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66.148727570503681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66.148727570503681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16.750000000000213</v>
      </c>
      <c r="BE154" s="13">
        <f>BD154*VLOOKUP('Données projet'!$B$11,Paramètres!$A$1:$I$89,3,0)*VLOOKUP('Données projet'!$B$11,Paramètres!$A$1:$I$89,5,0)</f>
        <v>14.11020000000018</v>
      </c>
      <c r="BF154" s="13">
        <f t="shared" ref="BF154:BF203" si="167">EXP(-1.0587+0.8836*LN(BE154)+0.284)</f>
        <v>4.7783677814795205</v>
      </c>
      <c r="BG154" s="20">
        <f t="shared" ref="BG154:BG203" si="168">(BE154+BF154)*0.475*44/12</f>
        <v>32.897588886077138</v>
      </c>
      <c r="BH154" s="59">
        <f t="shared" si="116"/>
        <v>319.70580570934248</v>
      </c>
      <c r="BI154" s="59">
        <f ca="1">AVERAGE(OFFSET($BH$3,0,0,'Données projet'!$E$11+1,1))-AVERAGE(OFFSET($H$3,0,0,'Données projet'!$E$11+1,1))</f>
        <v>458.88102603650725</v>
      </c>
      <c r="BJ154" s="59">
        <f t="shared" si="146"/>
        <v>277.79020316059552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104.27955551822687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104.27955551822687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269.8175999999998</v>
      </c>
      <c r="CA154" s="13">
        <f t="shared" ref="CA154:CA203" si="170">EXP(-1.0587+0.8836*LN(BZ154)+0.284)</f>
        <v>64.810557882019467</v>
      </c>
      <c r="CB154" s="20">
        <f t="shared" ref="CB154:CB203" si="171">(BZ154+CA154)*0.475*44/12</f>
        <v>582.81070831118348</v>
      </c>
      <c r="CC154" s="59">
        <f t="shared" si="119"/>
        <v>869.61892513444877</v>
      </c>
      <c r="CD154" s="59">
        <f ca="1">AVERAGE(OFFSET($CC$3,0,0,'Données projet'!$E$12+1,1))-AVERAGE(OFFSET($H$3,0,0,'Données projet'!$E$12+1,1))</f>
        <v>400.48995908576177</v>
      </c>
      <c r="CE154" s="59">
        <f t="shared" si="148"/>
        <v>384.86917865380076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11.294591723788034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11.294591723788034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277.99999999999994</v>
      </c>
      <c r="CU154" s="17">
        <f>CT154*VLOOKUP('Données projet'!$B$13,Paramètres!$A$1:$I$89,3,0)*VLOOKUP('Données projet'!$B$13,Paramètres!$A$1:$I$89,5,0)</f>
        <v>151.78799999999998</v>
      </c>
      <c r="CV154" s="13">
        <f t="shared" ref="CV154:CV203" si="173">EXP(-1.0587+0.8836*LN(CU154)+0.284)</f>
        <v>38.984634390835623</v>
      </c>
      <c r="CW154" s="20">
        <f t="shared" ref="CW154:CW203" si="174">(CU154+CV154)*0.475*44/12</f>
        <v>332.26233823070532</v>
      </c>
      <c r="CX154" s="59">
        <f t="shared" si="122"/>
        <v>619.07055505397068</v>
      </c>
      <c r="CY154" s="59">
        <f ca="1">AVERAGE(OFFSET($CX$3,0,0,'Données projet'!$E$13+1,1))-AVERAGE(OFFSET($H$3,0,0,'Données projet'!$E$13+1,1))</f>
        <v>215.37314197175104</v>
      </c>
      <c r="CZ154" s="59">
        <f t="shared" si="150"/>
        <v>361.17630426655978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3.342219399853636</v>
      </c>
      <c r="DG154" s="21">
        <f>EXP(-LN(2)/25)*DG153+(1-EXP(-LN(2)/25))/(LN(2)/25)*Calculateur!DB154*Calculateur!DD154*VLOOKUP('Données projet'!$B$13,Paramètres!$A$1:$I$89,3,0)*0.475*44/12</f>
        <v>3.3533093611368163</v>
      </c>
      <c r="DH154" s="21">
        <f>EXP(-LN(2)/2)*DH153+(1-EXP(-LN(2)/2))/(LN(2)/2)*DB154*DE154*VLOOKUP('Données projet'!$B$13,Paramètres!$A$1:$I$89,3,0)*0.475*44/12</f>
        <v>1.5551159581497048E-20</v>
      </c>
      <c r="DI154" s="22">
        <f t="shared" ref="DI154:DI203" si="175">SUM(DF154:DH154)</f>
        <v>6.6955287609904524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328.42064321259483</v>
      </c>
      <c r="S155" s="59">
        <f ca="1">AVERAGE(OFFSET($R$3,0,0,'Données projet'!$E$9+1,1))-AVERAGE(OFFSET($H$3,0,0,'Données projet'!$E$9+1,1))</f>
        <v>567.42635821336114</v>
      </c>
      <c r="T155" s="59">
        <f t="shared" si="142"/>
        <v>299.0473530693472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474.99999999999994</v>
      </c>
      <c r="AJ155" s="13">
        <f>AI155*VLOOKUP('Données projet'!$B$10,Paramètres!$A$1:$I$89,3,0)*VLOOKUP('Données projet'!$B$10,Paramètres!$A$1:$I$89,5,0)</f>
        <v>407.55</v>
      </c>
      <c r="AK155" s="13">
        <f t="shared" si="164"/>
        <v>93.305642095357683</v>
      </c>
      <c r="AL155" s="20">
        <f t="shared" si="165"/>
        <v>872.32357664941446</v>
      </c>
      <c r="AM155" s="59">
        <f t="shared" si="113"/>
        <v>1159.2449896561543</v>
      </c>
      <c r="AN155" s="59">
        <f ca="1">AVERAGE(OFFSET($AM$3,0,0,'Données projet'!$E$10+1,1))-AVERAGE(OFFSET($H$3,0,0,'Données projet'!$E$10+1,1))</f>
        <v>569.97793593332699</v>
      </c>
      <c r="AO155" s="59">
        <f t="shared" si="144"/>
        <v>331.25104323342907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64.851591369586018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64.851591369586018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16.750000000000213</v>
      </c>
      <c r="BE155" s="13">
        <f>BD155*VLOOKUP('Données projet'!$B$11,Paramètres!$A$1:$I$89,3,0)*VLOOKUP('Données projet'!$B$11,Paramètres!$A$1:$I$89,5,0)</f>
        <v>14.11020000000018</v>
      </c>
      <c r="BF155" s="13">
        <f t="shared" si="167"/>
        <v>4.7783677814795205</v>
      </c>
      <c r="BG155" s="20">
        <f t="shared" si="168"/>
        <v>32.897588886077138</v>
      </c>
      <c r="BH155" s="59">
        <f t="shared" si="116"/>
        <v>319.81900189281703</v>
      </c>
      <c r="BI155" s="59">
        <f ca="1">AVERAGE(OFFSET($BH$3,0,0,'Données projet'!$E$11+1,1))-AVERAGE(OFFSET($H$3,0,0,'Données projet'!$E$11+1,1))</f>
        <v>458.88102603650725</v>
      </c>
      <c r="BJ155" s="59">
        <f t="shared" si="146"/>
        <v>277.79020316059552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102.23469703876292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102.23469703876292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269.8175999999998</v>
      </c>
      <c r="CA155" s="13">
        <f t="shared" si="170"/>
        <v>64.810557882019467</v>
      </c>
      <c r="CB155" s="20">
        <f t="shared" si="171"/>
        <v>582.81070831118348</v>
      </c>
      <c r="CC155" s="59">
        <f t="shared" si="119"/>
        <v>869.73212131792343</v>
      </c>
      <c r="CD155" s="59">
        <f ca="1">AVERAGE(OFFSET($CC$3,0,0,'Données projet'!$E$12+1,1))-AVERAGE(OFFSET($H$3,0,0,'Données projet'!$E$12+1,1))</f>
        <v>400.48995908576177</v>
      </c>
      <c r="CE155" s="59">
        <f t="shared" si="148"/>
        <v>384.86917865380076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11.073111669105268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11.073111669105268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277.99999999999994</v>
      </c>
      <c r="CU155" s="17">
        <f>CT155*VLOOKUP('Données projet'!$B$13,Paramètres!$A$1:$I$89,3,0)*VLOOKUP('Données projet'!$B$13,Paramètres!$A$1:$I$89,5,0)</f>
        <v>151.78799999999998</v>
      </c>
      <c r="CV155" s="13">
        <f t="shared" si="173"/>
        <v>38.984634390835623</v>
      </c>
      <c r="CW155" s="20">
        <f t="shared" si="174"/>
        <v>332.26233823070532</v>
      </c>
      <c r="CX155" s="59">
        <f t="shared" si="122"/>
        <v>619.18375123744522</v>
      </c>
      <c r="CY155" s="59">
        <f ca="1">AVERAGE(OFFSET($CX$3,0,0,'Données projet'!$E$13+1,1))-AVERAGE(OFFSET($H$3,0,0,'Données projet'!$E$13+1,1))</f>
        <v>215.37314197175104</v>
      </c>
      <c r="CZ155" s="59">
        <f t="shared" si="150"/>
        <v>361.17630426655978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3.2766805159750496</v>
      </c>
      <c r="DG155" s="21">
        <f>EXP(-LN(2)/25)*DG154+(1-EXP(-LN(2)/25))/(LN(2)/25)*Calculateur!DB155*Calculateur!DD155*VLOOKUP('Données projet'!$B$13,Paramètres!$A$1:$I$89,3,0)*0.475*44/12</f>
        <v>3.2616129403136549</v>
      </c>
      <c r="DH155" s="21">
        <f>EXP(-LN(2)/2)*DH154+(1-EXP(-LN(2)/2))/(LN(2)/2)*DB155*DE155*VLOOKUP('Données projet'!$B$13,Paramètres!$A$1:$I$89,3,0)*0.475*44/12</f>
        <v>1.0996330395390715E-20</v>
      </c>
      <c r="DI155" s="22">
        <f t="shared" si="175"/>
        <v>6.5382934562887041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328.53187569535493</v>
      </c>
      <c r="S156" s="59">
        <f ca="1">AVERAGE(OFFSET($R$3,0,0,'Données projet'!$E$9+1,1))-AVERAGE(OFFSET($H$3,0,0,'Données projet'!$E$9+1,1))</f>
        <v>567.42635821336114</v>
      </c>
      <c r="T156" s="59">
        <f t="shared" si="142"/>
        <v>299.0473530693472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474.99999999999994</v>
      </c>
      <c r="AJ156" s="13">
        <f>AI156*VLOOKUP('Données projet'!$B$10,Paramètres!$A$1:$I$89,3,0)*VLOOKUP('Données projet'!$B$10,Paramètres!$A$1:$I$89,5,0)</f>
        <v>407.55</v>
      </c>
      <c r="AK156" s="13">
        <f t="shared" si="164"/>
        <v>93.305642095357683</v>
      </c>
      <c r="AL156" s="20">
        <f t="shared" si="165"/>
        <v>872.32357664941446</v>
      </c>
      <c r="AM156" s="59">
        <f t="shared" si="113"/>
        <v>1159.3562221389145</v>
      </c>
      <c r="AN156" s="59">
        <f ca="1">AVERAGE(OFFSET($AM$3,0,0,'Données projet'!$E$10+1,1))-AVERAGE(OFFSET($H$3,0,0,'Données projet'!$E$10+1,1))</f>
        <v>569.97793593332699</v>
      </c>
      <c r="AO156" s="59">
        <f t="shared" si="144"/>
        <v>331.25104323342907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63.579891218393385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63.579891218393385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16.750000000000213</v>
      </c>
      <c r="BE156" s="13">
        <f>BD156*VLOOKUP('Données projet'!$B$11,Paramètres!$A$1:$I$89,3,0)*VLOOKUP('Données projet'!$B$11,Paramètres!$A$1:$I$89,5,0)</f>
        <v>14.11020000000018</v>
      </c>
      <c r="BF156" s="13">
        <f t="shared" si="167"/>
        <v>4.7783677814795205</v>
      </c>
      <c r="BG156" s="20">
        <f t="shared" si="168"/>
        <v>32.897588886077138</v>
      </c>
      <c r="BH156" s="59">
        <f t="shared" si="116"/>
        <v>319.93023437557713</v>
      </c>
      <c r="BI156" s="59">
        <f ca="1">AVERAGE(OFFSET($BH$3,0,0,'Données projet'!$E$11+1,1))-AVERAGE(OFFSET($H$3,0,0,'Données projet'!$E$11+1,1))</f>
        <v>458.88102603650725</v>
      </c>
      <c r="BJ156" s="59">
        <f t="shared" si="146"/>
        <v>277.79020316059552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100.22993698684073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100.22993698684073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269.8175999999998</v>
      </c>
      <c r="CA156" s="13">
        <f t="shared" si="170"/>
        <v>64.810557882019467</v>
      </c>
      <c r="CB156" s="20">
        <f t="shared" si="171"/>
        <v>582.81070831118348</v>
      </c>
      <c r="CC156" s="59">
        <f t="shared" si="119"/>
        <v>869.84335380068342</v>
      </c>
      <c r="CD156" s="59">
        <f ca="1">AVERAGE(OFFSET($CC$3,0,0,'Données projet'!$E$12+1,1))-AVERAGE(OFFSET($H$3,0,0,'Données projet'!$E$12+1,1))</f>
        <v>400.48995908576177</v>
      </c>
      <c r="CE156" s="59">
        <f t="shared" si="148"/>
        <v>384.86917865380076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10.855974703205337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10.855974703205337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277.99999999999994</v>
      </c>
      <c r="CU156" s="17">
        <f>CT156*VLOOKUP('Données projet'!$B$13,Paramètres!$A$1:$I$89,3,0)*VLOOKUP('Données projet'!$B$13,Paramètres!$A$1:$I$89,5,0)</f>
        <v>151.78799999999998</v>
      </c>
      <c r="CV156" s="13">
        <f t="shared" si="173"/>
        <v>38.984634390835623</v>
      </c>
      <c r="CW156" s="20">
        <f t="shared" si="174"/>
        <v>332.26233823070532</v>
      </c>
      <c r="CX156" s="59">
        <f t="shared" si="122"/>
        <v>619.29498372020532</v>
      </c>
      <c r="CY156" s="59">
        <f ca="1">AVERAGE(OFFSET($CX$3,0,0,'Données projet'!$E$13+1,1))-AVERAGE(OFFSET($H$3,0,0,'Données projet'!$E$13+1,1))</f>
        <v>215.37314197175104</v>
      </c>
      <c r="CZ156" s="59">
        <f t="shared" si="150"/>
        <v>361.17630426655978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3.2124268096345503</v>
      </c>
      <c r="DG156" s="21">
        <f>EXP(-LN(2)/25)*DG155+(1-EXP(-LN(2)/25))/(LN(2)/25)*Calculateur!DB156*Calculateur!DD156*VLOOKUP('Données projet'!$B$13,Paramètres!$A$1:$I$89,3,0)*0.475*44/12</f>
        <v>3.1724239629400079</v>
      </c>
      <c r="DH156" s="21">
        <f>EXP(-LN(2)/2)*DH155+(1-EXP(-LN(2)/2))/(LN(2)/2)*DB156*DE156*VLOOKUP('Données projet'!$B$13,Paramètres!$A$1:$I$89,3,0)*0.475*44/12</f>
        <v>7.7755797907485239E-21</v>
      </c>
      <c r="DI156" s="22">
        <f t="shared" si="175"/>
        <v>6.3848507725745582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328.64117854321768</v>
      </c>
      <c r="S157" s="59">
        <f ca="1">AVERAGE(OFFSET($R$3,0,0,'Données projet'!$E$9+1,1))-AVERAGE(OFFSET($H$3,0,0,'Données projet'!$E$9+1,1))</f>
        <v>567.42635821336114</v>
      </c>
      <c r="T157" s="59">
        <f t="shared" si="142"/>
        <v>299.0473530693472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474.99999999999994</v>
      </c>
      <c r="AJ157" s="13">
        <f>AI157*VLOOKUP('Données projet'!$B$10,Paramètres!$A$1:$I$89,3,0)*VLOOKUP('Données projet'!$B$10,Paramètres!$A$1:$I$89,5,0)</f>
        <v>407.55</v>
      </c>
      <c r="AK157" s="13">
        <f t="shared" si="164"/>
        <v>93.305642095357683</v>
      </c>
      <c r="AL157" s="20">
        <f t="shared" si="165"/>
        <v>872.32357664941446</v>
      </c>
      <c r="AM157" s="59">
        <f t="shared" si="113"/>
        <v>1159.4655249867772</v>
      </c>
      <c r="AN157" s="59">
        <f ca="1">AVERAGE(OFFSET($AM$3,0,0,'Données projet'!$E$10+1,1))-AVERAGE(OFFSET($H$3,0,0,'Données projet'!$E$10+1,1))</f>
        <v>569.97793593332699</v>
      </c>
      <c r="AO157" s="59">
        <f t="shared" si="144"/>
        <v>331.25104323342907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62.333128331505137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62.333128331505137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16.750000000000213</v>
      </c>
      <c r="BE157" s="13">
        <f>BD157*VLOOKUP('Données projet'!$B$11,Paramètres!$A$1:$I$89,3,0)*VLOOKUP('Données projet'!$B$11,Paramètres!$A$1:$I$89,5,0)</f>
        <v>14.11020000000018</v>
      </c>
      <c r="BF157" s="13">
        <f t="shared" si="167"/>
        <v>4.7783677814795205</v>
      </c>
      <c r="BG157" s="20">
        <f t="shared" si="168"/>
        <v>32.897588886077138</v>
      </c>
      <c r="BH157" s="59">
        <f t="shared" si="116"/>
        <v>320.03953722343988</v>
      </c>
      <c r="BI157" s="59">
        <f ca="1">AVERAGE(OFFSET($BH$3,0,0,'Données projet'!$E$11+1,1))-AVERAGE(OFFSET($H$3,0,0,'Données projet'!$E$11+1,1))</f>
        <v>458.88102603650725</v>
      </c>
      <c r="BJ157" s="59">
        <f t="shared" si="146"/>
        <v>277.79020316059552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98.264489056753845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98.264489056753845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269.8175999999998</v>
      </c>
      <c r="CA157" s="13">
        <f t="shared" si="170"/>
        <v>64.810557882019467</v>
      </c>
      <c r="CB157" s="20">
        <f t="shared" si="171"/>
        <v>582.81070831118348</v>
      </c>
      <c r="CC157" s="59">
        <f t="shared" si="119"/>
        <v>869.95265664854628</v>
      </c>
      <c r="CD157" s="59">
        <f ca="1">AVERAGE(OFFSET($CC$3,0,0,'Données projet'!$E$12+1,1))-AVERAGE(OFFSET($H$3,0,0,'Données projet'!$E$12+1,1))</f>
        <v>400.48995908576177</v>
      </c>
      <c r="CE157" s="59">
        <f t="shared" si="148"/>
        <v>384.86917865380076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10.643095660766232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10.643095660766232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277.99999999999994</v>
      </c>
      <c r="CU157" s="17">
        <f>CT157*VLOOKUP('Données projet'!$B$13,Paramètres!$A$1:$I$89,3,0)*VLOOKUP('Données projet'!$B$13,Paramètres!$A$1:$I$89,5,0)</f>
        <v>151.78799999999998</v>
      </c>
      <c r="CV157" s="13">
        <f t="shared" si="173"/>
        <v>38.984634390835623</v>
      </c>
      <c r="CW157" s="20">
        <f t="shared" si="174"/>
        <v>332.26233823070532</v>
      </c>
      <c r="CX157" s="59">
        <f t="shared" si="122"/>
        <v>619.40428656806807</v>
      </c>
      <c r="CY157" s="59">
        <f ca="1">AVERAGE(OFFSET($CX$3,0,0,'Données projet'!$E$13+1,1))-AVERAGE(OFFSET($H$3,0,0,'Données projet'!$E$13+1,1))</f>
        <v>215.37314197175104</v>
      </c>
      <c r="CZ157" s="59">
        <f t="shared" si="150"/>
        <v>361.17630426655978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3.1494330792844973</v>
      </c>
      <c r="DG157" s="21">
        <f>EXP(-LN(2)/25)*DG156+(1-EXP(-LN(2)/25))/(LN(2)/25)*Calculateur!DB157*Calculateur!DD157*VLOOKUP('Données projet'!$B$13,Paramètres!$A$1:$I$89,3,0)*0.475*44/12</f>
        <v>3.0856738628428877</v>
      </c>
      <c r="DH157" s="21">
        <f>EXP(-LN(2)/2)*DH156+(1-EXP(-LN(2)/2))/(LN(2)/2)*DB157*DE157*VLOOKUP('Données projet'!$B$13,Paramètres!$A$1:$I$89,3,0)*0.475*44/12</f>
        <v>5.4981651976953576E-21</v>
      </c>
      <c r="DI157" s="22">
        <f t="shared" si="175"/>
        <v>6.235106942127385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328.74858523103461</v>
      </c>
      <c r="S158" s="59">
        <f ca="1">AVERAGE(OFFSET($R$3,0,0,'Données projet'!$E$9+1,1))-AVERAGE(OFFSET($H$3,0,0,'Données projet'!$E$9+1,1))</f>
        <v>567.42635821336114</v>
      </c>
      <c r="T158" s="59">
        <f t="shared" si="142"/>
        <v>299.0473530693472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474.99999999999994</v>
      </c>
      <c r="AJ158" s="13">
        <f>AI158*VLOOKUP('Données projet'!$B$10,Paramètres!$A$1:$I$89,3,0)*VLOOKUP('Données projet'!$B$10,Paramètres!$A$1:$I$89,5,0)</f>
        <v>407.55</v>
      </c>
      <c r="AK158" s="13">
        <f t="shared" si="164"/>
        <v>93.305642095357683</v>
      </c>
      <c r="AL158" s="20">
        <f t="shared" si="165"/>
        <v>872.32357664941446</v>
      </c>
      <c r="AM158" s="59">
        <f t="shared" si="113"/>
        <v>1159.5729316745942</v>
      </c>
      <c r="AN158" s="59">
        <f ca="1">AVERAGE(OFFSET($AM$3,0,0,'Données projet'!$E$10+1,1))-AVERAGE(OFFSET($H$3,0,0,'Données projet'!$E$10+1,1))</f>
        <v>569.97793593332699</v>
      </c>
      <c r="AO158" s="59">
        <f t="shared" si="144"/>
        <v>331.25104323342907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61.110813704378494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61.110813704378494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16.750000000000213</v>
      </c>
      <c r="BE158" s="13">
        <f>BD158*VLOOKUP('Données projet'!$B$11,Paramètres!$A$1:$I$89,3,0)*VLOOKUP('Données projet'!$B$11,Paramètres!$A$1:$I$89,5,0)</f>
        <v>14.11020000000018</v>
      </c>
      <c r="BF158" s="13">
        <f t="shared" si="167"/>
        <v>4.7783677814795205</v>
      </c>
      <c r="BG158" s="20">
        <f t="shared" si="168"/>
        <v>32.897588886077138</v>
      </c>
      <c r="BH158" s="59">
        <f t="shared" si="116"/>
        <v>320.14694391125681</v>
      </c>
      <c r="BI158" s="59">
        <f ca="1">AVERAGE(OFFSET($BH$3,0,0,'Données projet'!$E$11+1,1))-AVERAGE(OFFSET($H$3,0,0,'Données projet'!$E$11+1,1))</f>
        <v>458.88102603650725</v>
      </c>
      <c r="BJ158" s="59">
        <f t="shared" si="146"/>
        <v>277.79020316059552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96.337582361771098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96.337582361771098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269.8175999999998</v>
      </c>
      <c r="CA158" s="13">
        <f t="shared" si="170"/>
        <v>64.810557882019467</v>
      </c>
      <c r="CB158" s="20">
        <f t="shared" si="171"/>
        <v>582.81070831118348</v>
      </c>
      <c r="CC158" s="59">
        <f t="shared" si="119"/>
        <v>870.0600633363631</v>
      </c>
      <c r="CD158" s="59">
        <f ca="1">AVERAGE(OFFSET($CC$3,0,0,'Données projet'!$E$12+1,1))-AVERAGE(OFFSET($H$3,0,0,'Données projet'!$E$12+1,1))</f>
        <v>400.48995908576177</v>
      </c>
      <c r="CE158" s="59">
        <f t="shared" si="148"/>
        <v>384.86917865380076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10.434391046505961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10.434391046505961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277.99999999999994</v>
      </c>
      <c r="CU158" s="17">
        <f>CT158*VLOOKUP('Données projet'!$B$13,Paramètres!$A$1:$I$89,3,0)*VLOOKUP('Données projet'!$B$13,Paramètres!$A$1:$I$89,5,0)</f>
        <v>151.78799999999998</v>
      </c>
      <c r="CV158" s="13">
        <f t="shared" si="173"/>
        <v>38.984634390835623</v>
      </c>
      <c r="CW158" s="20">
        <f t="shared" si="174"/>
        <v>332.26233823070532</v>
      </c>
      <c r="CX158" s="59">
        <f t="shared" si="122"/>
        <v>619.51169325588501</v>
      </c>
      <c r="CY158" s="59">
        <f ca="1">AVERAGE(OFFSET($CX$3,0,0,'Données projet'!$E$13+1,1))-AVERAGE(OFFSET($H$3,0,0,'Données projet'!$E$13+1,1))</f>
        <v>215.37314197175104</v>
      </c>
      <c r="CZ158" s="59">
        <f t="shared" si="150"/>
        <v>361.17630426655978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3.0876746175642271</v>
      </c>
      <c r="DG158" s="21">
        <f>EXP(-LN(2)/25)*DG157+(1-EXP(-LN(2)/25))/(LN(2)/25)*Calculateur!DB158*Calculateur!DD158*VLOOKUP('Données projet'!$B$13,Paramètres!$A$1:$I$89,3,0)*0.475*44/12</f>
        <v>3.0012959487949127</v>
      </c>
      <c r="DH158" s="21">
        <f>EXP(-LN(2)/2)*DH157+(1-EXP(-LN(2)/2))/(LN(2)/2)*DB158*DE158*VLOOKUP('Données projet'!$B$13,Paramètres!$A$1:$I$89,3,0)*0.475*44/12</f>
        <v>3.887789895374262E-21</v>
      </c>
      <c r="DI158" s="22">
        <f t="shared" si="175"/>
        <v>6.0889705663591398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328.85412865294325</v>
      </c>
      <c r="S159" s="59">
        <f ca="1">AVERAGE(OFFSET($R$3,0,0,'Données projet'!$E$9+1,1))-AVERAGE(OFFSET($H$3,0,0,'Données projet'!$E$9+1,1))</f>
        <v>567.42635821336114</v>
      </c>
      <c r="T159" s="59">
        <f t="shared" si="142"/>
        <v>299.0473530693472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474.99999999999994</v>
      </c>
      <c r="AJ159" s="13">
        <f>AI159*VLOOKUP('Données projet'!$B$10,Paramètres!$A$1:$I$89,3,0)*VLOOKUP('Données projet'!$B$10,Paramètres!$A$1:$I$89,5,0)</f>
        <v>407.55</v>
      </c>
      <c r="AK159" s="13">
        <f t="shared" si="164"/>
        <v>93.305642095357683</v>
      </c>
      <c r="AL159" s="20">
        <f t="shared" si="165"/>
        <v>872.32357664941446</v>
      </c>
      <c r="AM159" s="59">
        <f t="shared" si="113"/>
        <v>1159.6784750965028</v>
      </c>
      <c r="AN159" s="59">
        <f ca="1">AVERAGE(OFFSET($AM$3,0,0,'Données projet'!$E$10+1,1))-AVERAGE(OFFSET($H$3,0,0,'Données projet'!$E$10+1,1))</f>
        <v>569.97793593332699</v>
      </c>
      <c r="AO159" s="59">
        <f t="shared" si="144"/>
        <v>331.25104323342907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59.912467921551496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59.912467921551496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16.750000000000213</v>
      </c>
      <c r="BE159" s="13">
        <f>BD159*VLOOKUP('Données projet'!$B$11,Paramètres!$A$1:$I$89,3,0)*VLOOKUP('Données projet'!$B$11,Paramètres!$A$1:$I$89,5,0)</f>
        <v>14.11020000000018</v>
      </c>
      <c r="BF159" s="13">
        <f t="shared" si="167"/>
        <v>4.7783677814795205</v>
      </c>
      <c r="BG159" s="20">
        <f t="shared" si="168"/>
        <v>32.897588886077138</v>
      </c>
      <c r="BH159" s="59">
        <f t="shared" si="116"/>
        <v>320.25248733316545</v>
      </c>
      <c r="BI159" s="59">
        <f ca="1">AVERAGE(OFFSET($BH$3,0,0,'Données projet'!$E$11+1,1))-AVERAGE(OFFSET($H$3,0,0,'Données projet'!$E$11+1,1))</f>
        <v>458.88102603650725</v>
      </c>
      <c r="BJ159" s="59">
        <f t="shared" si="146"/>
        <v>277.79020316059552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94.448461131779922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94.448461131779922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269.8175999999998</v>
      </c>
      <c r="CA159" s="13">
        <f t="shared" si="170"/>
        <v>64.810557882019467</v>
      </c>
      <c r="CB159" s="20">
        <f t="shared" si="171"/>
        <v>582.81070831118348</v>
      </c>
      <c r="CC159" s="59">
        <f t="shared" si="119"/>
        <v>870.16560675827179</v>
      </c>
      <c r="CD159" s="59">
        <f ca="1">AVERAGE(OFFSET($CC$3,0,0,'Données projet'!$E$12+1,1))-AVERAGE(OFFSET($H$3,0,0,'Données projet'!$E$12+1,1))</f>
        <v>400.48995908576177</v>
      </c>
      <c r="CE159" s="59">
        <f t="shared" si="148"/>
        <v>384.86917865380076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10.229779002434091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10.229779002434091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277.99999999999994</v>
      </c>
      <c r="CU159" s="17">
        <f>CT159*VLOOKUP('Données projet'!$B$13,Paramètres!$A$1:$I$89,3,0)*VLOOKUP('Données projet'!$B$13,Paramètres!$A$1:$I$89,5,0)</f>
        <v>151.78799999999998</v>
      </c>
      <c r="CV159" s="13">
        <f t="shared" si="173"/>
        <v>38.984634390835623</v>
      </c>
      <c r="CW159" s="20">
        <f t="shared" si="174"/>
        <v>332.26233823070532</v>
      </c>
      <c r="CX159" s="59">
        <f t="shared" si="122"/>
        <v>619.6172366777937</v>
      </c>
      <c r="CY159" s="59">
        <f ca="1">AVERAGE(OFFSET($CX$3,0,0,'Données projet'!$E$13+1,1))-AVERAGE(OFFSET($H$3,0,0,'Données projet'!$E$13+1,1))</f>
        <v>215.37314197175104</v>
      </c>
      <c r="CZ159" s="59">
        <f t="shared" si="150"/>
        <v>361.17630426655978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3.0271272016093493</v>
      </c>
      <c r="DG159" s="21">
        <f>EXP(-LN(2)/25)*DG158+(1-EXP(-LN(2)/25))/(LN(2)/25)*Calculateur!DB159*Calculateur!DD159*VLOOKUP('Données projet'!$B$13,Paramètres!$A$1:$I$89,3,0)*0.475*44/12</f>
        <v>2.9192253532438213</v>
      </c>
      <c r="DH159" s="21">
        <f>EXP(-LN(2)/2)*DH158+(1-EXP(-LN(2)/2))/(LN(2)/2)*DB159*DE159*VLOOKUP('Données projet'!$B$13,Paramètres!$A$1:$I$89,3,0)*0.475*44/12</f>
        <v>2.7490825988476788E-21</v>
      </c>
      <c r="DI159" s="22">
        <f t="shared" si="175"/>
        <v>5.9463525548531706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328.9578411324415</v>
      </c>
      <c r="S160" s="59">
        <f ca="1">AVERAGE(OFFSET($R$3,0,0,'Données projet'!$E$9+1,1))-AVERAGE(OFFSET($H$3,0,0,'Données projet'!$E$9+1,1))</f>
        <v>567.42635821336114</v>
      </c>
      <c r="T160" s="59">
        <f t="shared" si="142"/>
        <v>299.0473530693472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474.99999999999994</v>
      </c>
      <c r="AJ160" s="13">
        <f>AI160*VLOOKUP('Données projet'!$B$10,Paramètres!$A$1:$I$89,3,0)*VLOOKUP('Données projet'!$B$10,Paramètres!$A$1:$I$89,5,0)</f>
        <v>407.55</v>
      </c>
      <c r="AK160" s="13">
        <f t="shared" si="164"/>
        <v>93.305642095357683</v>
      </c>
      <c r="AL160" s="20">
        <f t="shared" si="165"/>
        <v>872.32357664941446</v>
      </c>
      <c r="AM160" s="59">
        <f t="shared" si="113"/>
        <v>1159.782187576001</v>
      </c>
      <c r="AN160" s="59">
        <f ca="1">AVERAGE(OFFSET($AM$3,0,0,'Données projet'!$E$10+1,1))-AVERAGE(OFFSET($H$3,0,0,'Données projet'!$E$10+1,1))</f>
        <v>569.97793593332699</v>
      </c>
      <c r="AO160" s="59">
        <f t="shared" si="144"/>
        <v>331.25104323342907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58.737620968606983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58.737620968606983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16.750000000000213</v>
      </c>
      <c r="BE160" s="13">
        <f>BD160*VLOOKUP('Données projet'!$B$11,Paramètres!$A$1:$I$89,3,0)*VLOOKUP('Données projet'!$B$11,Paramètres!$A$1:$I$89,5,0)</f>
        <v>14.11020000000018</v>
      </c>
      <c r="BF160" s="13">
        <f t="shared" si="167"/>
        <v>4.7783677814795205</v>
      </c>
      <c r="BG160" s="20">
        <f t="shared" si="168"/>
        <v>32.897588886077138</v>
      </c>
      <c r="BH160" s="59">
        <f t="shared" si="116"/>
        <v>320.3561998126637</v>
      </c>
      <c r="BI160" s="59">
        <f ca="1">AVERAGE(OFFSET($BH$3,0,0,'Données projet'!$E$11+1,1))-AVERAGE(OFFSET($H$3,0,0,'Données projet'!$E$11+1,1))</f>
        <v>458.88102603650725</v>
      </c>
      <c r="BJ160" s="59">
        <f t="shared" si="146"/>
        <v>277.79020316059552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92.596384416858697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92.596384416858697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269.8175999999998</v>
      </c>
      <c r="CA160" s="13">
        <f t="shared" si="170"/>
        <v>64.810557882019467</v>
      </c>
      <c r="CB160" s="20">
        <f t="shared" si="171"/>
        <v>582.81070831118348</v>
      </c>
      <c r="CC160" s="59">
        <f t="shared" si="119"/>
        <v>870.26931923777011</v>
      </c>
      <c r="CD160" s="59">
        <f ca="1">AVERAGE(OFFSET($CC$3,0,0,'Données projet'!$E$12+1,1))-AVERAGE(OFFSET($H$3,0,0,'Données projet'!$E$12+1,1))</f>
        <v>400.48995908576177</v>
      </c>
      <c r="CE160" s="59">
        <f t="shared" si="148"/>
        <v>384.86917865380076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10.029179275745445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10.029179275745445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277.99999999999994</v>
      </c>
      <c r="CU160" s="17">
        <f>CT160*VLOOKUP('Données projet'!$B$13,Paramètres!$A$1:$I$89,3,0)*VLOOKUP('Données projet'!$B$13,Paramètres!$A$1:$I$89,5,0)</f>
        <v>151.78799999999998</v>
      </c>
      <c r="CV160" s="13">
        <f t="shared" si="173"/>
        <v>38.984634390835623</v>
      </c>
      <c r="CW160" s="20">
        <f t="shared" si="174"/>
        <v>332.26233823070532</v>
      </c>
      <c r="CX160" s="59">
        <f t="shared" si="122"/>
        <v>619.7209491572919</v>
      </c>
      <c r="CY160" s="59">
        <f ca="1">AVERAGE(OFFSET($CX$3,0,0,'Données projet'!$E$13+1,1))-AVERAGE(OFFSET($H$3,0,0,'Données projet'!$E$13+1,1))</f>
        <v>215.37314197175104</v>
      </c>
      <c r="CZ160" s="59">
        <f t="shared" si="150"/>
        <v>361.17630426655978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2.9677670835510694</v>
      </c>
      <c r="DG160" s="21">
        <f>EXP(-LN(2)/25)*DG159+(1-EXP(-LN(2)/25))/(LN(2)/25)*Calculateur!DB160*Calculateur!DD160*VLOOKUP('Données projet'!$B$13,Paramètres!$A$1:$I$89,3,0)*0.475*44/12</f>
        <v>2.8393989824439796</v>
      </c>
      <c r="DH160" s="21">
        <f>EXP(-LN(2)/2)*DH159+(1-EXP(-LN(2)/2))/(LN(2)/2)*DB160*DE160*VLOOKUP('Données projet'!$B$13,Paramètres!$A$1:$I$89,3,0)*0.475*44/12</f>
        <v>1.943894947687131E-21</v>
      </c>
      <c r="DI160" s="22">
        <f t="shared" si="175"/>
        <v>5.807166065995049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329.05975443228692</v>
      </c>
      <c r="S161" s="59">
        <f ca="1">AVERAGE(OFFSET($R$3,0,0,'Données projet'!$E$9+1,1))-AVERAGE(OFFSET($H$3,0,0,'Données projet'!$E$9+1,1))</f>
        <v>567.42635821336114</v>
      </c>
      <c r="T161" s="59">
        <f t="shared" si="142"/>
        <v>299.0473530693472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474.99999999999994</v>
      </c>
      <c r="AJ161" s="13">
        <f>AI161*VLOOKUP('Données projet'!$B$10,Paramètres!$A$1:$I$89,3,0)*VLOOKUP('Données projet'!$B$10,Paramètres!$A$1:$I$89,5,0)</f>
        <v>407.55</v>
      </c>
      <c r="AK161" s="13">
        <f t="shared" si="164"/>
        <v>93.305642095357683</v>
      </c>
      <c r="AL161" s="20">
        <f t="shared" si="165"/>
        <v>872.32357664941446</v>
      </c>
      <c r="AM161" s="59">
        <f t="shared" si="113"/>
        <v>1159.8841008758463</v>
      </c>
      <c r="AN161" s="59">
        <f ca="1">AVERAGE(OFFSET($AM$3,0,0,'Données projet'!$E$10+1,1))-AVERAGE(OFFSET($H$3,0,0,'Données projet'!$E$10+1,1))</f>
        <v>569.97793593332699</v>
      </c>
      <c r="AO161" s="59">
        <f t="shared" si="144"/>
        <v>331.25104323342907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57.585812047823829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57.585812047823829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16.750000000000213</v>
      </c>
      <c r="BE161" s="13">
        <f>BD161*VLOOKUP('Données projet'!$B$11,Paramètres!$A$1:$I$89,3,0)*VLOOKUP('Données projet'!$B$11,Paramètres!$A$1:$I$89,5,0)</f>
        <v>14.11020000000018</v>
      </c>
      <c r="BF161" s="13">
        <f t="shared" si="167"/>
        <v>4.7783677814795205</v>
      </c>
      <c r="BG161" s="20">
        <f t="shared" si="168"/>
        <v>32.897588886077138</v>
      </c>
      <c r="BH161" s="59">
        <f t="shared" si="116"/>
        <v>320.45811311250912</v>
      </c>
      <c r="BI161" s="59">
        <f ca="1">AVERAGE(OFFSET($BH$3,0,0,'Données projet'!$E$11+1,1))-AVERAGE(OFFSET($H$3,0,0,'Données projet'!$E$11+1,1))</f>
        <v>458.88102603650725</v>
      </c>
      <c r="BJ161" s="59">
        <f t="shared" si="146"/>
        <v>277.79020316059552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90.780625796661838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90.780625796661838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269.8175999999998</v>
      </c>
      <c r="CA161" s="13">
        <f t="shared" si="170"/>
        <v>64.810557882019467</v>
      </c>
      <c r="CB161" s="20">
        <f t="shared" si="171"/>
        <v>582.81070831118348</v>
      </c>
      <c r="CC161" s="59">
        <f t="shared" si="119"/>
        <v>870.37123253761547</v>
      </c>
      <c r="CD161" s="59">
        <f ca="1">AVERAGE(OFFSET($CC$3,0,0,'Données projet'!$E$12+1,1))-AVERAGE(OFFSET($H$3,0,0,'Données projet'!$E$12+1,1))</f>
        <v>400.48995908576177</v>
      </c>
      <c r="CE161" s="59">
        <f t="shared" si="148"/>
        <v>384.86917865380076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9.8325131873434124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9.8325131873434124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277.99999999999994</v>
      </c>
      <c r="CU161" s="17">
        <f>CT161*VLOOKUP('Données projet'!$B$13,Paramètres!$A$1:$I$89,3,0)*VLOOKUP('Données projet'!$B$13,Paramètres!$A$1:$I$89,5,0)</f>
        <v>151.78799999999998</v>
      </c>
      <c r="CV161" s="13">
        <f t="shared" si="173"/>
        <v>38.984634390835623</v>
      </c>
      <c r="CW161" s="20">
        <f t="shared" si="174"/>
        <v>332.26233823070532</v>
      </c>
      <c r="CX161" s="59">
        <f t="shared" si="122"/>
        <v>619.82286245713726</v>
      </c>
      <c r="CY161" s="59">
        <f ca="1">AVERAGE(OFFSET($CX$3,0,0,'Données projet'!$E$13+1,1))-AVERAGE(OFFSET($H$3,0,0,'Données projet'!$E$13+1,1))</f>
        <v>215.37314197175104</v>
      </c>
      <c r="CZ161" s="59">
        <f t="shared" si="150"/>
        <v>361.17630426655978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2.9095709812018153</v>
      </c>
      <c r="DG161" s="21">
        <f>EXP(-LN(2)/25)*DG160+(1-EXP(-LN(2)/25))/(LN(2)/25)*Calculateur!DB161*Calculateur!DD161*VLOOKUP('Données projet'!$B$13,Paramètres!$A$1:$I$89,3,0)*0.475*44/12</f>
        <v>2.7617554679515459</v>
      </c>
      <c r="DH161" s="21">
        <f>EXP(-LN(2)/2)*DH160+(1-EXP(-LN(2)/2))/(LN(2)/2)*DB161*DE161*VLOOKUP('Données projet'!$B$13,Paramètres!$A$1:$I$89,3,0)*0.475*44/12</f>
        <v>1.3745412994238394E-21</v>
      </c>
      <c r="DI161" s="22">
        <f t="shared" si="175"/>
        <v>5.6713264491533613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329.15989976422389</v>
      </c>
      <c r="S162" s="59">
        <f ca="1">AVERAGE(OFFSET($R$3,0,0,'Données projet'!$E$9+1,1))-AVERAGE(OFFSET($H$3,0,0,'Données projet'!$E$9+1,1))</f>
        <v>567.42635821336114</v>
      </c>
      <c r="T162" s="59">
        <f t="shared" si="142"/>
        <v>299.0473530693472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474.99999999999994</v>
      </c>
      <c r="AJ162" s="13">
        <f>AI162*VLOOKUP('Données projet'!$B$10,Paramètres!$A$1:$I$89,3,0)*VLOOKUP('Données projet'!$B$10,Paramètres!$A$1:$I$89,5,0)</f>
        <v>407.55</v>
      </c>
      <c r="AK162" s="13">
        <f t="shared" si="164"/>
        <v>93.305642095357683</v>
      </c>
      <c r="AL162" s="20">
        <f t="shared" si="165"/>
        <v>872.32357664941446</v>
      </c>
      <c r="AM162" s="59">
        <f t="shared" si="113"/>
        <v>1159.9842462077834</v>
      </c>
      <c r="AN162" s="59">
        <f ca="1">AVERAGE(OFFSET($AM$3,0,0,'Données projet'!$E$10+1,1))-AVERAGE(OFFSET($H$3,0,0,'Données projet'!$E$10+1,1))</f>
        <v>569.97793593332699</v>
      </c>
      <c r="AO162" s="59">
        <f t="shared" si="144"/>
        <v>331.25104323342907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56.45658939744316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56.45658939744316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16.750000000000213</v>
      </c>
      <c r="BE162" s="13">
        <f>BD162*VLOOKUP('Données projet'!$B$11,Paramètres!$A$1:$I$89,3,0)*VLOOKUP('Données projet'!$B$11,Paramètres!$A$1:$I$89,5,0)</f>
        <v>14.11020000000018</v>
      </c>
      <c r="BF162" s="13">
        <f t="shared" si="167"/>
        <v>4.7783677814795205</v>
      </c>
      <c r="BG162" s="20">
        <f t="shared" si="168"/>
        <v>32.897588886077138</v>
      </c>
      <c r="BH162" s="59">
        <f t="shared" si="116"/>
        <v>320.5582584444461</v>
      </c>
      <c r="BI162" s="59">
        <f ca="1">AVERAGE(OFFSET($BH$3,0,0,'Données projet'!$E$11+1,1))-AVERAGE(OFFSET($H$3,0,0,'Données projet'!$E$11+1,1))</f>
        <v>458.88102603650725</v>
      </c>
      <c r="BJ162" s="59">
        <f t="shared" si="146"/>
        <v>277.79020316059552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89.000473095503637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89.000473095503637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269.8175999999998</v>
      </c>
      <c r="CA162" s="13">
        <f t="shared" si="170"/>
        <v>64.810557882019467</v>
      </c>
      <c r="CB162" s="20">
        <f t="shared" si="171"/>
        <v>582.81070831118348</v>
      </c>
      <c r="CC162" s="59">
        <f t="shared" si="119"/>
        <v>870.4713778695525</v>
      </c>
      <c r="CD162" s="59">
        <f ca="1">AVERAGE(OFFSET($CC$3,0,0,'Données projet'!$E$12+1,1))-AVERAGE(OFFSET($H$3,0,0,'Données projet'!$E$12+1,1))</f>
        <v>400.48995908576177</v>
      </c>
      <c r="CE162" s="59">
        <f t="shared" si="148"/>
        <v>384.86917865380076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9.6397036009804733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9.6397036009804733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277.99999999999994</v>
      </c>
      <c r="CU162" s="17">
        <f>CT162*VLOOKUP('Données projet'!$B$13,Paramètres!$A$1:$I$89,3,0)*VLOOKUP('Données projet'!$B$13,Paramètres!$A$1:$I$89,5,0)</f>
        <v>151.78799999999998</v>
      </c>
      <c r="CV162" s="13">
        <f t="shared" si="173"/>
        <v>38.984634390835623</v>
      </c>
      <c r="CW162" s="20">
        <f t="shared" si="174"/>
        <v>332.26233823070532</v>
      </c>
      <c r="CX162" s="59">
        <f t="shared" si="122"/>
        <v>619.92300778907429</v>
      </c>
      <c r="CY162" s="59">
        <f ca="1">AVERAGE(OFFSET($CX$3,0,0,'Données projet'!$E$13+1,1))-AVERAGE(OFFSET($H$3,0,0,'Données projet'!$E$13+1,1))</f>
        <v>215.37314197175104</v>
      </c>
      <c r="CZ162" s="59">
        <f t="shared" si="150"/>
        <v>361.17630426655978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2.8525160689235127</v>
      </c>
      <c r="DG162" s="21">
        <f>EXP(-LN(2)/25)*DG161+(1-EXP(-LN(2)/25))/(LN(2)/25)*Calculateur!DB162*Calculateur!DD162*VLOOKUP('Données projet'!$B$13,Paramètres!$A$1:$I$89,3,0)*0.475*44/12</f>
        <v>2.6862351194460028</v>
      </c>
      <c r="DH162" s="21">
        <f>EXP(-LN(2)/2)*DH161+(1-EXP(-LN(2)/2))/(LN(2)/2)*DB162*DE162*VLOOKUP('Données projet'!$B$13,Paramètres!$A$1:$I$89,3,0)*0.475*44/12</f>
        <v>9.7194747384356549E-22</v>
      </c>
      <c r="DI162" s="22">
        <f t="shared" si="175"/>
        <v>5.5387511883695151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329.25830779854329</v>
      </c>
      <c r="S163" s="59">
        <f ca="1">AVERAGE(OFFSET($R$3,0,0,'Données projet'!$E$9+1,1))-AVERAGE(OFFSET($H$3,0,0,'Données projet'!$E$9+1,1))</f>
        <v>567.42635821336114</v>
      </c>
      <c r="T163" s="59">
        <f t="shared" si="142"/>
        <v>299.0473530693472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474.99999999999994</v>
      </c>
      <c r="AJ163" s="13">
        <f>AI163*VLOOKUP('Données projet'!$B$10,Paramètres!$A$1:$I$89,3,0)*VLOOKUP('Données projet'!$B$10,Paramètres!$A$1:$I$89,5,0)</f>
        <v>407.55</v>
      </c>
      <c r="AK163" s="13">
        <f t="shared" si="164"/>
        <v>93.305642095357683</v>
      </c>
      <c r="AL163" s="20">
        <f t="shared" si="165"/>
        <v>872.32357664941446</v>
      </c>
      <c r="AM163" s="59">
        <f t="shared" si="113"/>
        <v>1160.0826542421028</v>
      </c>
      <c r="AN163" s="59">
        <f ca="1">AVERAGE(OFFSET($AM$3,0,0,'Données projet'!$E$10+1,1))-AVERAGE(OFFSET($H$3,0,0,'Données projet'!$E$10+1,1))</f>
        <v>569.97793593332699</v>
      </c>
      <c r="AO163" s="59">
        <f t="shared" si="144"/>
        <v>331.25104323342907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55.349510114478647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55.349510114478647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16.750000000000213</v>
      </c>
      <c r="BE163" s="13">
        <f>BD163*VLOOKUP('Données projet'!$B$11,Paramètres!$A$1:$I$89,3,0)*VLOOKUP('Données projet'!$B$11,Paramètres!$A$1:$I$89,5,0)</f>
        <v>14.11020000000018</v>
      </c>
      <c r="BF163" s="13">
        <f t="shared" si="167"/>
        <v>4.7783677814795205</v>
      </c>
      <c r="BG163" s="20">
        <f t="shared" si="168"/>
        <v>32.897588886077138</v>
      </c>
      <c r="BH163" s="59">
        <f t="shared" si="116"/>
        <v>320.65666647876549</v>
      </c>
      <c r="BI163" s="59">
        <f ca="1">AVERAGE(OFFSET($BH$3,0,0,'Données projet'!$E$11+1,1))-AVERAGE(OFFSET($H$3,0,0,'Données projet'!$E$11+1,1))</f>
        <v>458.88102603650725</v>
      </c>
      <c r="BJ163" s="59">
        <f t="shared" si="146"/>
        <v>277.79020316059552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87.255228103029211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87.255228103029211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269.8175999999998</v>
      </c>
      <c r="CA163" s="13">
        <f t="shared" si="170"/>
        <v>64.810557882019467</v>
      </c>
      <c r="CB163" s="20">
        <f t="shared" si="171"/>
        <v>582.81070831118348</v>
      </c>
      <c r="CC163" s="59">
        <f t="shared" si="119"/>
        <v>870.56978590387189</v>
      </c>
      <c r="CD163" s="59">
        <f ca="1">AVERAGE(OFFSET($CC$3,0,0,'Données projet'!$E$12+1,1))-AVERAGE(OFFSET($H$3,0,0,'Données projet'!$E$12+1,1))</f>
        <v>400.48995908576177</v>
      </c>
      <c r="CE163" s="59">
        <f t="shared" si="148"/>
        <v>384.86917865380076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9.4506748930038764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9.4506748930038764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277.99999999999994</v>
      </c>
      <c r="CU163" s="17">
        <f>CT163*VLOOKUP('Données projet'!$B$13,Paramètres!$A$1:$I$89,3,0)*VLOOKUP('Données projet'!$B$13,Paramètres!$A$1:$I$89,5,0)</f>
        <v>151.78799999999998</v>
      </c>
      <c r="CV163" s="13">
        <f t="shared" si="173"/>
        <v>38.984634390835623</v>
      </c>
      <c r="CW163" s="20">
        <f t="shared" si="174"/>
        <v>332.26233823070532</v>
      </c>
      <c r="CX163" s="59">
        <f t="shared" si="122"/>
        <v>620.02141582339368</v>
      </c>
      <c r="CY163" s="59">
        <f ca="1">AVERAGE(OFFSET($CX$3,0,0,'Données projet'!$E$13+1,1))-AVERAGE(OFFSET($H$3,0,0,'Données projet'!$E$13+1,1))</f>
        <v>215.37314197175104</v>
      </c>
      <c r="CZ163" s="59">
        <f t="shared" si="150"/>
        <v>361.17630426655978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2.7965799686749273</v>
      </c>
      <c r="DG163" s="21">
        <f>EXP(-LN(2)/25)*DG162+(1-EXP(-LN(2)/25))/(LN(2)/25)*Calculateur!DB163*Calculateur!DD163*VLOOKUP('Données projet'!$B$13,Paramètres!$A$1:$I$89,3,0)*0.475*44/12</f>
        <v>2.6127798788417862</v>
      </c>
      <c r="DH163" s="21">
        <f>EXP(-LN(2)/2)*DH162+(1-EXP(-LN(2)/2))/(LN(2)/2)*DB163*DE163*VLOOKUP('Données projet'!$B$13,Paramètres!$A$1:$I$89,3,0)*0.475*44/12</f>
        <v>6.8727064971191971E-22</v>
      </c>
      <c r="DI163" s="22">
        <f t="shared" si="175"/>
        <v>5.4093598475167131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329.35500867347463</v>
      </c>
      <c r="S164" s="59">
        <f ca="1">AVERAGE(OFFSET($R$3,0,0,'Données projet'!$E$9+1,1))-AVERAGE(OFFSET($H$3,0,0,'Données projet'!$E$9+1,1))</f>
        <v>567.42635821336114</v>
      </c>
      <c r="T164" s="59">
        <f t="shared" si="142"/>
        <v>299.0473530693472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474.99999999999994</v>
      </c>
      <c r="AJ164" s="13">
        <f>AI164*VLOOKUP('Données projet'!$B$10,Paramètres!$A$1:$I$89,3,0)*VLOOKUP('Données projet'!$B$10,Paramètres!$A$1:$I$89,5,0)</f>
        <v>407.55</v>
      </c>
      <c r="AK164" s="13">
        <f t="shared" si="164"/>
        <v>93.305642095357683</v>
      </c>
      <c r="AL164" s="20">
        <f t="shared" si="165"/>
        <v>872.32357664941446</v>
      </c>
      <c r="AM164" s="59">
        <f t="shared" si="113"/>
        <v>1160.1793551170342</v>
      </c>
      <c r="AN164" s="59">
        <f ca="1">AVERAGE(OFFSET($AM$3,0,0,'Données projet'!$E$10+1,1))-AVERAGE(OFFSET($H$3,0,0,'Données projet'!$E$10+1,1))</f>
        <v>569.97793593332699</v>
      </c>
      <c r="AO164" s="59">
        <f t="shared" si="144"/>
        <v>331.25104323342907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54.264139981001378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54.264139981001378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16.750000000000213</v>
      </c>
      <c r="BE164" s="13">
        <f>BD164*VLOOKUP('Données projet'!$B$11,Paramètres!$A$1:$I$89,3,0)*VLOOKUP('Données projet'!$B$11,Paramètres!$A$1:$I$89,5,0)</f>
        <v>14.11020000000018</v>
      </c>
      <c r="BF164" s="13">
        <f t="shared" si="167"/>
        <v>4.7783677814795205</v>
      </c>
      <c r="BG164" s="20">
        <f t="shared" si="168"/>
        <v>32.897588886077138</v>
      </c>
      <c r="BH164" s="59">
        <f t="shared" si="116"/>
        <v>320.75336735369683</v>
      </c>
      <c r="BI164" s="59">
        <f ca="1">AVERAGE(OFFSET($BH$3,0,0,'Données projet'!$E$11+1,1))-AVERAGE(OFFSET($H$3,0,0,'Données projet'!$E$11+1,1))</f>
        <v>458.88102603650725</v>
      </c>
      <c r="BJ164" s="59">
        <f t="shared" si="146"/>
        <v>277.79020316059552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85.544206300362873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85.544206300362873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269.8175999999998</v>
      </c>
      <c r="CA164" s="13">
        <f t="shared" si="170"/>
        <v>64.810557882019467</v>
      </c>
      <c r="CB164" s="20">
        <f t="shared" si="171"/>
        <v>582.81070831118348</v>
      </c>
      <c r="CC164" s="59">
        <f t="shared" si="119"/>
        <v>870.66648677880312</v>
      </c>
      <c r="CD164" s="59">
        <f ca="1">AVERAGE(OFFSET($CC$3,0,0,'Données projet'!$E$12+1,1))-AVERAGE(OFFSET($H$3,0,0,'Données projet'!$E$12+1,1))</f>
        <v>400.48995908576177</v>
      </c>
      <c r="CE164" s="59">
        <f t="shared" si="148"/>
        <v>384.86917865380076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9.2653529226945732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9.2653529226945732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277.99999999999994</v>
      </c>
      <c r="CU164" s="17">
        <f>CT164*VLOOKUP('Données projet'!$B$13,Paramètres!$A$1:$I$89,3,0)*VLOOKUP('Données projet'!$B$13,Paramètres!$A$1:$I$89,5,0)</f>
        <v>151.78799999999998</v>
      </c>
      <c r="CV164" s="13">
        <f t="shared" si="173"/>
        <v>38.984634390835623</v>
      </c>
      <c r="CW164" s="20">
        <f t="shared" si="174"/>
        <v>332.26233823070532</v>
      </c>
      <c r="CX164" s="59">
        <f t="shared" si="122"/>
        <v>620.11811669832503</v>
      </c>
      <c r="CY164" s="59">
        <f ca="1">AVERAGE(OFFSET($CX$3,0,0,'Données projet'!$E$13+1,1))-AVERAGE(OFFSET($H$3,0,0,'Données projet'!$E$13+1,1))</f>
        <v>215.37314197175104</v>
      </c>
      <c r="CZ164" s="59">
        <f t="shared" si="150"/>
        <v>361.17630426655978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2.7417407412345645</v>
      </c>
      <c r="DG164" s="21">
        <f>EXP(-LN(2)/25)*DG163+(1-EXP(-LN(2)/25))/(LN(2)/25)*Calculateur!DB164*Calculateur!DD164*VLOOKUP('Données projet'!$B$13,Paramètres!$A$1:$I$89,3,0)*0.475*44/12</f>
        <v>2.5413332756547353</v>
      </c>
      <c r="DH164" s="21">
        <f>EXP(-LN(2)/2)*DH163+(1-EXP(-LN(2)/2))/(LN(2)/2)*DB164*DE164*VLOOKUP('Données projet'!$B$13,Paramètres!$A$1:$I$89,3,0)*0.475*44/12</f>
        <v>4.8597373692178275E-22</v>
      </c>
      <c r="DI164" s="22">
        <f t="shared" si="175"/>
        <v>5.2830740168892998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329.45003200441664</v>
      </c>
      <c r="S165" s="59">
        <f ca="1">AVERAGE(OFFSET($R$3,0,0,'Données projet'!$E$9+1,1))-AVERAGE(OFFSET($H$3,0,0,'Données projet'!$E$9+1,1))</f>
        <v>567.42635821336114</v>
      </c>
      <c r="T165" s="59">
        <f t="shared" si="142"/>
        <v>299.0473530693472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474.99999999999994</v>
      </c>
      <c r="AJ165" s="13">
        <f>AI165*VLOOKUP('Données projet'!$B$10,Paramètres!$A$1:$I$89,3,0)*VLOOKUP('Données projet'!$B$10,Paramètres!$A$1:$I$89,5,0)</f>
        <v>407.55</v>
      </c>
      <c r="AK165" s="13">
        <f t="shared" si="164"/>
        <v>93.305642095357683</v>
      </c>
      <c r="AL165" s="20">
        <f t="shared" si="165"/>
        <v>872.32357664941446</v>
      </c>
      <c r="AM165" s="59">
        <f t="shared" si="113"/>
        <v>1160.2743784479762</v>
      </c>
      <c r="AN165" s="59">
        <f ca="1">AVERAGE(OFFSET($AM$3,0,0,'Données projet'!$E$10+1,1))-AVERAGE(OFFSET($H$3,0,0,'Données projet'!$E$10+1,1))</f>
        <v>569.97793593332699</v>
      </c>
      <c r="AO165" s="59">
        <f t="shared" si="144"/>
        <v>331.25104323342907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53.200053293831189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53.200053293831189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16.750000000000213</v>
      </c>
      <c r="BE165" s="13">
        <f>BD165*VLOOKUP('Données projet'!$B$11,Paramètres!$A$1:$I$89,3,0)*VLOOKUP('Données projet'!$B$11,Paramètres!$A$1:$I$89,5,0)</f>
        <v>14.11020000000018</v>
      </c>
      <c r="BF165" s="13">
        <f t="shared" si="167"/>
        <v>4.7783677814795205</v>
      </c>
      <c r="BG165" s="20">
        <f t="shared" si="168"/>
        <v>32.897588886077138</v>
      </c>
      <c r="BH165" s="59">
        <f t="shared" si="116"/>
        <v>320.84839068463884</v>
      </c>
      <c r="BI165" s="59">
        <f ca="1">AVERAGE(OFFSET($BH$3,0,0,'Données projet'!$E$11+1,1))-AVERAGE(OFFSET($H$3,0,0,'Données projet'!$E$11+1,1))</f>
        <v>458.88102603650725</v>
      </c>
      <c r="BJ165" s="59">
        <f t="shared" si="146"/>
        <v>277.79020316059552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83.866736591626562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83.866736591626562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269.8175999999998</v>
      </c>
      <c r="CA165" s="13">
        <f t="shared" si="170"/>
        <v>64.810557882019467</v>
      </c>
      <c r="CB165" s="20">
        <f t="shared" si="171"/>
        <v>582.81070831118348</v>
      </c>
      <c r="CC165" s="59">
        <f t="shared" si="119"/>
        <v>870.76151010974513</v>
      </c>
      <c r="CD165" s="59">
        <f ca="1">AVERAGE(OFFSET($CC$3,0,0,'Données projet'!$E$12+1,1))-AVERAGE(OFFSET($H$3,0,0,'Données projet'!$E$12+1,1))</f>
        <v>400.48995908576177</v>
      </c>
      <c r="CE165" s="59">
        <f t="shared" si="148"/>
        <v>384.86917865380076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9.0836650031877948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9.0836650031877948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277.99999999999994</v>
      </c>
      <c r="CU165" s="17">
        <f>CT165*VLOOKUP('Données projet'!$B$13,Paramètres!$A$1:$I$89,3,0)*VLOOKUP('Données projet'!$B$13,Paramètres!$A$1:$I$89,5,0)</f>
        <v>151.78799999999998</v>
      </c>
      <c r="CV165" s="13">
        <f t="shared" si="173"/>
        <v>38.984634390835623</v>
      </c>
      <c r="CW165" s="20">
        <f t="shared" si="174"/>
        <v>332.26233823070532</v>
      </c>
      <c r="CX165" s="59">
        <f t="shared" si="122"/>
        <v>620.21314002926704</v>
      </c>
      <c r="CY165" s="59">
        <f ca="1">AVERAGE(OFFSET($CX$3,0,0,'Données projet'!$E$13+1,1))-AVERAGE(OFFSET($H$3,0,0,'Données projet'!$E$13+1,1))</f>
        <v>215.37314197175104</v>
      </c>
      <c r="CZ165" s="59">
        <f t="shared" si="150"/>
        <v>361.17630426655978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2.6879768775956814</v>
      </c>
      <c r="DG165" s="21">
        <f>EXP(-LN(2)/25)*DG164+(1-EXP(-LN(2)/25))/(LN(2)/25)*Calculateur!DB165*Calculateur!DD165*VLOOKUP('Données projet'!$B$13,Paramètres!$A$1:$I$89,3,0)*0.475*44/12</f>
        <v>2.4718403835890479</v>
      </c>
      <c r="DH165" s="21">
        <f>EXP(-LN(2)/2)*DH164+(1-EXP(-LN(2)/2))/(LN(2)/2)*DB165*DE165*VLOOKUP('Données projet'!$B$13,Paramètres!$A$1:$I$89,3,0)*0.475*44/12</f>
        <v>3.4363532485595985E-22</v>
      </c>
      <c r="DI165" s="22">
        <f t="shared" si="175"/>
        <v>5.1598172611847293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329.54340689300716</v>
      </c>
      <c r="S166" s="59">
        <f ca="1">AVERAGE(OFFSET($R$3,0,0,'Données projet'!$E$9+1,1))-AVERAGE(OFFSET($H$3,0,0,'Données projet'!$E$9+1,1))</f>
        <v>567.42635821336114</v>
      </c>
      <c r="T166" s="59">
        <f t="shared" si="142"/>
        <v>299.0473530693472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474.99999999999994</v>
      </c>
      <c r="AJ166" s="13">
        <f>AI166*VLOOKUP('Données projet'!$B$10,Paramètres!$A$1:$I$89,3,0)*VLOOKUP('Données projet'!$B$10,Paramètres!$A$1:$I$89,5,0)</f>
        <v>407.55</v>
      </c>
      <c r="AK166" s="13">
        <f t="shared" si="164"/>
        <v>93.305642095357683</v>
      </c>
      <c r="AL166" s="20">
        <f t="shared" si="165"/>
        <v>872.32357664941446</v>
      </c>
      <c r="AM166" s="59">
        <f t="shared" si="113"/>
        <v>1160.3677533365667</v>
      </c>
      <c r="AN166" s="59">
        <f ca="1">AVERAGE(OFFSET($AM$3,0,0,'Données projet'!$E$10+1,1))-AVERAGE(OFFSET($H$3,0,0,'Données projet'!$E$10+1,1))</f>
        <v>569.97793593332699</v>
      </c>
      <c r="AO166" s="59">
        <f t="shared" si="144"/>
        <v>331.25104323342907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52.156832697567616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52.156832697567616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16.750000000000213</v>
      </c>
      <c r="BE166" s="13">
        <f>BD166*VLOOKUP('Données projet'!$B$11,Paramètres!$A$1:$I$89,3,0)*VLOOKUP('Données projet'!$B$11,Paramètres!$A$1:$I$89,5,0)</f>
        <v>14.11020000000018</v>
      </c>
      <c r="BF166" s="13">
        <f t="shared" si="167"/>
        <v>4.7783677814795205</v>
      </c>
      <c r="BG166" s="20">
        <f t="shared" si="168"/>
        <v>32.897588886077138</v>
      </c>
      <c r="BH166" s="59">
        <f t="shared" si="116"/>
        <v>320.94176557322936</v>
      </c>
      <c r="BI166" s="59">
        <f ca="1">AVERAGE(OFFSET($BH$3,0,0,'Données projet'!$E$11+1,1))-AVERAGE(OFFSET($H$3,0,0,'Données projet'!$E$11+1,1))</f>
        <v>458.88102603650725</v>
      </c>
      <c r="BJ166" s="59">
        <f t="shared" si="146"/>
        <v>277.79020316059552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82.22216104072308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82.22216104072308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269.8175999999998</v>
      </c>
      <c r="CA166" s="13">
        <f t="shared" si="170"/>
        <v>64.810557882019467</v>
      </c>
      <c r="CB166" s="20">
        <f t="shared" si="171"/>
        <v>582.81070831118348</v>
      </c>
      <c r="CC166" s="59">
        <f t="shared" si="119"/>
        <v>870.85488499833571</v>
      </c>
      <c r="CD166" s="59">
        <f ca="1">AVERAGE(OFFSET($CC$3,0,0,'Données projet'!$E$12+1,1))-AVERAGE(OFFSET($H$3,0,0,'Données projet'!$E$12+1,1))</f>
        <v>400.48995908576177</v>
      </c>
      <c r="CE166" s="59">
        <f t="shared" si="148"/>
        <v>384.86917865380076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8.9055398729638569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8.9055398729638569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277.99999999999994</v>
      </c>
      <c r="CU166" s="17">
        <f>CT166*VLOOKUP('Données projet'!$B$13,Paramètres!$A$1:$I$89,3,0)*VLOOKUP('Données projet'!$B$13,Paramètres!$A$1:$I$89,5,0)</f>
        <v>151.78799999999998</v>
      </c>
      <c r="CV166" s="13">
        <f t="shared" si="173"/>
        <v>38.984634390835623</v>
      </c>
      <c r="CW166" s="20">
        <f t="shared" si="174"/>
        <v>332.26233823070532</v>
      </c>
      <c r="CX166" s="59">
        <f t="shared" si="122"/>
        <v>620.30651491785761</v>
      </c>
      <c r="CY166" s="59">
        <f ca="1">AVERAGE(OFFSET($CX$3,0,0,'Données projet'!$E$13+1,1))-AVERAGE(OFFSET($H$3,0,0,'Données projet'!$E$13+1,1))</f>
        <v>215.37314197175104</v>
      </c>
      <c r="CZ166" s="59">
        <f t="shared" si="150"/>
        <v>361.17630426655978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2.6352672905300376</v>
      </c>
      <c r="DG166" s="21">
        <f>EXP(-LN(2)/25)*DG165+(1-EXP(-LN(2)/25))/(LN(2)/25)*Calculateur!DB166*Calculateur!DD166*VLOOKUP('Données projet'!$B$13,Paramètres!$A$1:$I$89,3,0)*0.475*44/12</f>
        <v>2.4042477783113689</v>
      </c>
      <c r="DH166" s="21">
        <f>EXP(-LN(2)/2)*DH165+(1-EXP(-LN(2)/2))/(LN(2)/2)*DB166*DE166*VLOOKUP('Données projet'!$B$13,Paramètres!$A$1:$I$89,3,0)*0.475*44/12</f>
        <v>2.4298686846089137E-22</v>
      </c>
      <c r="DI166" s="22">
        <f t="shared" si="175"/>
        <v>5.039515068841407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329.63516193603562</v>
      </c>
      <c r="S167" s="59">
        <f ca="1">AVERAGE(OFFSET($R$3,0,0,'Données projet'!$E$9+1,1))-AVERAGE(OFFSET($H$3,0,0,'Données projet'!$E$9+1,1))</f>
        <v>567.42635821336114</v>
      </c>
      <c r="T167" s="59">
        <f t="shared" si="142"/>
        <v>299.0473530693472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474.99999999999994</v>
      </c>
      <c r="AJ167" s="13">
        <f>AI167*VLOOKUP('Données projet'!$B$10,Paramètres!$A$1:$I$89,3,0)*VLOOKUP('Données projet'!$B$10,Paramètres!$A$1:$I$89,5,0)</f>
        <v>407.55</v>
      </c>
      <c r="AK167" s="13">
        <f t="shared" si="164"/>
        <v>93.305642095357683</v>
      </c>
      <c r="AL167" s="20">
        <f t="shared" si="165"/>
        <v>872.32357664941446</v>
      </c>
      <c r="AM167" s="59">
        <f t="shared" si="113"/>
        <v>1160.4595083795953</v>
      </c>
      <c r="AN167" s="59">
        <f ca="1">AVERAGE(OFFSET($AM$3,0,0,'Données projet'!$E$10+1,1))-AVERAGE(OFFSET($H$3,0,0,'Données projet'!$E$10+1,1))</f>
        <v>569.97793593332699</v>
      </c>
      <c r="AO167" s="59">
        <f t="shared" si="144"/>
        <v>331.25104323342907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51.134069020895033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51.134069020895033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16.750000000000213</v>
      </c>
      <c r="BE167" s="13">
        <f>BD167*VLOOKUP('Données projet'!$B$11,Paramètres!$A$1:$I$89,3,0)*VLOOKUP('Données projet'!$B$11,Paramètres!$A$1:$I$89,5,0)</f>
        <v>14.11020000000018</v>
      </c>
      <c r="BF167" s="13">
        <f t="shared" si="167"/>
        <v>4.7783677814795205</v>
      </c>
      <c r="BG167" s="20">
        <f t="shared" si="168"/>
        <v>32.897588886077138</v>
      </c>
      <c r="BH167" s="59">
        <f t="shared" si="116"/>
        <v>321.03352061625782</v>
      </c>
      <c r="BI167" s="59">
        <f ca="1">AVERAGE(OFFSET($BH$3,0,0,'Données projet'!$E$11+1,1))-AVERAGE(OFFSET($H$3,0,0,'Données projet'!$E$11+1,1))</f>
        <v>458.88102603650725</v>
      </c>
      <c r="BJ167" s="59">
        <f t="shared" si="146"/>
        <v>277.79020316059552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80.609834613280782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80.609834613280782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269.8175999999998</v>
      </c>
      <c r="CA167" s="13">
        <f t="shared" si="170"/>
        <v>64.810557882019467</v>
      </c>
      <c r="CB167" s="20">
        <f t="shared" si="171"/>
        <v>582.81070831118348</v>
      </c>
      <c r="CC167" s="59">
        <f t="shared" si="119"/>
        <v>870.94664004136416</v>
      </c>
      <c r="CD167" s="59">
        <f ca="1">AVERAGE(OFFSET($CC$3,0,0,'Données projet'!$E$12+1,1))-AVERAGE(OFFSET($H$3,0,0,'Données projet'!$E$12+1,1))</f>
        <v>400.48995908576177</v>
      </c>
      <c r="CE167" s="59">
        <f t="shared" si="148"/>
        <v>384.86917865380076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8.7309076678980073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8.7309076678980073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277.99999999999994</v>
      </c>
      <c r="CU167" s="17">
        <f>CT167*VLOOKUP('Données projet'!$B$13,Paramètres!$A$1:$I$89,3,0)*VLOOKUP('Données projet'!$B$13,Paramètres!$A$1:$I$89,5,0)</f>
        <v>151.78799999999998</v>
      </c>
      <c r="CV167" s="13">
        <f t="shared" si="173"/>
        <v>38.984634390835623</v>
      </c>
      <c r="CW167" s="20">
        <f t="shared" si="174"/>
        <v>332.26233823070532</v>
      </c>
      <c r="CX167" s="59">
        <f t="shared" si="122"/>
        <v>620.39826996088595</v>
      </c>
      <c r="CY167" s="59">
        <f ca="1">AVERAGE(OFFSET($CX$3,0,0,'Données projet'!$E$13+1,1))-AVERAGE(OFFSET($H$3,0,0,'Données projet'!$E$13+1,1))</f>
        <v>215.37314197175104</v>
      </c>
      <c r="CZ167" s="59">
        <f t="shared" si="150"/>
        <v>361.17630426655978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2.5835913063170777</v>
      </c>
      <c r="DG167" s="21">
        <f>EXP(-LN(2)/25)*DG166+(1-EXP(-LN(2)/25))/(LN(2)/25)*Calculateur!DB167*Calculateur!DD167*VLOOKUP('Données projet'!$B$13,Paramètres!$A$1:$I$89,3,0)*0.475*44/12</f>
        <v>2.3385034963795488</v>
      </c>
      <c r="DH167" s="21">
        <f>EXP(-LN(2)/2)*DH166+(1-EXP(-LN(2)/2))/(LN(2)/2)*DB167*DE167*VLOOKUP('Données projet'!$B$13,Paramètres!$A$1:$I$89,3,0)*0.475*44/12</f>
        <v>1.7181766242797993E-22</v>
      </c>
      <c r="DI167" s="22">
        <f t="shared" si="175"/>
        <v>4.9220948026966269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329.72532523420108</v>
      </c>
      <c r="S168" s="59">
        <f ca="1">AVERAGE(OFFSET($R$3,0,0,'Données projet'!$E$9+1,1))-AVERAGE(OFFSET($H$3,0,0,'Données projet'!$E$9+1,1))</f>
        <v>567.42635821336114</v>
      </c>
      <c r="T168" s="59">
        <f t="shared" si="142"/>
        <v>299.0473530693472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474.99999999999994</v>
      </c>
      <c r="AJ168" s="13">
        <f>AI168*VLOOKUP('Données projet'!$B$10,Paramètres!$A$1:$I$89,3,0)*VLOOKUP('Données projet'!$B$10,Paramètres!$A$1:$I$89,5,0)</f>
        <v>407.55</v>
      </c>
      <c r="AK168" s="13">
        <f t="shared" si="164"/>
        <v>93.305642095357683</v>
      </c>
      <c r="AL168" s="20">
        <f t="shared" si="165"/>
        <v>872.32357664941446</v>
      </c>
      <c r="AM168" s="59">
        <f t="shared" si="113"/>
        <v>1160.5496716777607</v>
      </c>
      <c r="AN168" s="59">
        <f ca="1">AVERAGE(OFFSET($AM$3,0,0,'Données projet'!$E$10+1,1))-AVERAGE(OFFSET($H$3,0,0,'Données projet'!$E$10+1,1))</f>
        <v>569.97793593332699</v>
      </c>
      <c r="AO168" s="59">
        <f t="shared" si="144"/>
        <v>331.25104323342907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50.131361116097757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50.131361116097757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16.750000000000213</v>
      </c>
      <c r="BE168" s="13">
        <f>BD168*VLOOKUP('Données projet'!$B$11,Paramètres!$A$1:$I$89,3,0)*VLOOKUP('Données projet'!$B$11,Paramètres!$A$1:$I$89,5,0)</f>
        <v>14.11020000000018</v>
      </c>
      <c r="BF168" s="13">
        <f t="shared" si="167"/>
        <v>4.7783677814795205</v>
      </c>
      <c r="BG168" s="20">
        <f t="shared" si="168"/>
        <v>32.897588886077138</v>
      </c>
      <c r="BH168" s="59">
        <f t="shared" si="116"/>
        <v>321.12368391442328</v>
      </c>
      <c r="BI168" s="59">
        <f ca="1">AVERAGE(OFFSET($BH$3,0,0,'Données projet'!$E$11+1,1))-AVERAGE(OFFSET($H$3,0,0,'Données projet'!$E$11+1,1))</f>
        <v>458.88102603650725</v>
      </c>
      <c r="BJ168" s="59">
        <f t="shared" si="146"/>
        <v>277.79020316059552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79.029124923658614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79.029124923658614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269.8175999999998</v>
      </c>
      <c r="CA168" s="13">
        <f t="shared" si="170"/>
        <v>64.810557882019467</v>
      </c>
      <c r="CB168" s="20">
        <f t="shared" si="171"/>
        <v>582.81070831118348</v>
      </c>
      <c r="CC168" s="59">
        <f t="shared" si="119"/>
        <v>871.03680333952957</v>
      </c>
      <c r="CD168" s="59">
        <f ca="1">AVERAGE(OFFSET($CC$3,0,0,'Données projet'!$E$12+1,1))-AVERAGE(OFFSET($H$3,0,0,'Données projet'!$E$12+1,1))</f>
        <v>400.48995908576177</v>
      </c>
      <c r="CE168" s="59">
        <f t="shared" si="148"/>
        <v>384.86917865380076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8.5596998938583724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8.5596998938583724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277.99999999999994</v>
      </c>
      <c r="CU168" s="17">
        <f>CT168*VLOOKUP('Données projet'!$B$13,Paramètres!$A$1:$I$89,3,0)*VLOOKUP('Données projet'!$B$13,Paramètres!$A$1:$I$89,5,0)</f>
        <v>151.78799999999998</v>
      </c>
      <c r="CV168" s="13">
        <f t="shared" si="173"/>
        <v>38.984634390835623</v>
      </c>
      <c r="CW168" s="20">
        <f t="shared" si="174"/>
        <v>332.26233823070532</v>
      </c>
      <c r="CX168" s="59">
        <f t="shared" si="122"/>
        <v>620.48843325905148</v>
      </c>
      <c r="CY168" s="59">
        <f ca="1">AVERAGE(OFFSET($CX$3,0,0,'Données projet'!$E$13+1,1))-AVERAGE(OFFSET($H$3,0,0,'Données projet'!$E$13+1,1))</f>
        <v>215.37314197175104</v>
      </c>
      <c r="CZ168" s="59">
        <f t="shared" si="150"/>
        <v>361.17630426655978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2.532928656635296</v>
      </c>
      <c r="DG168" s="21">
        <f>EXP(-LN(2)/25)*DG167+(1-EXP(-LN(2)/25))/(LN(2)/25)*Calculateur!DB168*Calculateur!DD168*VLOOKUP('Données projet'!$B$13,Paramètres!$A$1:$I$89,3,0)*0.475*44/12</f>
        <v>2.2745569952944957</v>
      </c>
      <c r="DH168" s="21">
        <f>EXP(-LN(2)/2)*DH167+(1-EXP(-LN(2)/2))/(LN(2)/2)*DB168*DE168*VLOOKUP('Données projet'!$B$13,Paramètres!$A$1:$I$89,3,0)*0.475*44/12</f>
        <v>1.2149343423044569E-22</v>
      </c>
      <c r="DI168" s="22">
        <f t="shared" si="175"/>
        <v>4.8074856519297917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329.81392440071835</v>
      </c>
      <c r="S169" s="59">
        <f ca="1">AVERAGE(OFFSET($R$3,0,0,'Données projet'!$E$9+1,1))-AVERAGE(OFFSET($H$3,0,0,'Données projet'!$E$9+1,1))</f>
        <v>567.42635821336114</v>
      </c>
      <c r="T169" s="59">
        <f t="shared" si="142"/>
        <v>299.0473530693472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474.99999999999994</v>
      </c>
      <c r="AJ169" s="13">
        <f>AI169*VLOOKUP('Données projet'!$B$10,Paramètres!$A$1:$I$89,3,0)*VLOOKUP('Données projet'!$B$10,Paramètres!$A$1:$I$89,5,0)</f>
        <v>407.55</v>
      </c>
      <c r="AK169" s="13">
        <f t="shared" si="164"/>
        <v>93.305642095357683</v>
      </c>
      <c r="AL169" s="20">
        <f t="shared" si="165"/>
        <v>872.32357664941446</v>
      </c>
      <c r="AM169" s="59">
        <f t="shared" si="113"/>
        <v>1160.6382708442779</v>
      </c>
      <c r="AN169" s="59">
        <f ca="1">AVERAGE(OFFSET($AM$3,0,0,'Données projet'!$E$10+1,1))-AVERAGE(OFFSET($H$3,0,0,'Données projet'!$E$10+1,1))</f>
        <v>569.97793593332699</v>
      </c>
      <c r="AO169" s="59">
        <f t="shared" si="144"/>
        <v>331.25104323342907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49.148315701722119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49.148315701722119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16.750000000000213</v>
      </c>
      <c r="BE169" s="13">
        <f>BD169*VLOOKUP('Données projet'!$B$11,Paramètres!$A$1:$I$89,3,0)*VLOOKUP('Données projet'!$B$11,Paramètres!$A$1:$I$89,5,0)</f>
        <v>14.11020000000018</v>
      </c>
      <c r="BF169" s="13">
        <f t="shared" si="167"/>
        <v>4.7783677814795205</v>
      </c>
      <c r="BG169" s="20">
        <f t="shared" si="168"/>
        <v>32.897588886077138</v>
      </c>
      <c r="BH169" s="59">
        <f t="shared" si="116"/>
        <v>321.21228308094055</v>
      </c>
      <c r="BI169" s="59">
        <f ca="1">AVERAGE(OFFSET($BH$3,0,0,'Données projet'!$E$11+1,1))-AVERAGE(OFFSET($H$3,0,0,'Données projet'!$E$11+1,1))</f>
        <v>458.88102603650725</v>
      </c>
      <c r="BJ169" s="59">
        <f t="shared" si="146"/>
        <v>277.79020316059552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77.479411986912226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77.479411986912226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269.8175999999998</v>
      </c>
      <c r="CA169" s="13">
        <f t="shared" si="170"/>
        <v>64.810557882019467</v>
      </c>
      <c r="CB169" s="20">
        <f t="shared" si="171"/>
        <v>582.81070831118348</v>
      </c>
      <c r="CC169" s="59">
        <f t="shared" si="119"/>
        <v>871.12540250604684</v>
      </c>
      <c r="CD169" s="59">
        <f ca="1">AVERAGE(OFFSET($CC$3,0,0,'Données projet'!$E$12+1,1))-AVERAGE(OFFSET($H$3,0,0,'Données projet'!$E$12+1,1))</f>
        <v>400.48995908576177</v>
      </c>
      <c r="CE169" s="59">
        <f t="shared" si="148"/>
        <v>384.86917865380076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8.3918493998412238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8.3918493998412238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277.99999999999994</v>
      </c>
      <c r="CU169" s="17">
        <f>CT169*VLOOKUP('Données projet'!$B$13,Paramètres!$A$1:$I$89,3,0)*VLOOKUP('Données projet'!$B$13,Paramètres!$A$1:$I$89,5,0)</f>
        <v>151.78799999999998</v>
      </c>
      <c r="CV169" s="13">
        <f t="shared" si="173"/>
        <v>38.984634390835623</v>
      </c>
      <c r="CW169" s="20">
        <f t="shared" si="174"/>
        <v>332.26233823070532</v>
      </c>
      <c r="CX169" s="59">
        <f t="shared" si="122"/>
        <v>620.57703242556875</v>
      </c>
      <c r="CY169" s="59">
        <f ca="1">AVERAGE(OFFSET($CX$3,0,0,'Données projet'!$E$13+1,1))-AVERAGE(OFFSET($H$3,0,0,'Données projet'!$E$13+1,1))</f>
        <v>215.37314197175104</v>
      </c>
      <c r="CZ169" s="59">
        <f t="shared" si="150"/>
        <v>361.17630426655978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2.4832594706126088</v>
      </c>
      <c r="DG169" s="21">
        <f>EXP(-LN(2)/25)*DG168+(1-EXP(-LN(2)/25))/(LN(2)/25)*Calculateur!DB169*Calculateur!DD169*VLOOKUP('Données projet'!$B$13,Paramètres!$A$1:$I$89,3,0)*0.475*44/12</f>
        <v>2.2123591146444141</v>
      </c>
      <c r="DH169" s="21">
        <f>EXP(-LN(2)/2)*DH168+(1-EXP(-LN(2)/2))/(LN(2)/2)*DB169*DE169*VLOOKUP('Données projet'!$B$13,Paramètres!$A$1:$I$89,3,0)*0.475*44/12</f>
        <v>8.5908831213989963E-23</v>
      </c>
      <c r="DI169" s="22">
        <f t="shared" si="175"/>
        <v>4.6956185852570229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329.90098656977455</v>
      </c>
      <c r="S170" s="59">
        <f ca="1">AVERAGE(OFFSET($R$3,0,0,'Données projet'!$E$9+1,1))-AVERAGE(OFFSET($H$3,0,0,'Données projet'!$E$9+1,1))</f>
        <v>567.42635821336114</v>
      </c>
      <c r="T170" s="59">
        <f t="shared" si="142"/>
        <v>299.0473530693472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474.99999999999994</v>
      </c>
      <c r="AJ170" s="13">
        <f>AI170*VLOOKUP('Données projet'!$B$10,Paramètres!$A$1:$I$89,3,0)*VLOOKUP('Données projet'!$B$10,Paramètres!$A$1:$I$89,5,0)</f>
        <v>407.55</v>
      </c>
      <c r="AK170" s="13">
        <f t="shared" si="164"/>
        <v>93.305642095357683</v>
      </c>
      <c r="AL170" s="20">
        <f t="shared" si="165"/>
        <v>872.32357664941446</v>
      </c>
      <c r="AM170" s="59">
        <f t="shared" si="113"/>
        <v>1160.725333013334</v>
      </c>
      <c r="AN170" s="59">
        <f ca="1">AVERAGE(OFFSET($AM$3,0,0,'Données projet'!$E$10+1,1))-AVERAGE(OFFSET($H$3,0,0,'Données projet'!$E$10+1,1))</f>
        <v>569.97793593332699</v>
      </c>
      <c r="AO170" s="59">
        <f t="shared" si="144"/>
        <v>331.25104323342907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48.184547208323892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48.184547208323892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16.750000000000213</v>
      </c>
      <c r="BE170" s="13">
        <f>BD170*VLOOKUP('Données projet'!$B$11,Paramètres!$A$1:$I$89,3,0)*VLOOKUP('Données projet'!$B$11,Paramètres!$A$1:$I$89,5,0)</f>
        <v>14.11020000000018</v>
      </c>
      <c r="BF170" s="13">
        <f t="shared" si="167"/>
        <v>4.7783677814795205</v>
      </c>
      <c r="BG170" s="20">
        <f t="shared" si="168"/>
        <v>32.897588886077138</v>
      </c>
      <c r="BH170" s="59">
        <f t="shared" si="116"/>
        <v>321.29934524999675</v>
      </c>
      <c r="BI170" s="59">
        <f ca="1">AVERAGE(OFFSET($BH$3,0,0,'Données projet'!$E$11+1,1))-AVERAGE(OFFSET($H$3,0,0,'Données projet'!$E$11+1,1))</f>
        <v>458.88102603650725</v>
      </c>
      <c r="BJ170" s="59">
        <f t="shared" si="146"/>
        <v>277.79020316059552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75.960087975623864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75.960087975623864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269.8175999999998</v>
      </c>
      <c r="CA170" s="13">
        <f t="shared" si="170"/>
        <v>64.810557882019467</v>
      </c>
      <c r="CB170" s="20">
        <f t="shared" si="171"/>
        <v>582.81070831118348</v>
      </c>
      <c r="CC170" s="59">
        <f t="shared" si="119"/>
        <v>871.21246467510309</v>
      </c>
      <c r="CD170" s="59">
        <f ca="1">AVERAGE(OFFSET($CC$3,0,0,'Données projet'!$E$12+1,1))-AVERAGE(OFFSET($H$3,0,0,'Données projet'!$E$12+1,1))</f>
        <v>400.48995908576177</v>
      </c>
      <c r="CE170" s="59">
        <f t="shared" si="148"/>
        <v>384.86917865380076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8.2272903516330587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8.2272903516330587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277.99999999999994</v>
      </c>
      <c r="CU170" s="17">
        <f>CT170*VLOOKUP('Données projet'!$B$13,Paramètres!$A$1:$I$89,3,0)*VLOOKUP('Données projet'!$B$13,Paramètres!$A$1:$I$89,5,0)</f>
        <v>151.78799999999998</v>
      </c>
      <c r="CV170" s="13">
        <f t="shared" si="173"/>
        <v>38.984634390835623</v>
      </c>
      <c r="CW170" s="20">
        <f t="shared" si="174"/>
        <v>332.26233823070532</v>
      </c>
      <c r="CX170" s="59">
        <f t="shared" si="122"/>
        <v>620.66409459462488</v>
      </c>
      <c r="CY170" s="59">
        <f ca="1">AVERAGE(OFFSET($CX$3,0,0,'Données projet'!$E$13+1,1))-AVERAGE(OFFSET($H$3,0,0,'Données projet'!$E$13+1,1))</f>
        <v>215.37314197175104</v>
      </c>
      <c r="CZ170" s="59">
        <f t="shared" si="150"/>
        <v>361.17630426655978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2.4345642670326146</v>
      </c>
      <c r="DG170" s="21">
        <f>EXP(-LN(2)/25)*DG169+(1-EXP(-LN(2)/25))/(LN(2)/25)*Calculateur!DB170*Calculateur!DD170*VLOOKUP('Données projet'!$B$13,Paramètres!$A$1:$I$89,3,0)*0.475*44/12</f>
        <v>2.1518620383115534</v>
      </c>
      <c r="DH170" s="21">
        <f>EXP(-LN(2)/2)*DH169+(1-EXP(-LN(2)/2))/(LN(2)/2)*DB170*DE170*VLOOKUP('Données projet'!$B$13,Paramètres!$A$1:$I$89,3,0)*0.475*44/12</f>
        <v>6.0746717115222843E-23</v>
      </c>
      <c r="DI170" s="22">
        <f t="shared" si="175"/>
        <v>4.5864263053441681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329.98653840483945</v>
      </c>
      <c r="S171" s="59">
        <f ca="1">AVERAGE(OFFSET($R$3,0,0,'Données projet'!$E$9+1,1))-AVERAGE(OFFSET($H$3,0,0,'Données projet'!$E$9+1,1))</f>
        <v>567.42635821336114</v>
      </c>
      <c r="T171" s="59">
        <f t="shared" si="142"/>
        <v>299.0473530693472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474.99999999999994</v>
      </c>
      <c r="AJ171" s="13">
        <f>AI171*VLOOKUP('Données projet'!$B$10,Paramètres!$A$1:$I$89,3,0)*VLOOKUP('Données projet'!$B$10,Paramètres!$A$1:$I$89,5,0)</f>
        <v>407.55</v>
      </c>
      <c r="AK171" s="13">
        <f t="shared" si="164"/>
        <v>93.305642095357683</v>
      </c>
      <c r="AL171" s="20">
        <f t="shared" si="165"/>
        <v>872.32357664941446</v>
      </c>
      <c r="AM171" s="59">
        <f t="shared" si="113"/>
        <v>1160.8108848483989</v>
      </c>
      <c r="AN171" s="59">
        <f ca="1">AVERAGE(OFFSET($AM$3,0,0,'Données projet'!$E$10+1,1))-AVERAGE(OFFSET($H$3,0,0,'Données projet'!$E$10+1,1))</f>
        <v>569.97793593332699</v>
      </c>
      <c r="AO171" s="59">
        <f t="shared" si="144"/>
        <v>331.25104323342907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47.239677627240468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47.239677627240468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16.750000000000213</v>
      </c>
      <c r="BE171" s="13">
        <f>BD171*VLOOKUP('Données projet'!$B$11,Paramètres!$A$1:$I$89,3,0)*VLOOKUP('Données projet'!$B$11,Paramètres!$A$1:$I$89,5,0)</f>
        <v>14.11020000000018</v>
      </c>
      <c r="BF171" s="13">
        <f t="shared" si="167"/>
        <v>4.7783677814795205</v>
      </c>
      <c r="BG171" s="20">
        <f t="shared" si="168"/>
        <v>32.897588886077138</v>
      </c>
      <c r="BH171" s="59">
        <f t="shared" si="116"/>
        <v>321.38489708506165</v>
      </c>
      <c r="BI171" s="59">
        <f ca="1">AVERAGE(OFFSET($BH$3,0,0,'Données projet'!$E$11+1,1))-AVERAGE(OFFSET($H$3,0,0,'Données projet'!$E$11+1,1))</f>
        <v>458.88102603650725</v>
      </c>
      <c r="BJ171" s="59">
        <f t="shared" si="146"/>
        <v>277.79020316059552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74.470556981500735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74.470556981500735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269.8175999999998</v>
      </c>
      <c r="CA171" s="13">
        <f t="shared" si="170"/>
        <v>64.810557882019467</v>
      </c>
      <c r="CB171" s="20">
        <f t="shared" si="171"/>
        <v>582.81070831118348</v>
      </c>
      <c r="CC171" s="59">
        <f t="shared" si="119"/>
        <v>871.29801651016805</v>
      </c>
      <c r="CD171" s="59">
        <f ca="1">AVERAGE(OFFSET($CC$3,0,0,'Données projet'!$E$12+1,1))-AVERAGE(OFFSET($H$3,0,0,'Données projet'!$E$12+1,1))</f>
        <v>400.48995908576177</v>
      </c>
      <c r="CE171" s="59">
        <f t="shared" si="148"/>
        <v>384.86917865380076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8.0659582059891477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8.0659582059891477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277.99999999999994</v>
      </c>
      <c r="CU171" s="17">
        <f>CT171*VLOOKUP('Données projet'!$B$13,Paramètres!$A$1:$I$89,3,0)*VLOOKUP('Données projet'!$B$13,Paramètres!$A$1:$I$89,5,0)</f>
        <v>151.78799999999998</v>
      </c>
      <c r="CV171" s="13">
        <f t="shared" si="173"/>
        <v>38.984634390835623</v>
      </c>
      <c r="CW171" s="20">
        <f t="shared" si="174"/>
        <v>332.26233823070532</v>
      </c>
      <c r="CX171" s="59">
        <f t="shared" si="122"/>
        <v>620.74964642968985</v>
      </c>
      <c r="CY171" s="59">
        <f ca="1">AVERAGE(OFFSET($CX$3,0,0,'Données projet'!$E$13+1,1))-AVERAGE(OFFSET($H$3,0,0,'Données projet'!$E$13+1,1))</f>
        <v>215.37314197175104</v>
      </c>
      <c r="CZ171" s="59">
        <f t="shared" si="150"/>
        <v>361.17630426655978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2.3868239466936827</v>
      </c>
      <c r="DG171" s="21">
        <f>EXP(-LN(2)/25)*DG170+(1-EXP(-LN(2)/25))/(LN(2)/25)*Calculateur!DB171*Calculateur!DD171*VLOOKUP('Données projet'!$B$13,Paramètres!$A$1:$I$89,3,0)*0.475*44/12</f>
        <v>2.0930192577124176</v>
      </c>
      <c r="DH171" s="21">
        <f>EXP(-LN(2)/2)*DH170+(1-EXP(-LN(2)/2))/(LN(2)/2)*DB171*DE171*VLOOKUP('Données projet'!$B$13,Paramètres!$A$1:$I$89,3,0)*0.475*44/12</f>
        <v>4.2954415606994982E-23</v>
      </c>
      <c r="DI171" s="22">
        <f t="shared" si="175"/>
        <v>4.4798432044060998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330.07060610683135</v>
      </c>
      <c r="S172" s="59">
        <f ca="1">AVERAGE(OFFSET($R$3,0,0,'Données projet'!$E$9+1,1))-AVERAGE(OFFSET($H$3,0,0,'Données projet'!$E$9+1,1))</f>
        <v>567.42635821336114</v>
      </c>
      <c r="T172" s="59">
        <f t="shared" si="142"/>
        <v>299.0473530693472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474.99999999999994</v>
      </c>
      <c r="AJ172" s="13">
        <f>AI172*VLOOKUP('Données projet'!$B$10,Paramètres!$A$1:$I$89,3,0)*VLOOKUP('Données projet'!$B$10,Paramètres!$A$1:$I$89,5,0)</f>
        <v>407.55</v>
      </c>
      <c r="AK172" s="13">
        <f t="shared" si="164"/>
        <v>93.305642095357683</v>
      </c>
      <c r="AL172" s="20">
        <f t="shared" si="165"/>
        <v>872.32357664941446</v>
      </c>
      <c r="AM172" s="59">
        <f t="shared" si="113"/>
        <v>1160.8949525503908</v>
      </c>
      <c r="AN172" s="59">
        <f ca="1">AVERAGE(OFFSET($AM$3,0,0,'Données projet'!$E$10+1,1))-AVERAGE(OFFSET($H$3,0,0,'Données projet'!$E$10+1,1))</f>
        <v>569.97793593332699</v>
      </c>
      <c r="AO172" s="59">
        <f t="shared" si="144"/>
        <v>331.25104323342907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46.313336362328549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46.313336362328549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16.750000000000213</v>
      </c>
      <c r="BE172" s="13">
        <f>BD172*VLOOKUP('Données projet'!$B$11,Paramètres!$A$1:$I$89,3,0)*VLOOKUP('Données projet'!$B$11,Paramètres!$A$1:$I$89,5,0)</f>
        <v>14.11020000000018</v>
      </c>
      <c r="BF172" s="13">
        <f t="shared" si="167"/>
        <v>4.7783677814795205</v>
      </c>
      <c r="BG172" s="20">
        <f t="shared" si="168"/>
        <v>32.897588886077138</v>
      </c>
      <c r="BH172" s="59">
        <f t="shared" si="116"/>
        <v>321.46896478705355</v>
      </c>
      <c r="BI172" s="59">
        <f ca="1">AVERAGE(OFFSET($BH$3,0,0,'Données projet'!$E$11+1,1))-AVERAGE(OFFSET($H$3,0,0,'Données projet'!$E$11+1,1))</f>
        <v>458.88102603650725</v>
      </c>
      <c r="BJ172" s="59">
        <f t="shared" si="146"/>
        <v>277.79020316059552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73.010234781648165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73.010234781648165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269.8175999999998</v>
      </c>
      <c r="CA172" s="13">
        <f t="shared" si="170"/>
        <v>64.810557882019467</v>
      </c>
      <c r="CB172" s="20">
        <f t="shared" si="171"/>
        <v>582.81070831118348</v>
      </c>
      <c r="CC172" s="59">
        <f t="shared" si="119"/>
        <v>871.38208421215995</v>
      </c>
      <c r="CD172" s="59">
        <f ca="1">AVERAGE(OFFSET($CC$3,0,0,'Données projet'!$E$12+1,1))-AVERAGE(OFFSET($H$3,0,0,'Données projet'!$E$12+1,1))</f>
        <v>400.48995908576177</v>
      </c>
      <c r="CE172" s="59">
        <f t="shared" si="148"/>
        <v>384.86917865380076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7.9077896853184217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7.9077896853184217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277.99999999999994</v>
      </c>
      <c r="CU172" s="17">
        <f>CT172*VLOOKUP('Données projet'!$B$13,Paramètres!$A$1:$I$89,3,0)*VLOOKUP('Données projet'!$B$13,Paramètres!$A$1:$I$89,5,0)</f>
        <v>151.78799999999998</v>
      </c>
      <c r="CV172" s="13">
        <f t="shared" si="173"/>
        <v>38.984634390835623</v>
      </c>
      <c r="CW172" s="20">
        <f t="shared" si="174"/>
        <v>332.26233823070532</v>
      </c>
      <c r="CX172" s="59">
        <f t="shared" si="122"/>
        <v>620.83371413168175</v>
      </c>
      <c r="CY172" s="59">
        <f ca="1">AVERAGE(OFFSET($CX$3,0,0,'Données projet'!$E$13+1,1))-AVERAGE(OFFSET($H$3,0,0,'Données projet'!$E$13+1,1))</f>
        <v>215.37314197175104</v>
      </c>
      <c r="CZ172" s="59">
        <f t="shared" si="150"/>
        <v>361.17630426655978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2.3400197849178768</v>
      </c>
      <c r="DG172" s="21">
        <f>EXP(-LN(2)/25)*DG171+(1-EXP(-LN(2)/25))/(LN(2)/25)*Calculateur!DB172*Calculateur!DD172*VLOOKUP('Données projet'!$B$13,Paramètres!$A$1:$I$89,3,0)*0.475*44/12</f>
        <v>2.0357855360431723</v>
      </c>
      <c r="DH172" s="21">
        <f>EXP(-LN(2)/2)*DH171+(1-EXP(-LN(2)/2))/(LN(2)/2)*DB172*DE172*VLOOKUP('Données projet'!$B$13,Paramètres!$A$1:$I$89,3,0)*0.475*44/12</f>
        <v>3.0373358557611422E-23</v>
      </c>
      <c r="DI172" s="22">
        <f t="shared" si="175"/>
        <v>4.3758053209610495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330.15321542214082</v>
      </c>
      <c r="S173" s="59">
        <f ca="1">AVERAGE(OFFSET($R$3,0,0,'Données projet'!$E$9+1,1))-AVERAGE(OFFSET($H$3,0,0,'Données projet'!$E$9+1,1))</f>
        <v>567.42635821336114</v>
      </c>
      <c r="T173" s="59">
        <f t="shared" si="142"/>
        <v>299.0473530693472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474.99999999999994</v>
      </c>
      <c r="AJ173" s="13">
        <f>AI173*VLOOKUP('Données projet'!$B$10,Paramètres!$A$1:$I$89,3,0)*VLOOKUP('Données projet'!$B$10,Paramètres!$A$1:$I$89,5,0)</f>
        <v>407.55</v>
      </c>
      <c r="AK173" s="13">
        <f t="shared" si="164"/>
        <v>93.305642095357683</v>
      </c>
      <c r="AL173" s="20">
        <f t="shared" si="165"/>
        <v>872.32357664941446</v>
      </c>
      <c r="AM173" s="59">
        <f t="shared" si="113"/>
        <v>1160.9775618657004</v>
      </c>
      <c r="AN173" s="59">
        <f ca="1">AVERAGE(OFFSET($AM$3,0,0,'Données projet'!$E$10+1,1))-AVERAGE(OFFSET($H$3,0,0,'Données projet'!$E$10+1,1))</f>
        <v>569.97793593332699</v>
      </c>
      <c r="AO173" s="59">
        <f t="shared" si="144"/>
        <v>331.25104323342907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45.405160084609172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45.405160084609172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16.750000000000213</v>
      </c>
      <c r="BE173" s="13">
        <f>BD173*VLOOKUP('Données projet'!$B$11,Paramètres!$A$1:$I$89,3,0)*VLOOKUP('Données projet'!$B$11,Paramètres!$A$1:$I$89,5,0)</f>
        <v>14.11020000000018</v>
      </c>
      <c r="BF173" s="13">
        <f t="shared" si="167"/>
        <v>4.7783677814795205</v>
      </c>
      <c r="BG173" s="20">
        <f t="shared" si="168"/>
        <v>32.897588886077138</v>
      </c>
      <c r="BH173" s="59">
        <f t="shared" si="116"/>
        <v>321.55157410236302</v>
      </c>
      <c r="BI173" s="59">
        <f ca="1">AVERAGE(OFFSET($BH$3,0,0,'Données projet'!$E$11+1,1))-AVERAGE(OFFSET($H$3,0,0,'Données projet'!$E$11+1,1))</f>
        <v>458.88102603650725</v>
      </c>
      <c r="BJ173" s="59">
        <f t="shared" si="146"/>
        <v>277.79020316059552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71.578548609426107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71.578548609426107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269.8175999999998</v>
      </c>
      <c r="CA173" s="13">
        <f t="shared" si="170"/>
        <v>64.810557882019467</v>
      </c>
      <c r="CB173" s="20">
        <f t="shared" si="171"/>
        <v>582.81070831118348</v>
      </c>
      <c r="CC173" s="59">
        <f t="shared" si="119"/>
        <v>871.46469352746931</v>
      </c>
      <c r="CD173" s="59">
        <f ca="1">AVERAGE(OFFSET($CC$3,0,0,'Données projet'!$E$12+1,1))-AVERAGE(OFFSET($H$3,0,0,'Données projet'!$E$12+1,1))</f>
        <v>400.48995908576177</v>
      </c>
      <c r="CE173" s="59">
        <f t="shared" si="148"/>
        <v>384.86917865380076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7.7527227528647771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7.7527227528647771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277.99999999999994</v>
      </c>
      <c r="CU173" s="17">
        <f>CT173*VLOOKUP('Données projet'!$B$13,Paramètres!$A$1:$I$89,3,0)*VLOOKUP('Données projet'!$B$13,Paramètres!$A$1:$I$89,5,0)</f>
        <v>151.78799999999998</v>
      </c>
      <c r="CV173" s="13">
        <f t="shared" si="173"/>
        <v>38.984634390835623</v>
      </c>
      <c r="CW173" s="20">
        <f t="shared" si="174"/>
        <v>332.26233823070532</v>
      </c>
      <c r="CX173" s="59">
        <f t="shared" si="122"/>
        <v>620.91632344699121</v>
      </c>
      <c r="CY173" s="59">
        <f ca="1">AVERAGE(OFFSET($CX$3,0,0,'Données projet'!$E$13+1,1))-AVERAGE(OFFSET($H$3,0,0,'Données projet'!$E$13+1,1))</f>
        <v>215.37314197175104</v>
      </c>
      <c r="CZ173" s="59">
        <f t="shared" si="150"/>
        <v>361.17630426655978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2.2941334242067746</v>
      </c>
      <c r="DG173" s="21">
        <f>EXP(-LN(2)/25)*DG172+(1-EXP(-LN(2)/25))/(LN(2)/25)*Calculateur!DB173*Calculateur!DD173*VLOOKUP('Données projet'!$B$13,Paramètres!$A$1:$I$89,3,0)*0.475*44/12</f>
        <v>1.9801168735027632</v>
      </c>
      <c r="DH173" s="21">
        <f>EXP(-LN(2)/2)*DH172+(1-EXP(-LN(2)/2))/(LN(2)/2)*DB173*DE173*VLOOKUP('Données projet'!$B$13,Paramètres!$A$1:$I$89,3,0)*0.475*44/12</f>
        <v>2.1477207803497491E-23</v>
      </c>
      <c r="DI173" s="22">
        <f t="shared" si="175"/>
        <v>4.2742502977095373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330.23439165051644</v>
      </c>
      <c r="S174" s="59">
        <f ca="1">AVERAGE(OFFSET($R$3,0,0,'Données projet'!$E$9+1,1))-AVERAGE(OFFSET($H$3,0,0,'Données projet'!$E$9+1,1))</f>
        <v>567.42635821336114</v>
      </c>
      <c r="T174" s="59">
        <f t="shared" si="142"/>
        <v>299.0473530693472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474.99999999999994</v>
      </c>
      <c r="AJ174" s="13">
        <f>AI174*VLOOKUP('Données projet'!$B$10,Paramètres!$A$1:$I$89,3,0)*VLOOKUP('Données projet'!$B$10,Paramètres!$A$1:$I$89,5,0)</f>
        <v>407.55</v>
      </c>
      <c r="AK174" s="13">
        <f t="shared" si="164"/>
        <v>93.305642095357683</v>
      </c>
      <c r="AL174" s="20">
        <f t="shared" si="165"/>
        <v>872.32357664941446</v>
      </c>
      <c r="AM174" s="59">
        <f t="shared" si="113"/>
        <v>1161.058738094076</v>
      </c>
      <c r="AN174" s="59">
        <f ca="1">AVERAGE(OFFSET($AM$3,0,0,'Données projet'!$E$10+1,1))-AVERAGE(OFFSET($H$3,0,0,'Données projet'!$E$10+1,1))</f>
        <v>569.97793593332699</v>
      </c>
      <c r="AO174" s="59">
        <f t="shared" si="144"/>
        <v>331.25104323342907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44.51479258976304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44.51479258976304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16.750000000000213</v>
      </c>
      <c r="BE174" s="13">
        <f>BD174*VLOOKUP('Données projet'!$B$11,Paramètres!$A$1:$I$89,3,0)*VLOOKUP('Données projet'!$B$11,Paramètres!$A$1:$I$89,5,0)</f>
        <v>14.11020000000018</v>
      </c>
      <c r="BF174" s="13">
        <f t="shared" si="167"/>
        <v>4.7783677814795205</v>
      </c>
      <c r="BG174" s="20">
        <f t="shared" si="168"/>
        <v>32.897588886077138</v>
      </c>
      <c r="BH174" s="59">
        <f t="shared" si="116"/>
        <v>321.63275033073865</v>
      </c>
      <c r="BI174" s="59">
        <f ca="1">AVERAGE(OFFSET($BH$3,0,0,'Données projet'!$E$11+1,1))-AVERAGE(OFFSET($H$3,0,0,'Données projet'!$E$11+1,1))</f>
        <v>458.88102603650725</v>
      </c>
      <c r="BJ174" s="59">
        <f t="shared" si="146"/>
        <v>277.79020316059552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70.174936929798989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70.174936929798989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269.8175999999998</v>
      </c>
      <c r="CA174" s="13">
        <f t="shared" si="170"/>
        <v>64.810557882019467</v>
      </c>
      <c r="CB174" s="20">
        <f t="shared" si="171"/>
        <v>582.81070831118348</v>
      </c>
      <c r="CC174" s="59">
        <f t="shared" si="119"/>
        <v>871.54586975584493</v>
      </c>
      <c r="CD174" s="59">
        <f ca="1">AVERAGE(OFFSET($CC$3,0,0,'Données projet'!$E$12+1,1))-AVERAGE(OFFSET($H$3,0,0,'Données projet'!$E$12+1,1))</f>
        <v>400.48995908576177</v>
      </c>
      <c r="CE174" s="59">
        <f t="shared" si="148"/>
        <v>384.86917865380076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7.6006965883750581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7.6006965883750581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277.99999999999994</v>
      </c>
      <c r="CU174" s="17">
        <f>CT174*VLOOKUP('Données projet'!$B$13,Paramètres!$A$1:$I$89,3,0)*VLOOKUP('Données projet'!$B$13,Paramètres!$A$1:$I$89,5,0)</f>
        <v>151.78799999999998</v>
      </c>
      <c r="CV174" s="13">
        <f t="shared" si="173"/>
        <v>38.984634390835623</v>
      </c>
      <c r="CW174" s="20">
        <f t="shared" si="174"/>
        <v>332.26233823070532</v>
      </c>
      <c r="CX174" s="59">
        <f t="shared" si="122"/>
        <v>620.99749967536684</v>
      </c>
      <c r="CY174" s="59">
        <f ca="1">AVERAGE(OFFSET($CX$3,0,0,'Données projet'!$E$13+1,1))-AVERAGE(OFFSET($H$3,0,0,'Données projet'!$E$13+1,1))</f>
        <v>215.37314197175104</v>
      </c>
      <c r="CZ174" s="59">
        <f t="shared" si="150"/>
        <v>361.17630426655978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2.2491468670413006</v>
      </c>
      <c r="DG174" s="21">
        <f>EXP(-LN(2)/25)*DG173+(1-EXP(-LN(2)/25))/(LN(2)/25)*Calculateur!DB174*Calculateur!DD174*VLOOKUP('Données projet'!$B$13,Paramètres!$A$1:$I$89,3,0)*0.475*44/12</f>
        <v>1.9259704734670093</v>
      </c>
      <c r="DH174" s="21">
        <f>EXP(-LN(2)/2)*DH173+(1-EXP(-LN(2)/2))/(LN(2)/2)*DB174*DE174*VLOOKUP('Données projet'!$B$13,Paramètres!$A$1:$I$89,3,0)*0.475*44/12</f>
        <v>1.5186679278805711E-23</v>
      </c>
      <c r="DI174" s="22">
        <f t="shared" si="175"/>
        <v>4.1751173405083097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330.31415965281258</v>
      </c>
      <c r="S175" s="59">
        <f ca="1">AVERAGE(OFFSET($R$3,0,0,'Données projet'!$E$9+1,1))-AVERAGE(OFFSET($H$3,0,0,'Données projet'!$E$9+1,1))</f>
        <v>567.42635821336114</v>
      </c>
      <c r="T175" s="59">
        <f t="shared" si="142"/>
        <v>299.0473530693472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474.99999999999994</v>
      </c>
      <c r="AJ175" s="13">
        <f>AI175*VLOOKUP('Données projet'!$B$10,Paramètres!$A$1:$I$89,3,0)*VLOOKUP('Données projet'!$B$10,Paramètres!$A$1:$I$89,5,0)</f>
        <v>407.55</v>
      </c>
      <c r="AK175" s="13">
        <f t="shared" si="164"/>
        <v>93.305642095357683</v>
      </c>
      <c r="AL175" s="20">
        <f t="shared" si="165"/>
        <v>872.32357664941446</v>
      </c>
      <c r="AM175" s="59">
        <f t="shared" si="113"/>
        <v>1161.1385060963721</v>
      </c>
      <c r="AN175" s="59">
        <f ca="1">AVERAGE(OFFSET($AM$3,0,0,'Données projet'!$E$10+1,1))-AVERAGE(OFFSET($H$3,0,0,'Données projet'!$E$10+1,1))</f>
        <v>569.97793593332699</v>
      </c>
      <c r="AO175" s="59">
        <f t="shared" si="144"/>
        <v>331.25104323342907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43.641884658420295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43.641884658420295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16.750000000000213</v>
      </c>
      <c r="BE175" s="13">
        <f>BD175*VLOOKUP('Données projet'!$B$11,Paramètres!$A$1:$I$89,3,0)*VLOOKUP('Données projet'!$B$11,Paramètres!$A$1:$I$89,5,0)</f>
        <v>14.11020000000018</v>
      </c>
      <c r="BF175" s="13">
        <f t="shared" si="167"/>
        <v>4.7783677814795205</v>
      </c>
      <c r="BG175" s="20">
        <f t="shared" si="168"/>
        <v>32.897588886077138</v>
      </c>
      <c r="BH175" s="59">
        <f t="shared" si="116"/>
        <v>321.71251833303478</v>
      </c>
      <c r="BI175" s="59">
        <f ca="1">AVERAGE(OFFSET($BH$3,0,0,'Données projet'!$E$11+1,1))-AVERAGE(OFFSET($H$3,0,0,'Données projet'!$E$11+1,1))</f>
        <v>458.88102603650725</v>
      </c>
      <c r="BJ175" s="59">
        <f t="shared" si="146"/>
        <v>277.79020316059552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68.798849219090769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68.798849219090769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269.8175999999998</v>
      </c>
      <c r="CA175" s="13">
        <f t="shared" si="170"/>
        <v>64.810557882019467</v>
      </c>
      <c r="CB175" s="20">
        <f t="shared" si="171"/>
        <v>582.81070831118348</v>
      </c>
      <c r="CC175" s="59">
        <f t="shared" si="119"/>
        <v>871.62563775814112</v>
      </c>
      <c r="CD175" s="59">
        <f ca="1">AVERAGE(OFFSET($CC$3,0,0,'Données projet'!$E$12+1,1))-AVERAGE(OFFSET($H$3,0,0,'Données projet'!$E$12+1,1))</f>
        <v>400.48995908576177</v>
      </c>
      <c r="CE175" s="59">
        <f t="shared" si="148"/>
        <v>384.86917865380076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7.4516515642441785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7.4516515642441785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277.99999999999994</v>
      </c>
      <c r="CU175" s="17">
        <f>CT175*VLOOKUP('Données projet'!$B$13,Paramètres!$A$1:$I$89,3,0)*VLOOKUP('Données projet'!$B$13,Paramètres!$A$1:$I$89,5,0)</f>
        <v>151.78799999999998</v>
      </c>
      <c r="CV175" s="13">
        <f t="shared" si="173"/>
        <v>38.984634390835623</v>
      </c>
      <c r="CW175" s="20">
        <f t="shared" si="174"/>
        <v>332.26233823070532</v>
      </c>
      <c r="CX175" s="59">
        <f t="shared" si="122"/>
        <v>621.07726767766303</v>
      </c>
      <c r="CY175" s="59">
        <f ca="1">AVERAGE(OFFSET($CX$3,0,0,'Données projet'!$E$13+1,1))-AVERAGE(OFFSET($H$3,0,0,'Données projet'!$E$13+1,1))</f>
        <v>215.37314197175104</v>
      </c>
      <c r="CZ175" s="59">
        <f t="shared" si="150"/>
        <v>361.17630426655978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2.2050424688227515</v>
      </c>
      <c r="DG175" s="21">
        <f>EXP(-LN(2)/25)*DG174+(1-EXP(-LN(2)/25))/(LN(2)/25)*Calculateur!DB175*Calculateur!DD175*VLOOKUP('Données projet'!$B$13,Paramètres!$A$1:$I$89,3,0)*0.475*44/12</f>
        <v>1.8733047095876687</v>
      </c>
      <c r="DH175" s="21">
        <f>EXP(-LN(2)/2)*DH174+(1-EXP(-LN(2)/2))/(LN(2)/2)*DB175*DE175*VLOOKUP('Données projet'!$B$13,Paramètres!$A$1:$I$89,3,0)*0.475*44/12</f>
        <v>1.0738603901748745E-23</v>
      </c>
      <c r="DI175" s="22">
        <f t="shared" si="175"/>
        <v>4.0783471784104197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330.3925438586034</v>
      </c>
      <c r="S176" s="59">
        <f ca="1">AVERAGE(OFFSET($R$3,0,0,'Données projet'!$E$9+1,1))-AVERAGE(OFFSET($H$3,0,0,'Données projet'!$E$9+1,1))</f>
        <v>567.42635821336114</v>
      </c>
      <c r="T176" s="59">
        <f t="shared" si="142"/>
        <v>299.0473530693472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474.99999999999994</v>
      </c>
      <c r="AJ176" s="13">
        <f>AI176*VLOOKUP('Données projet'!$B$10,Paramètres!$A$1:$I$89,3,0)*VLOOKUP('Données projet'!$B$10,Paramètres!$A$1:$I$89,5,0)</f>
        <v>407.55</v>
      </c>
      <c r="AK176" s="13">
        <f t="shared" si="164"/>
        <v>93.305642095357683</v>
      </c>
      <c r="AL176" s="20">
        <f t="shared" si="165"/>
        <v>872.32357664941446</v>
      </c>
      <c r="AM176" s="59">
        <f t="shared" si="113"/>
        <v>1161.2168903021629</v>
      </c>
      <c r="AN176" s="59">
        <f ca="1">AVERAGE(OFFSET($AM$3,0,0,'Données projet'!$E$10+1,1))-AVERAGE(OFFSET($H$3,0,0,'Données projet'!$E$10+1,1))</f>
        <v>569.97793593332699</v>
      </c>
      <c r="AO176" s="59">
        <f t="shared" si="144"/>
        <v>331.25104323342907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42.786093919189916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42.786093919189916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16.750000000000213</v>
      </c>
      <c r="BE176" s="13">
        <f>BD176*VLOOKUP('Données projet'!$B$11,Paramètres!$A$1:$I$89,3,0)*VLOOKUP('Données projet'!$B$11,Paramètres!$A$1:$I$89,5,0)</f>
        <v>14.11020000000018</v>
      </c>
      <c r="BF176" s="13">
        <f t="shared" si="167"/>
        <v>4.7783677814795205</v>
      </c>
      <c r="BG176" s="20">
        <f t="shared" si="168"/>
        <v>32.897588886077138</v>
      </c>
      <c r="BH176" s="59">
        <f t="shared" si="116"/>
        <v>321.79090253882561</v>
      </c>
      <c r="BI176" s="59">
        <f ca="1">AVERAGE(OFFSET($BH$3,0,0,'Données projet'!$E$11+1,1))-AVERAGE(OFFSET($H$3,0,0,'Données projet'!$E$11+1,1))</f>
        <v>458.88102603650725</v>
      </c>
      <c r="BJ176" s="59">
        <f t="shared" si="146"/>
        <v>277.79020316059552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67.449745749058906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67.449745749058906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269.8175999999998</v>
      </c>
      <c r="CA176" s="13">
        <f t="shared" si="170"/>
        <v>64.810557882019467</v>
      </c>
      <c r="CB176" s="20">
        <f t="shared" si="171"/>
        <v>582.81070831118348</v>
      </c>
      <c r="CC176" s="59">
        <f t="shared" si="119"/>
        <v>871.70402196393195</v>
      </c>
      <c r="CD176" s="59">
        <f ca="1">AVERAGE(OFFSET($CC$3,0,0,'Données projet'!$E$12+1,1))-AVERAGE(OFFSET($H$3,0,0,'Données projet'!$E$12+1,1))</f>
        <v>400.48995908576177</v>
      </c>
      <c r="CE176" s="59">
        <f t="shared" si="148"/>
        <v>384.86917865380076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7.3055292221280173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7.3055292221280173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277.99999999999994</v>
      </c>
      <c r="CU176" s="17">
        <f>CT176*VLOOKUP('Données projet'!$B$13,Paramètres!$A$1:$I$89,3,0)*VLOOKUP('Données projet'!$B$13,Paramètres!$A$1:$I$89,5,0)</f>
        <v>151.78799999999998</v>
      </c>
      <c r="CV176" s="13">
        <f t="shared" si="173"/>
        <v>38.984634390835623</v>
      </c>
      <c r="CW176" s="20">
        <f t="shared" si="174"/>
        <v>332.26233823070532</v>
      </c>
      <c r="CX176" s="59">
        <f t="shared" si="122"/>
        <v>621.15565188345386</v>
      </c>
      <c r="CY176" s="59">
        <f ca="1">AVERAGE(OFFSET($CX$3,0,0,'Données projet'!$E$13+1,1))-AVERAGE(OFFSET($H$3,0,0,'Données projet'!$E$13+1,1))</f>
        <v>215.37314197175104</v>
      </c>
      <c r="CZ176" s="59">
        <f t="shared" si="150"/>
        <v>361.17630426655978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2.1618029309522413</v>
      </c>
      <c r="DG176" s="21">
        <f>EXP(-LN(2)/25)*DG175+(1-EXP(-LN(2)/25))/(LN(2)/25)*Calculateur!DB176*Calculateur!DD176*VLOOKUP('Données projet'!$B$13,Paramètres!$A$1:$I$89,3,0)*0.475*44/12</f>
        <v>1.8220790937911808</v>
      </c>
      <c r="DH176" s="21">
        <f>EXP(-LN(2)/2)*DH175+(1-EXP(-LN(2)/2))/(LN(2)/2)*DB176*DE176*VLOOKUP('Données projet'!$B$13,Paramètres!$A$1:$I$89,3,0)*0.475*44/12</f>
        <v>7.5933396394028554E-24</v>
      </c>
      <c r="DI176" s="22">
        <f t="shared" si="175"/>
        <v>3.9838820247434219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330.46956827366466</v>
      </c>
      <c r="S177" s="59">
        <f ca="1">AVERAGE(OFFSET($R$3,0,0,'Données projet'!$E$9+1,1))-AVERAGE(OFFSET($H$3,0,0,'Données projet'!$E$9+1,1))</f>
        <v>567.42635821336114</v>
      </c>
      <c r="T177" s="59">
        <f t="shared" si="142"/>
        <v>299.0473530693472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474.99999999999994</v>
      </c>
      <c r="AJ177" s="13">
        <f>AI177*VLOOKUP('Données projet'!$B$10,Paramètres!$A$1:$I$89,3,0)*VLOOKUP('Données projet'!$B$10,Paramètres!$A$1:$I$89,5,0)</f>
        <v>407.55</v>
      </c>
      <c r="AK177" s="13">
        <f t="shared" si="164"/>
        <v>93.305642095357683</v>
      </c>
      <c r="AL177" s="20">
        <f t="shared" si="165"/>
        <v>872.32357664941446</v>
      </c>
      <c r="AM177" s="59">
        <f t="shared" si="113"/>
        <v>1161.2939147172242</v>
      </c>
      <c r="AN177" s="59">
        <f ca="1">AVERAGE(OFFSET($AM$3,0,0,'Données projet'!$E$10+1,1))-AVERAGE(OFFSET($H$3,0,0,'Données projet'!$E$10+1,1))</f>
        <v>569.97793593332699</v>
      </c>
      <c r="AO177" s="59">
        <f t="shared" si="144"/>
        <v>331.25104323342907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41.947084714375031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41.947084714375031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16.750000000000213</v>
      </c>
      <c r="BE177" s="13">
        <f>BD177*VLOOKUP('Données projet'!$B$11,Paramètres!$A$1:$I$89,3,0)*VLOOKUP('Données projet'!$B$11,Paramètres!$A$1:$I$89,5,0)</f>
        <v>14.11020000000018</v>
      </c>
      <c r="BF177" s="13">
        <f t="shared" si="167"/>
        <v>4.7783677814795205</v>
      </c>
      <c r="BG177" s="20">
        <f t="shared" si="168"/>
        <v>32.897588886077138</v>
      </c>
      <c r="BH177" s="59">
        <f t="shared" si="116"/>
        <v>321.86792695388687</v>
      </c>
      <c r="BI177" s="59">
        <f ca="1">AVERAGE(OFFSET($BH$3,0,0,'Données projet'!$E$11+1,1))-AVERAGE(OFFSET($H$3,0,0,'Données projet'!$E$11+1,1))</f>
        <v>458.88102603650725</v>
      </c>
      <c r="BJ177" s="59">
        <f t="shared" si="146"/>
        <v>277.79020316059552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66.127097375202496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66.127097375202496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269.8175999999998</v>
      </c>
      <c r="CA177" s="13">
        <f t="shared" si="170"/>
        <v>64.810557882019467</v>
      </c>
      <c r="CB177" s="20">
        <f t="shared" si="171"/>
        <v>582.81070831118348</v>
      </c>
      <c r="CC177" s="59">
        <f t="shared" si="119"/>
        <v>871.78104637899321</v>
      </c>
      <c r="CD177" s="59">
        <f ca="1">AVERAGE(OFFSET($CC$3,0,0,'Données projet'!$E$12+1,1))-AVERAGE(OFFSET($H$3,0,0,'Données projet'!$E$12+1,1))</f>
        <v>400.48995908576177</v>
      </c>
      <c r="CE177" s="59">
        <f t="shared" si="148"/>
        <v>384.86917865380076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7.1622722500149258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7.1622722500149258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277.99999999999994</v>
      </c>
      <c r="CU177" s="17">
        <f>CT177*VLOOKUP('Données projet'!$B$13,Paramètres!$A$1:$I$89,3,0)*VLOOKUP('Données projet'!$B$13,Paramètres!$A$1:$I$89,5,0)</f>
        <v>151.78799999999998</v>
      </c>
      <c r="CV177" s="13">
        <f t="shared" si="173"/>
        <v>38.984634390835623</v>
      </c>
      <c r="CW177" s="20">
        <f t="shared" si="174"/>
        <v>332.26233823070532</v>
      </c>
      <c r="CX177" s="59">
        <f t="shared" si="122"/>
        <v>621.23267629851512</v>
      </c>
      <c r="CY177" s="59">
        <f ca="1">AVERAGE(OFFSET($CX$3,0,0,'Données projet'!$E$13+1,1))-AVERAGE(OFFSET($H$3,0,0,'Données projet'!$E$13+1,1))</f>
        <v>215.37314197175104</v>
      </c>
      <c r="CZ177" s="59">
        <f t="shared" si="150"/>
        <v>361.17630426655978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2.1194112940458578</v>
      </c>
      <c r="DG177" s="21">
        <f>EXP(-LN(2)/25)*DG176+(1-EXP(-LN(2)/25))/(LN(2)/25)*Calculateur!DB177*Calculateur!DD177*VLOOKUP('Données projet'!$B$13,Paramètres!$A$1:$I$89,3,0)*0.475*44/12</f>
        <v>1.7722542451524859</v>
      </c>
      <c r="DH177" s="21">
        <f>EXP(-LN(2)/2)*DH176+(1-EXP(-LN(2)/2))/(LN(2)/2)*DB177*DE177*VLOOKUP('Données projet'!$B$13,Paramètres!$A$1:$I$89,3,0)*0.475*44/12</f>
        <v>5.3693019508743727E-24</v>
      </c>
      <c r="DI177" s="22">
        <f t="shared" si="175"/>
        <v>3.8916655391983435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330.54525648732533</v>
      </c>
      <c r="S178" s="59">
        <f ca="1">AVERAGE(OFFSET($R$3,0,0,'Données projet'!$E$9+1,1))-AVERAGE(OFFSET($H$3,0,0,'Données projet'!$E$9+1,1))</f>
        <v>567.42635821336114</v>
      </c>
      <c r="T178" s="59">
        <f t="shared" si="142"/>
        <v>299.0473530693472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474.99999999999994</v>
      </c>
      <c r="AJ178" s="13">
        <f>AI178*VLOOKUP('Données projet'!$B$10,Paramètres!$A$1:$I$89,3,0)*VLOOKUP('Données projet'!$B$10,Paramètres!$A$1:$I$89,5,0)</f>
        <v>407.55</v>
      </c>
      <c r="AK178" s="13">
        <f t="shared" si="164"/>
        <v>93.305642095357683</v>
      </c>
      <c r="AL178" s="20">
        <f t="shared" si="165"/>
        <v>872.32357664941446</v>
      </c>
      <c r="AM178" s="59">
        <f t="shared" si="113"/>
        <v>1161.3696029308849</v>
      </c>
      <c r="AN178" s="59">
        <f ca="1">AVERAGE(OFFSET($AM$3,0,0,'Données projet'!$E$10+1,1))-AVERAGE(OFFSET($H$3,0,0,'Données projet'!$E$10+1,1))</f>
        <v>569.97793593332699</v>
      </c>
      <c r="AO178" s="59">
        <f t="shared" si="144"/>
        <v>331.25104323342907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41.12452796832148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41.12452796832148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16.750000000000213</v>
      </c>
      <c r="BE178" s="13">
        <f>BD178*VLOOKUP('Données projet'!$B$11,Paramètres!$A$1:$I$89,3,0)*VLOOKUP('Données projet'!$B$11,Paramètres!$A$1:$I$89,5,0)</f>
        <v>14.11020000000018</v>
      </c>
      <c r="BF178" s="13">
        <f t="shared" si="167"/>
        <v>4.7783677814795205</v>
      </c>
      <c r="BG178" s="20">
        <f t="shared" si="168"/>
        <v>32.897588886077138</v>
      </c>
      <c r="BH178" s="59">
        <f t="shared" si="116"/>
        <v>321.94361516754753</v>
      </c>
      <c r="BI178" s="59">
        <f ca="1">AVERAGE(OFFSET($BH$3,0,0,'Données projet'!$E$11+1,1))-AVERAGE(OFFSET($H$3,0,0,'Données projet'!$E$11+1,1))</f>
        <v>458.88102603650725</v>
      </c>
      <c r="BJ178" s="59">
        <f t="shared" si="146"/>
        <v>277.79020316059552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64.830385329221571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64.830385329221571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269.8175999999998</v>
      </c>
      <c r="CA178" s="13">
        <f t="shared" si="170"/>
        <v>64.810557882019467</v>
      </c>
      <c r="CB178" s="20">
        <f t="shared" si="171"/>
        <v>582.81070831118348</v>
      </c>
      <c r="CC178" s="59">
        <f t="shared" si="119"/>
        <v>871.85673459265388</v>
      </c>
      <c r="CD178" s="59">
        <f ca="1">AVERAGE(OFFSET($CC$3,0,0,'Données projet'!$E$12+1,1))-AVERAGE(OFFSET($H$3,0,0,'Données projet'!$E$12+1,1))</f>
        <v>400.48995908576177</v>
      </c>
      <c r="CE178" s="59">
        <f t="shared" si="148"/>
        <v>384.86917865380076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7.0218244597468464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7.0218244597468464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277.99999999999994</v>
      </c>
      <c r="CU178" s="17">
        <f>CT178*VLOOKUP('Données projet'!$B$13,Paramètres!$A$1:$I$89,3,0)*VLOOKUP('Données projet'!$B$13,Paramètres!$A$1:$I$89,5,0)</f>
        <v>151.78799999999998</v>
      </c>
      <c r="CV178" s="13">
        <f t="shared" si="173"/>
        <v>38.984634390835623</v>
      </c>
      <c r="CW178" s="20">
        <f t="shared" si="174"/>
        <v>332.26233823070532</v>
      </c>
      <c r="CX178" s="59">
        <f t="shared" si="122"/>
        <v>621.30836451217579</v>
      </c>
      <c r="CY178" s="59">
        <f ca="1">AVERAGE(OFFSET($CX$3,0,0,'Données projet'!$E$13+1,1))-AVERAGE(OFFSET($H$3,0,0,'Données projet'!$E$13+1,1))</f>
        <v>215.37314197175104</v>
      </c>
      <c r="CZ178" s="59">
        <f t="shared" si="150"/>
        <v>361.17630426655978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2.077850931282863</v>
      </c>
      <c r="DG178" s="21">
        <f>EXP(-LN(2)/25)*DG177+(1-EXP(-LN(2)/25))/(LN(2)/25)*Calculateur!DB178*Calculateur!DD178*VLOOKUP('Données projet'!$B$13,Paramètres!$A$1:$I$89,3,0)*0.475*44/12</f>
        <v>1.7237918596199908</v>
      </c>
      <c r="DH178" s="21">
        <f>EXP(-LN(2)/2)*DH177+(1-EXP(-LN(2)/2))/(LN(2)/2)*DB178*DE178*VLOOKUP('Données projet'!$B$13,Paramètres!$A$1:$I$89,3,0)*0.475*44/12</f>
        <v>3.7966698197014277E-24</v>
      </c>
      <c r="DI178" s="22">
        <f t="shared" si="175"/>
        <v>3.8016427909028536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330.61963167969253</v>
      </c>
      <c r="S179" s="59">
        <f ca="1">AVERAGE(OFFSET($R$3,0,0,'Données projet'!$E$9+1,1))-AVERAGE(OFFSET($H$3,0,0,'Données projet'!$E$9+1,1))</f>
        <v>567.42635821336114</v>
      </c>
      <c r="T179" s="59">
        <f t="shared" si="142"/>
        <v>299.0473530693472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474.99999999999994</v>
      </c>
      <c r="AJ179" s="13">
        <f>AI179*VLOOKUP('Données projet'!$B$10,Paramètres!$A$1:$I$89,3,0)*VLOOKUP('Données projet'!$B$10,Paramètres!$A$1:$I$89,5,0)</f>
        <v>407.55</v>
      </c>
      <c r="AK179" s="13">
        <f t="shared" si="164"/>
        <v>93.305642095357683</v>
      </c>
      <c r="AL179" s="20">
        <f t="shared" si="165"/>
        <v>872.32357664941446</v>
      </c>
      <c r="AM179" s="59">
        <f t="shared" si="113"/>
        <v>1161.443978123252</v>
      </c>
      <c r="AN179" s="59">
        <f ca="1">AVERAGE(OFFSET($AM$3,0,0,'Données projet'!$E$10+1,1))-AVERAGE(OFFSET($H$3,0,0,'Données projet'!$E$10+1,1))</f>
        <v>569.97793593332699</v>
      </c>
      <c r="AO179" s="59">
        <f t="shared" si="144"/>
        <v>331.25104323342907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40.31810105834797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40.31810105834797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16.750000000000213</v>
      </c>
      <c r="BE179" s="13">
        <f>BD179*VLOOKUP('Données projet'!$B$11,Paramètres!$A$1:$I$89,3,0)*VLOOKUP('Données projet'!$B$11,Paramètres!$A$1:$I$89,5,0)</f>
        <v>14.11020000000018</v>
      </c>
      <c r="BF179" s="13">
        <f t="shared" si="167"/>
        <v>4.7783677814795205</v>
      </c>
      <c r="BG179" s="20">
        <f t="shared" si="168"/>
        <v>32.897588886077138</v>
      </c>
      <c r="BH179" s="59">
        <f t="shared" si="116"/>
        <v>322.01799035991473</v>
      </c>
      <c r="BI179" s="59">
        <f ca="1">AVERAGE(OFFSET($BH$3,0,0,'Données projet'!$E$11+1,1))-AVERAGE(OFFSET($H$3,0,0,'Données projet'!$E$11+1,1))</f>
        <v>458.88102603650725</v>
      </c>
      <c r="BJ179" s="59">
        <f t="shared" si="146"/>
        <v>277.79020316059552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63.559101015546076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63.559101015546076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269.8175999999998</v>
      </c>
      <c r="CA179" s="13">
        <f t="shared" si="170"/>
        <v>64.810557882019467</v>
      </c>
      <c r="CB179" s="20">
        <f t="shared" si="171"/>
        <v>582.81070831118348</v>
      </c>
      <c r="CC179" s="59">
        <f t="shared" si="119"/>
        <v>871.93110978502114</v>
      </c>
      <c r="CD179" s="59">
        <f ca="1">AVERAGE(OFFSET($CC$3,0,0,'Données projet'!$E$12+1,1))-AVERAGE(OFFSET($H$3,0,0,'Données projet'!$E$12+1,1))</f>
        <v>400.48995908576177</v>
      </c>
      <c r="CE179" s="59">
        <f t="shared" si="148"/>
        <v>384.86917865380076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6.8841307649812311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6.8841307649812311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277.99999999999994</v>
      </c>
      <c r="CU179" s="17">
        <f>CT179*VLOOKUP('Données projet'!$B$13,Paramètres!$A$1:$I$89,3,0)*VLOOKUP('Données projet'!$B$13,Paramètres!$A$1:$I$89,5,0)</f>
        <v>151.78799999999998</v>
      </c>
      <c r="CV179" s="13">
        <f t="shared" si="173"/>
        <v>38.984634390835623</v>
      </c>
      <c r="CW179" s="20">
        <f t="shared" si="174"/>
        <v>332.26233823070532</v>
      </c>
      <c r="CX179" s="59">
        <f t="shared" si="122"/>
        <v>621.38273970454293</v>
      </c>
      <c r="CY179" s="59">
        <f ca="1">AVERAGE(OFFSET($CX$3,0,0,'Données projet'!$E$13+1,1))-AVERAGE(OFFSET($H$3,0,0,'Données projet'!$E$13+1,1))</f>
        <v>215.37314197175104</v>
      </c>
      <c r="CZ179" s="59">
        <f t="shared" si="150"/>
        <v>361.17630426655978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2.0371055418843325</v>
      </c>
      <c r="DG179" s="21">
        <f>EXP(-LN(2)/25)*DG178+(1-EXP(-LN(2)/25))/(LN(2)/25)*Calculateur!DB179*Calculateur!DD179*VLOOKUP('Données projet'!$B$13,Paramètres!$A$1:$I$89,3,0)*0.475*44/12</f>
        <v>1.6766546805684082</v>
      </c>
      <c r="DH179" s="21">
        <f>EXP(-LN(2)/2)*DH178+(1-EXP(-LN(2)/2))/(LN(2)/2)*DB179*DE179*VLOOKUP('Données projet'!$B$13,Paramètres!$A$1:$I$89,3,0)*0.475*44/12</f>
        <v>2.6846509754371864E-24</v>
      </c>
      <c r="DI179" s="22">
        <f t="shared" si="175"/>
        <v>3.7137602224527404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330.69271662875019</v>
      </c>
      <c r="S180" s="59">
        <f ca="1">AVERAGE(OFFSET($R$3,0,0,'Données projet'!$E$9+1,1))-AVERAGE(OFFSET($H$3,0,0,'Données projet'!$E$9+1,1))</f>
        <v>567.42635821336114</v>
      </c>
      <c r="T180" s="59">
        <f t="shared" si="142"/>
        <v>299.0473530693472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474.99999999999994</v>
      </c>
      <c r="AJ180" s="13">
        <f>AI180*VLOOKUP('Données projet'!$B$10,Paramètres!$A$1:$I$89,3,0)*VLOOKUP('Données projet'!$B$10,Paramètres!$A$1:$I$89,5,0)</f>
        <v>407.55</v>
      </c>
      <c r="AK180" s="13">
        <f t="shared" si="164"/>
        <v>93.305642095357683</v>
      </c>
      <c r="AL180" s="20">
        <f t="shared" si="165"/>
        <v>872.32357664941446</v>
      </c>
      <c r="AM180" s="59">
        <f t="shared" si="113"/>
        <v>1161.5170630723096</v>
      </c>
      <c r="AN180" s="59">
        <f ca="1">AVERAGE(OFFSET($AM$3,0,0,'Données projet'!$E$10+1,1))-AVERAGE(OFFSET($H$3,0,0,'Données projet'!$E$10+1,1))</f>
        <v>569.97793593332699</v>
      </c>
      <c r="AO180" s="59">
        <f t="shared" si="144"/>
        <v>331.25104323342907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39.527487688207195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39.527487688207195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16.750000000000213</v>
      </c>
      <c r="BE180" s="13">
        <f>BD180*VLOOKUP('Données projet'!$B$11,Paramètres!$A$1:$I$89,3,0)*VLOOKUP('Données projet'!$B$11,Paramètres!$A$1:$I$89,5,0)</f>
        <v>14.11020000000018</v>
      </c>
      <c r="BF180" s="13">
        <f t="shared" si="167"/>
        <v>4.7783677814795205</v>
      </c>
      <c r="BG180" s="20">
        <f t="shared" si="168"/>
        <v>32.897588886077138</v>
      </c>
      <c r="BH180" s="59">
        <f t="shared" si="116"/>
        <v>322.09107530897239</v>
      </c>
      <c r="BI180" s="59">
        <f ca="1">AVERAGE(OFFSET($BH$3,0,0,'Données projet'!$E$11+1,1))-AVERAGE(OFFSET($H$3,0,0,'Données projet'!$E$11+1,1))</f>
        <v>458.88102603650725</v>
      </c>
      <c r="BJ180" s="59">
        <f t="shared" si="146"/>
        <v>277.79020316059552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62.312745811854889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62.312745811854889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269.8175999999998</v>
      </c>
      <c r="CA180" s="13">
        <f t="shared" si="170"/>
        <v>64.810557882019467</v>
      </c>
      <c r="CB180" s="20">
        <f t="shared" si="171"/>
        <v>582.81070831118348</v>
      </c>
      <c r="CC180" s="59">
        <f t="shared" si="119"/>
        <v>872.00419473407874</v>
      </c>
      <c r="CD180" s="59">
        <f ca="1">AVERAGE(OFFSET($CC$3,0,0,'Données projet'!$E$12+1,1))-AVERAGE(OFFSET($H$3,0,0,'Données projet'!$E$12+1,1))</f>
        <v>400.48995908576177</v>
      </c>
      <c r="CE180" s="59">
        <f t="shared" si="148"/>
        <v>384.86917865380076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6.749137159585108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6.749137159585108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277.99999999999994</v>
      </c>
      <c r="CU180" s="17">
        <f>CT180*VLOOKUP('Données projet'!$B$13,Paramètres!$A$1:$I$89,3,0)*VLOOKUP('Données projet'!$B$13,Paramètres!$A$1:$I$89,5,0)</f>
        <v>151.78799999999998</v>
      </c>
      <c r="CV180" s="13">
        <f t="shared" si="173"/>
        <v>38.984634390835623</v>
      </c>
      <c r="CW180" s="20">
        <f t="shared" si="174"/>
        <v>332.26233823070532</v>
      </c>
      <c r="CX180" s="59">
        <f t="shared" si="122"/>
        <v>621.45582465360053</v>
      </c>
      <c r="CY180" s="59">
        <f ca="1">AVERAGE(OFFSET($CX$3,0,0,'Données projet'!$E$13+1,1))-AVERAGE(OFFSET($H$3,0,0,'Données projet'!$E$13+1,1))</f>
        <v>215.37314197175104</v>
      </c>
      <c r="CZ180" s="59">
        <f t="shared" si="150"/>
        <v>361.17630426655978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1.9971591447196735</v>
      </c>
      <c r="DG180" s="21">
        <f>EXP(-LN(2)/25)*DG179+(1-EXP(-LN(2)/25))/(LN(2)/25)*Calculateur!DB180*Calculateur!DD180*VLOOKUP('Données projet'!$B$13,Paramètres!$A$1:$I$89,3,0)*0.475*44/12</f>
        <v>1.6308064701568274</v>
      </c>
      <c r="DH180" s="21">
        <f>EXP(-LN(2)/2)*DH179+(1-EXP(-LN(2)/2))/(LN(2)/2)*DB180*DE180*VLOOKUP('Données projet'!$B$13,Paramètres!$A$1:$I$89,3,0)*0.475*44/12</f>
        <v>1.8983349098507138E-24</v>
      </c>
      <c r="DI180" s="22">
        <f t="shared" si="175"/>
        <v>3.6279656148765009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330.7645337173351</v>
      </c>
      <c r="S181" s="59">
        <f ca="1">AVERAGE(OFFSET($R$3,0,0,'Données projet'!$E$9+1,1))-AVERAGE(OFFSET($H$3,0,0,'Données projet'!$E$9+1,1))</f>
        <v>567.42635821336114</v>
      </c>
      <c r="T181" s="59">
        <f t="shared" si="142"/>
        <v>299.0473530693472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474.99999999999994</v>
      </c>
      <c r="AJ181" s="13">
        <f>AI181*VLOOKUP('Données projet'!$B$10,Paramètres!$A$1:$I$89,3,0)*VLOOKUP('Données projet'!$B$10,Paramètres!$A$1:$I$89,5,0)</f>
        <v>407.55</v>
      </c>
      <c r="AK181" s="13">
        <f t="shared" si="164"/>
        <v>93.305642095357683</v>
      </c>
      <c r="AL181" s="20">
        <f t="shared" si="165"/>
        <v>872.32357664941446</v>
      </c>
      <c r="AM181" s="59">
        <f t="shared" si="113"/>
        <v>1161.5888801608946</v>
      </c>
      <c r="AN181" s="59">
        <f ca="1">AVERAGE(OFFSET($AM$3,0,0,'Données projet'!$E$10+1,1))-AVERAGE(OFFSET($H$3,0,0,'Données projet'!$E$10+1,1))</f>
        <v>569.97793593332699</v>
      </c>
      <c r="AO181" s="59">
        <f t="shared" si="144"/>
        <v>331.25104323342907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38.752377764028338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38.752377764028338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16.750000000000213</v>
      </c>
      <c r="BE181" s="13">
        <f>BD181*VLOOKUP('Données projet'!$B$11,Paramètres!$A$1:$I$89,3,0)*VLOOKUP('Données projet'!$B$11,Paramètres!$A$1:$I$89,5,0)</f>
        <v>14.11020000000018</v>
      </c>
      <c r="BF181" s="13">
        <f t="shared" si="167"/>
        <v>4.7783677814795205</v>
      </c>
      <c r="BG181" s="20">
        <f t="shared" si="168"/>
        <v>32.897588886077138</v>
      </c>
      <c r="BH181" s="59">
        <f t="shared" si="116"/>
        <v>322.1628923975573</v>
      </c>
      <c r="BI181" s="59">
        <f ca="1">AVERAGE(OFFSET($BH$3,0,0,'Données projet'!$E$11+1,1))-AVERAGE(OFFSET($H$3,0,0,'Données projet'!$E$11+1,1))</f>
        <v>458.88102603650725</v>
      </c>
      <c r="BJ181" s="59">
        <f t="shared" si="146"/>
        <v>277.79020316059552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61.090830873506476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61.090830873506476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269.8175999999998</v>
      </c>
      <c r="CA181" s="13">
        <f t="shared" si="170"/>
        <v>64.810557882019467</v>
      </c>
      <c r="CB181" s="20">
        <f t="shared" si="171"/>
        <v>582.81070831118348</v>
      </c>
      <c r="CC181" s="59">
        <f t="shared" si="119"/>
        <v>872.07601182266365</v>
      </c>
      <c r="CD181" s="59">
        <f ca="1">AVERAGE(OFFSET($CC$3,0,0,'Données projet'!$E$12+1,1))-AVERAGE(OFFSET($H$3,0,0,'Données projet'!$E$12+1,1))</f>
        <v>400.48995908576177</v>
      </c>
      <c r="CE181" s="59">
        <f t="shared" si="148"/>
        <v>384.86917865380076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6.616790696452834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6.616790696452834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277.99999999999994</v>
      </c>
      <c r="CU181" s="17">
        <f>CT181*VLOOKUP('Données projet'!$B$13,Paramètres!$A$1:$I$89,3,0)*VLOOKUP('Données projet'!$B$13,Paramètres!$A$1:$I$89,5,0)</f>
        <v>151.78799999999998</v>
      </c>
      <c r="CV181" s="13">
        <f t="shared" si="173"/>
        <v>38.984634390835623</v>
      </c>
      <c r="CW181" s="20">
        <f t="shared" si="174"/>
        <v>332.26233823070532</v>
      </c>
      <c r="CX181" s="59">
        <f t="shared" si="122"/>
        <v>621.52764174218555</v>
      </c>
      <c r="CY181" s="59">
        <f ca="1">AVERAGE(OFFSET($CX$3,0,0,'Données projet'!$E$13+1,1))-AVERAGE(OFFSET($H$3,0,0,'Données projet'!$E$13+1,1))</f>
        <v>215.37314197175104</v>
      </c>
      <c r="CZ181" s="59">
        <f t="shared" si="150"/>
        <v>361.17630426655978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1.957996072038517</v>
      </c>
      <c r="DG181" s="21">
        <f>EXP(-LN(2)/25)*DG180+(1-EXP(-LN(2)/25))/(LN(2)/25)*Calculateur!DB181*Calculateur!DD181*VLOOKUP('Données projet'!$B$13,Paramètres!$A$1:$I$89,3,0)*0.475*44/12</f>
        <v>1.586211981470004</v>
      </c>
      <c r="DH181" s="21">
        <f>EXP(-LN(2)/2)*DH180+(1-EXP(-LN(2)/2))/(LN(2)/2)*DB181*DE181*VLOOKUP('Données projet'!$B$13,Paramètres!$A$1:$I$89,3,0)*0.475*44/12</f>
        <v>1.3423254877185932E-24</v>
      </c>
      <c r="DI181" s="22">
        <f t="shared" si="175"/>
        <v>3.544208053508521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330.83510493999205</v>
      </c>
      <c r="S182" s="59">
        <f ca="1">AVERAGE(OFFSET($R$3,0,0,'Données projet'!$E$9+1,1))-AVERAGE(OFFSET($H$3,0,0,'Données projet'!$E$9+1,1))</f>
        <v>567.42635821336114</v>
      </c>
      <c r="T182" s="59">
        <f t="shared" si="142"/>
        <v>299.0473530693472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474.99999999999994</v>
      </c>
      <c r="AJ182" s="13">
        <f>AI182*VLOOKUP('Données projet'!$B$10,Paramètres!$A$1:$I$89,3,0)*VLOOKUP('Données projet'!$B$10,Paramètres!$A$1:$I$89,5,0)</f>
        <v>407.55</v>
      </c>
      <c r="AK182" s="13">
        <f t="shared" si="164"/>
        <v>93.305642095357683</v>
      </c>
      <c r="AL182" s="20">
        <f t="shared" si="165"/>
        <v>872.32357664941446</v>
      </c>
      <c r="AM182" s="59">
        <f t="shared" si="113"/>
        <v>1161.6594513835516</v>
      </c>
      <c r="AN182" s="59">
        <f ca="1">AVERAGE(OFFSET($AM$3,0,0,'Données projet'!$E$10+1,1))-AVERAGE(OFFSET($H$3,0,0,'Données projet'!$E$10+1,1))</f>
        <v>569.97793593332699</v>
      </c>
      <c r="AO182" s="59">
        <f t="shared" si="144"/>
        <v>331.25104323342907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37.992467272692259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37.992467272692259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16.750000000000213</v>
      </c>
      <c r="BE182" s="13">
        <f>BD182*VLOOKUP('Données projet'!$B$11,Paramètres!$A$1:$I$89,3,0)*VLOOKUP('Données projet'!$B$11,Paramètres!$A$1:$I$89,5,0)</f>
        <v>14.11020000000018</v>
      </c>
      <c r="BF182" s="13">
        <f t="shared" si="167"/>
        <v>4.7783677814795205</v>
      </c>
      <c r="BG182" s="20">
        <f t="shared" si="168"/>
        <v>32.897588886077138</v>
      </c>
      <c r="BH182" s="59">
        <f t="shared" si="116"/>
        <v>322.23346362021425</v>
      </c>
      <c r="BI182" s="59">
        <f ca="1">AVERAGE(OFFSET($BH$3,0,0,'Données projet'!$E$11+1,1))-AVERAGE(OFFSET($H$3,0,0,'Données projet'!$E$11+1,1))</f>
        <v>458.88102603650725</v>
      </c>
      <c r="BJ182" s="59">
        <f t="shared" si="146"/>
        <v>277.79020316059552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59.892876941804559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59.892876941804559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269.8175999999998</v>
      </c>
      <c r="CA182" s="13">
        <f t="shared" si="170"/>
        <v>64.810557882019467</v>
      </c>
      <c r="CB182" s="20">
        <f t="shared" si="171"/>
        <v>582.81070831118348</v>
      </c>
      <c r="CC182" s="59">
        <f t="shared" si="119"/>
        <v>872.14658304532054</v>
      </c>
      <c r="CD182" s="59">
        <f ca="1">AVERAGE(OFFSET($CC$3,0,0,'Données projet'!$E$12+1,1))-AVERAGE(OFFSET($H$3,0,0,'Données projet'!$E$12+1,1))</f>
        <v>400.48995908576177</v>
      </c>
      <c r="CE182" s="59">
        <f t="shared" si="148"/>
        <v>384.86917865380076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6.4870394667392119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6.4870394667392119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277.99999999999994</v>
      </c>
      <c r="CU182" s="17">
        <f>CT182*VLOOKUP('Données projet'!$B$13,Paramètres!$A$1:$I$89,3,0)*VLOOKUP('Données projet'!$B$13,Paramètres!$A$1:$I$89,5,0)</f>
        <v>151.78799999999998</v>
      </c>
      <c r="CV182" s="13">
        <f t="shared" si="173"/>
        <v>38.984634390835623</v>
      </c>
      <c r="CW182" s="20">
        <f t="shared" si="174"/>
        <v>332.26233823070532</v>
      </c>
      <c r="CX182" s="59">
        <f t="shared" si="122"/>
        <v>621.59821296484245</v>
      </c>
      <c r="CY182" s="59">
        <f ca="1">AVERAGE(OFFSET($CX$3,0,0,'Données projet'!$E$13+1,1))-AVERAGE(OFFSET($H$3,0,0,'Données projet'!$E$13+1,1))</f>
        <v>215.37314197175104</v>
      </c>
      <c r="CZ182" s="59">
        <f t="shared" si="150"/>
        <v>361.17630426655978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1.9196009633255222</v>
      </c>
      <c r="DG182" s="21">
        <f>EXP(-LN(2)/25)*DG181+(1-EXP(-LN(2)/25))/(LN(2)/25)*Calculateur!DB182*Calculateur!DD182*VLOOKUP('Données projet'!$B$13,Paramètres!$A$1:$I$89,3,0)*0.475*44/12</f>
        <v>1.5428369314214438</v>
      </c>
      <c r="DH182" s="21">
        <f>EXP(-LN(2)/2)*DH181+(1-EXP(-LN(2)/2))/(LN(2)/2)*DB182*DE182*VLOOKUP('Données projet'!$B$13,Paramètres!$A$1:$I$89,3,0)*0.475*44/12</f>
        <v>9.4916745492535692E-25</v>
      </c>
      <c r="DI182" s="22">
        <f t="shared" si="175"/>
        <v>3.4624378947469658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330.90445190970956</v>
      </c>
      <c r="S183" s="59">
        <f ca="1">AVERAGE(OFFSET($R$3,0,0,'Données projet'!$E$9+1,1))-AVERAGE(OFFSET($H$3,0,0,'Données projet'!$E$9+1,1))</f>
        <v>567.42635821336114</v>
      </c>
      <c r="T183" s="59">
        <f t="shared" si="142"/>
        <v>299.0473530693472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474.99999999999994</v>
      </c>
      <c r="AJ183" s="13">
        <f>AI183*VLOOKUP('Données projet'!$B$10,Paramètres!$A$1:$I$89,3,0)*VLOOKUP('Données projet'!$B$10,Paramètres!$A$1:$I$89,5,0)</f>
        <v>407.55</v>
      </c>
      <c r="AK183" s="13">
        <f t="shared" si="164"/>
        <v>93.305642095357683</v>
      </c>
      <c r="AL183" s="20">
        <f t="shared" si="165"/>
        <v>872.32357664941446</v>
      </c>
      <c r="AM183" s="59">
        <f t="shared" si="113"/>
        <v>1161.7287983532692</v>
      </c>
      <c r="AN183" s="59">
        <f ca="1">AVERAGE(OFFSET($AM$3,0,0,'Données projet'!$E$10+1,1))-AVERAGE(OFFSET($H$3,0,0,'Données projet'!$E$10+1,1))</f>
        <v>569.97793593332699</v>
      </c>
      <c r="AO183" s="59">
        <f t="shared" si="144"/>
        <v>331.25104323342907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37.247458162591649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37.247458162591649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16.750000000000213</v>
      </c>
      <c r="BE183" s="13">
        <f>BD183*VLOOKUP('Données projet'!$B$11,Paramètres!$A$1:$I$89,3,0)*VLOOKUP('Données projet'!$B$11,Paramètres!$A$1:$I$89,5,0)</f>
        <v>14.11020000000018</v>
      </c>
      <c r="BF183" s="13">
        <f t="shared" si="167"/>
        <v>4.7783677814795205</v>
      </c>
      <c r="BG183" s="20">
        <f t="shared" si="168"/>
        <v>32.897588886077138</v>
      </c>
      <c r="BH183" s="59">
        <f t="shared" si="116"/>
        <v>322.30281058993177</v>
      </c>
      <c r="BI183" s="59">
        <f ca="1">AVERAGE(OFFSET($BH$3,0,0,'Données projet'!$E$11+1,1))-AVERAGE(OFFSET($H$3,0,0,'Données projet'!$E$11+1,1))</f>
        <v>458.88102603650725</v>
      </c>
      <c r="BJ183" s="59">
        <f t="shared" si="146"/>
        <v>277.79020316059552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58.718414156023563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58.718414156023563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269.8175999999998</v>
      </c>
      <c r="CA183" s="13">
        <f t="shared" si="170"/>
        <v>64.810557882019467</v>
      </c>
      <c r="CB183" s="20">
        <f t="shared" si="171"/>
        <v>582.81070831118348</v>
      </c>
      <c r="CC183" s="59">
        <f t="shared" si="119"/>
        <v>872.21593001503811</v>
      </c>
      <c r="CD183" s="59">
        <f ca="1">AVERAGE(OFFSET($CC$3,0,0,'Données projet'!$E$12+1,1))-AVERAGE(OFFSET($H$3,0,0,'Données projet'!$E$12+1,1))</f>
        <v>400.48995908576177</v>
      </c>
      <c r="CE183" s="59">
        <f t="shared" si="148"/>
        <v>384.86917865380076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6.3598325794998383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6.3598325794998383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277.99999999999994</v>
      </c>
      <c r="CU183" s="17">
        <f>CT183*VLOOKUP('Données projet'!$B$13,Paramètres!$A$1:$I$89,3,0)*VLOOKUP('Données projet'!$B$13,Paramètres!$A$1:$I$89,5,0)</f>
        <v>151.78799999999998</v>
      </c>
      <c r="CV183" s="13">
        <f t="shared" si="173"/>
        <v>38.984634390835623</v>
      </c>
      <c r="CW183" s="20">
        <f t="shared" si="174"/>
        <v>332.26233823070532</v>
      </c>
      <c r="CX183" s="59">
        <f t="shared" si="122"/>
        <v>621.6675599345599</v>
      </c>
      <c r="CY183" s="59">
        <f ca="1">AVERAGE(OFFSET($CX$3,0,0,'Données projet'!$E$13+1,1))-AVERAGE(OFFSET($H$3,0,0,'Données projet'!$E$13+1,1))</f>
        <v>215.37314197175104</v>
      </c>
      <c r="CZ183" s="59">
        <f t="shared" si="150"/>
        <v>361.17630426655978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1.8819587592756855</v>
      </c>
      <c r="DG183" s="21">
        <f>EXP(-LN(2)/25)*DG182+(1-EXP(-LN(2)/25))/(LN(2)/25)*Calculateur!DB183*Calculateur!DD183*VLOOKUP('Données projet'!$B$13,Paramètres!$A$1:$I$89,3,0)*0.475*44/12</f>
        <v>1.5006479743974563</v>
      </c>
      <c r="DH183" s="21">
        <f>EXP(-LN(2)/2)*DH182+(1-EXP(-LN(2)/2))/(LN(2)/2)*DB183*DE183*VLOOKUP('Données projet'!$B$13,Paramètres!$A$1:$I$89,3,0)*0.475*44/12</f>
        <v>6.7116274385929659E-25</v>
      </c>
      <c r="DI183" s="22">
        <f t="shared" si="175"/>
        <v>3.3826067336731418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330.97259586453902</v>
      </c>
      <c r="S184" s="59">
        <f ca="1">AVERAGE(OFFSET($R$3,0,0,'Données projet'!$E$9+1,1))-AVERAGE(OFFSET($H$3,0,0,'Données projet'!$E$9+1,1))</f>
        <v>567.42635821336114</v>
      </c>
      <c r="T184" s="59">
        <f t="shared" si="142"/>
        <v>299.0473530693472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474.99999999999994</v>
      </c>
      <c r="AJ184" s="13">
        <f>AI184*VLOOKUP('Données projet'!$B$10,Paramètres!$A$1:$I$89,3,0)*VLOOKUP('Données projet'!$B$10,Paramètres!$A$1:$I$89,5,0)</f>
        <v>407.55</v>
      </c>
      <c r="AK184" s="13">
        <f t="shared" si="164"/>
        <v>93.305642095357683</v>
      </c>
      <c r="AL184" s="20">
        <f t="shared" si="165"/>
        <v>872.32357664941446</v>
      </c>
      <c r="AM184" s="59">
        <f t="shared" si="113"/>
        <v>1161.7969423080986</v>
      </c>
      <c r="AN184" s="59">
        <f ca="1">AVERAGE(OFFSET($AM$3,0,0,'Données projet'!$E$10+1,1))-AVERAGE(OFFSET($H$3,0,0,'Données projet'!$E$10+1,1))</f>
        <v>569.97793593332699</v>
      </c>
      <c r="AO184" s="59">
        <f t="shared" si="144"/>
        <v>331.25104323342907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36.517058226729418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36.517058226729418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16.750000000000213</v>
      </c>
      <c r="BE184" s="13">
        <f>BD184*VLOOKUP('Données projet'!$B$11,Paramètres!$A$1:$I$89,3,0)*VLOOKUP('Données projet'!$B$11,Paramètres!$A$1:$I$89,5,0)</f>
        <v>14.11020000000018</v>
      </c>
      <c r="BF184" s="13">
        <f t="shared" si="167"/>
        <v>4.7783677814795205</v>
      </c>
      <c r="BG184" s="20">
        <f t="shared" si="168"/>
        <v>32.897588886077138</v>
      </c>
      <c r="BH184" s="59">
        <f t="shared" si="116"/>
        <v>322.37095454476122</v>
      </c>
      <c r="BI184" s="59">
        <f ca="1">AVERAGE(OFFSET($BH$3,0,0,'Données projet'!$E$11+1,1))-AVERAGE(OFFSET($H$3,0,0,'Données projet'!$E$11+1,1))</f>
        <v>458.88102603650725</v>
      </c>
      <c r="BJ184" s="59">
        <f t="shared" si="146"/>
        <v>277.79020316059552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57.56698186912017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57.56698186912017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269.8175999999998</v>
      </c>
      <c r="CA184" s="13">
        <f t="shared" si="170"/>
        <v>64.810557882019467</v>
      </c>
      <c r="CB184" s="20">
        <f t="shared" si="171"/>
        <v>582.81070831118348</v>
      </c>
      <c r="CC184" s="59">
        <f t="shared" si="119"/>
        <v>872.28407396986756</v>
      </c>
      <c r="CD184" s="59">
        <f ca="1">AVERAGE(OFFSET($CC$3,0,0,'Données projet'!$E$12+1,1))-AVERAGE(OFFSET($H$3,0,0,'Données projet'!$E$12+1,1))</f>
        <v>400.48995908576177</v>
      </c>
      <c r="CE184" s="59">
        <f t="shared" si="148"/>
        <v>384.86917865380076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6.2351201417306887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6.2351201417306887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277.99999999999994</v>
      </c>
      <c r="CU184" s="17">
        <f>CT184*VLOOKUP('Données projet'!$B$13,Paramètres!$A$1:$I$89,3,0)*VLOOKUP('Données projet'!$B$13,Paramètres!$A$1:$I$89,5,0)</f>
        <v>151.78799999999998</v>
      </c>
      <c r="CV184" s="13">
        <f t="shared" si="173"/>
        <v>38.984634390835623</v>
      </c>
      <c r="CW184" s="20">
        <f t="shared" si="174"/>
        <v>332.26233823070532</v>
      </c>
      <c r="CX184" s="59">
        <f t="shared" si="122"/>
        <v>621.73570388938947</v>
      </c>
      <c r="CY184" s="59">
        <f ca="1">AVERAGE(OFFSET($CX$3,0,0,'Données projet'!$E$13+1,1))-AVERAGE(OFFSET($H$3,0,0,'Données projet'!$E$13+1,1))</f>
        <v>215.37314197175104</v>
      </c>
      <c r="CZ184" s="59">
        <f t="shared" si="150"/>
        <v>361.17630426655978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1.8450546958877885</v>
      </c>
      <c r="DG184" s="21">
        <f>EXP(-LN(2)/25)*DG183+(1-EXP(-LN(2)/25))/(LN(2)/25)*Calculateur!DB184*Calculateur!DD184*VLOOKUP('Données projet'!$B$13,Paramètres!$A$1:$I$89,3,0)*0.475*44/12</f>
        <v>1.4596126766219106</v>
      </c>
      <c r="DH184" s="21">
        <f>EXP(-LN(2)/2)*DH183+(1-EXP(-LN(2)/2))/(LN(2)/2)*DB184*DE184*VLOOKUP('Données projet'!$B$13,Paramètres!$A$1:$I$89,3,0)*0.475*44/12</f>
        <v>4.7458372746267846E-25</v>
      </c>
      <c r="DI184" s="22">
        <f t="shared" si="175"/>
        <v>3.3046673725096989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331.03955767409934</v>
      </c>
      <c r="S185" s="59">
        <f ca="1">AVERAGE(OFFSET($R$3,0,0,'Données projet'!$E$9+1,1))-AVERAGE(OFFSET($H$3,0,0,'Données projet'!$E$9+1,1))</f>
        <v>567.42635821336114</v>
      </c>
      <c r="T185" s="59">
        <f t="shared" si="142"/>
        <v>299.0473530693472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474.99999999999994</v>
      </c>
      <c r="AJ185" s="13">
        <f>AI185*VLOOKUP('Données projet'!$B$10,Paramètres!$A$1:$I$89,3,0)*VLOOKUP('Données projet'!$B$10,Paramètres!$A$1:$I$89,5,0)</f>
        <v>407.55</v>
      </c>
      <c r="AK185" s="13">
        <f t="shared" si="164"/>
        <v>93.305642095357683</v>
      </c>
      <c r="AL185" s="20">
        <f t="shared" si="165"/>
        <v>872.32357664941446</v>
      </c>
      <c r="AM185" s="59">
        <f t="shared" si="113"/>
        <v>1161.8639041176589</v>
      </c>
      <c r="AN185" s="59">
        <f ca="1">AVERAGE(OFFSET($AM$3,0,0,'Données projet'!$E$10+1,1))-AVERAGE(OFFSET($H$3,0,0,'Données projet'!$E$10+1,1))</f>
        <v>569.97793593332699</v>
      </c>
      <c r="AO185" s="59">
        <f t="shared" si="144"/>
        <v>331.25104323342907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35.800980988109472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35.800980988109472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16.750000000000213</v>
      </c>
      <c r="BE185" s="13">
        <f>BD185*VLOOKUP('Données projet'!$B$11,Paramètres!$A$1:$I$89,3,0)*VLOOKUP('Données projet'!$B$11,Paramètres!$A$1:$I$89,5,0)</f>
        <v>14.11020000000018</v>
      </c>
      <c r="BF185" s="13">
        <f t="shared" si="167"/>
        <v>4.7783677814795205</v>
      </c>
      <c r="BG185" s="20">
        <f t="shared" si="168"/>
        <v>32.897588886077138</v>
      </c>
      <c r="BH185" s="59">
        <f t="shared" si="116"/>
        <v>322.43791635432154</v>
      </c>
      <c r="BI185" s="59">
        <f ca="1">AVERAGE(OFFSET($BH$3,0,0,'Données projet'!$E$11+1,1))-AVERAGE(OFFSET($H$3,0,0,'Données projet'!$E$11+1,1))</f>
        <v>458.88102603650725</v>
      </c>
      <c r="BJ185" s="59">
        <f t="shared" si="146"/>
        <v>277.79020316059552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56.438128467058604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56.438128467058604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269.8175999999998</v>
      </c>
      <c r="CA185" s="13">
        <f t="shared" si="170"/>
        <v>64.810557882019467</v>
      </c>
      <c r="CB185" s="20">
        <f t="shared" si="171"/>
        <v>582.81070831118348</v>
      </c>
      <c r="CC185" s="59">
        <f t="shared" si="119"/>
        <v>872.35103577942789</v>
      </c>
      <c r="CD185" s="59">
        <f ca="1">AVERAGE(OFFSET($CC$3,0,0,'Données projet'!$E$12+1,1))-AVERAGE(OFFSET($H$3,0,0,'Données projet'!$E$12+1,1))</f>
        <v>400.48995908576177</v>
      </c>
      <c r="CE185" s="59">
        <f t="shared" si="148"/>
        <v>384.86917865380076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6.1128532387991168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6.1128532387991168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277.99999999999994</v>
      </c>
      <c r="CU185" s="17">
        <f>CT185*VLOOKUP('Données projet'!$B$13,Paramètres!$A$1:$I$89,3,0)*VLOOKUP('Données projet'!$B$13,Paramètres!$A$1:$I$89,5,0)</f>
        <v>151.78799999999998</v>
      </c>
      <c r="CV185" s="13">
        <f t="shared" si="173"/>
        <v>38.984634390835623</v>
      </c>
      <c r="CW185" s="20">
        <f t="shared" si="174"/>
        <v>332.26233823070532</v>
      </c>
      <c r="CX185" s="59">
        <f t="shared" si="122"/>
        <v>621.8026656989498</v>
      </c>
      <c r="CY185" s="59">
        <f ca="1">AVERAGE(OFFSET($CX$3,0,0,'Données projet'!$E$13+1,1))-AVERAGE(OFFSET($H$3,0,0,'Données projet'!$E$13+1,1))</f>
        <v>215.37314197175104</v>
      </c>
      <c r="CZ185" s="59">
        <f t="shared" si="150"/>
        <v>361.17630426655978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1.8088742986736721</v>
      </c>
      <c r="DG185" s="21">
        <f>EXP(-LN(2)/25)*DG184+(1-EXP(-LN(2)/25))/(LN(2)/25)*Calculateur!DB185*Calculateur!DD185*VLOOKUP('Données projet'!$B$13,Paramètres!$A$1:$I$89,3,0)*0.475*44/12</f>
        <v>1.4196994912219898</v>
      </c>
      <c r="DH185" s="21">
        <f>EXP(-LN(2)/2)*DH184+(1-EXP(-LN(2)/2))/(LN(2)/2)*DB185*DE185*VLOOKUP('Données projet'!$B$13,Paramètres!$A$1:$I$89,3,0)*0.475*44/12</f>
        <v>3.3558137192964829E-25</v>
      </c>
      <c r="DI185" s="22">
        <f t="shared" si="175"/>
        <v>3.2285737898956617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331.10535784596789</v>
      </c>
      <c r="S186" s="59">
        <f ca="1">AVERAGE(OFFSET($R$3,0,0,'Données projet'!$E$9+1,1))-AVERAGE(OFFSET($H$3,0,0,'Données projet'!$E$9+1,1))</f>
        <v>567.42635821336114</v>
      </c>
      <c r="T186" s="59">
        <f t="shared" si="142"/>
        <v>299.0473530693472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474.99999999999994</v>
      </c>
      <c r="AJ186" s="13">
        <f>AI186*VLOOKUP('Données projet'!$B$10,Paramètres!$A$1:$I$89,3,0)*VLOOKUP('Données projet'!$B$10,Paramètres!$A$1:$I$89,5,0)</f>
        <v>407.55</v>
      </c>
      <c r="AK186" s="13">
        <f t="shared" si="164"/>
        <v>93.305642095357683</v>
      </c>
      <c r="AL186" s="20">
        <f t="shared" si="165"/>
        <v>872.32357664941446</v>
      </c>
      <c r="AM186" s="59">
        <f t="shared" si="113"/>
        <v>1161.9297042895273</v>
      </c>
      <c r="AN186" s="59">
        <f ca="1">AVERAGE(OFFSET($AM$3,0,0,'Données projet'!$E$10+1,1))-AVERAGE(OFFSET($H$3,0,0,'Données projet'!$E$10+1,1))</f>
        <v>569.97793593332699</v>
      </c>
      <c r="AO186" s="59">
        <f t="shared" si="144"/>
        <v>331.25104323342907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35.098945587374878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35.098945587374878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16.750000000000213</v>
      </c>
      <c r="BE186" s="13">
        <f>BD186*VLOOKUP('Données projet'!$B$11,Paramètres!$A$1:$I$89,3,0)*VLOOKUP('Données projet'!$B$11,Paramètres!$A$1:$I$89,5,0)</f>
        <v>14.11020000000018</v>
      </c>
      <c r="BF186" s="13">
        <f t="shared" si="167"/>
        <v>4.7783677814795205</v>
      </c>
      <c r="BG186" s="20">
        <f t="shared" si="168"/>
        <v>32.897588886077138</v>
      </c>
      <c r="BH186" s="59">
        <f t="shared" si="116"/>
        <v>322.50371652619009</v>
      </c>
      <c r="BI186" s="59">
        <f ca="1">AVERAGE(OFFSET($BH$3,0,0,'Données projet'!$E$11+1,1))-AVERAGE(OFFSET($H$3,0,0,'Données projet'!$E$11+1,1))</f>
        <v>458.88102603650725</v>
      </c>
      <c r="BJ186" s="59">
        <f t="shared" si="146"/>
        <v>277.79020316059552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55.331411191678875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55.331411191678875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269.8175999999998</v>
      </c>
      <c r="CA186" s="13">
        <f t="shared" si="170"/>
        <v>64.810557882019467</v>
      </c>
      <c r="CB186" s="20">
        <f t="shared" si="171"/>
        <v>582.81070831118348</v>
      </c>
      <c r="CC186" s="59">
        <f t="shared" si="119"/>
        <v>872.41683595129643</v>
      </c>
      <c r="CD186" s="59">
        <f ca="1">AVERAGE(OFFSET($CC$3,0,0,'Données projet'!$E$12+1,1))-AVERAGE(OFFSET($H$3,0,0,'Données projet'!$E$12+1,1))</f>
        <v>400.48995908576177</v>
      </c>
      <c r="CE186" s="59">
        <f t="shared" si="148"/>
        <v>384.86917865380076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5.992983915258586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5.992983915258586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277.99999999999994</v>
      </c>
      <c r="CU186" s="17">
        <f>CT186*VLOOKUP('Données projet'!$B$13,Paramètres!$A$1:$I$89,3,0)*VLOOKUP('Données projet'!$B$13,Paramètres!$A$1:$I$89,5,0)</f>
        <v>151.78799999999998</v>
      </c>
      <c r="CV186" s="13">
        <f t="shared" si="173"/>
        <v>38.984634390835623</v>
      </c>
      <c r="CW186" s="20">
        <f t="shared" si="174"/>
        <v>332.26233823070532</v>
      </c>
      <c r="CX186" s="59">
        <f t="shared" si="122"/>
        <v>621.86846587081823</v>
      </c>
      <c r="CY186" s="59">
        <f ca="1">AVERAGE(OFFSET($CX$3,0,0,'Données projet'!$E$13+1,1))-AVERAGE(OFFSET($H$3,0,0,'Données projet'!$E$13+1,1))</f>
        <v>215.37314197175104</v>
      </c>
      <c r="CZ186" s="59">
        <f t="shared" si="150"/>
        <v>361.17630426655978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1.7734033769810613</v>
      </c>
      <c r="DG186" s="21">
        <f>EXP(-LN(2)/25)*DG185+(1-EXP(-LN(2)/25))/(LN(2)/25)*Calculateur!DB186*Calculateur!DD186*VLOOKUP('Données projet'!$B$13,Paramètres!$A$1:$I$89,3,0)*0.475*44/12</f>
        <v>1.380877733975773</v>
      </c>
      <c r="DH186" s="21">
        <f>EXP(-LN(2)/2)*DH185+(1-EXP(-LN(2)/2))/(LN(2)/2)*DB186*DE186*VLOOKUP('Données projet'!$B$13,Paramètres!$A$1:$I$89,3,0)*0.475*44/12</f>
        <v>2.3729186373133923E-25</v>
      </c>
      <c r="DI186" s="22">
        <f t="shared" si="175"/>
        <v>3.1542811109568341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331.17001653196166</v>
      </c>
      <c r="S187" s="59">
        <f ca="1">AVERAGE(OFFSET($R$3,0,0,'Données projet'!$E$9+1,1))-AVERAGE(OFFSET($H$3,0,0,'Données projet'!$E$9+1,1))</f>
        <v>567.42635821336114</v>
      </c>
      <c r="T187" s="59">
        <f t="shared" si="142"/>
        <v>299.0473530693472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474.99999999999994</v>
      </c>
      <c r="AJ187" s="13">
        <f>AI187*VLOOKUP('Données projet'!$B$10,Paramètres!$A$1:$I$89,3,0)*VLOOKUP('Données projet'!$B$10,Paramètres!$A$1:$I$89,5,0)</f>
        <v>407.55</v>
      </c>
      <c r="AK187" s="13">
        <f t="shared" si="164"/>
        <v>93.305642095357683</v>
      </c>
      <c r="AL187" s="20">
        <f t="shared" si="165"/>
        <v>872.32357664941446</v>
      </c>
      <c r="AM187" s="59">
        <f t="shared" si="113"/>
        <v>1161.9943629755212</v>
      </c>
      <c r="AN187" s="59">
        <f ca="1">AVERAGE(OFFSET($AM$3,0,0,'Données projet'!$E$10+1,1))-AVERAGE(OFFSET($H$3,0,0,'Données projet'!$E$10+1,1))</f>
        <v>569.97793593332699</v>
      </c>
      <c r="AO187" s="59">
        <f t="shared" si="144"/>
        <v>331.25104323342907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34.410676672649373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34.410676672649373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16.750000000000213</v>
      </c>
      <c r="BE187" s="13">
        <f>BD187*VLOOKUP('Données projet'!$B$11,Paramètres!$A$1:$I$89,3,0)*VLOOKUP('Données projet'!$B$11,Paramètres!$A$1:$I$89,5,0)</f>
        <v>14.11020000000018</v>
      </c>
      <c r="BF187" s="13">
        <f t="shared" si="167"/>
        <v>4.7783677814795205</v>
      </c>
      <c r="BG187" s="20">
        <f t="shared" si="168"/>
        <v>32.897588886077138</v>
      </c>
      <c r="BH187" s="59">
        <f t="shared" si="116"/>
        <v>322.56837521218387</v>
      </c>
      <c r="BI187" s="59">
        <f ca="1">AVERAGE(OFFSET($BH$3,0,0,'Données projet'!$E$11+1,1))-AVERAGE(OFFSET($H$3,0,0,'Données projet'!$E$11+1,1))</f>
        <v>458.88102603650725</v>
      </c>
      <c r="BJ187" s="59">
        <f t="shared" si="146"/>
        <v>277.79020316059552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54.24639596703846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54.24639596703846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269.8175999999998</v>
      </c>
      <c r="CA187" s="13">
        <f t="shared" si="170"/>
        <v>64.810557882019467</v>
      </c>
      <c r="CB187" s="20">
        <f t="shared" si="171"/>
        <v>582.81070831118348</v>
      </c>
      <c r="CC187" s="59">
        <f t="shared" si="119"/>
        <v>872.48149463729021</v>
      </c>
      <c r="CD187" s="59">
        <f ca="1">AVERAGE(OFFSET($CC$3,0,0,'Données projet'!$E$12+1,1))-AVERAGE(OFFSET($H$3,0,0,'Données projet'!$E$12+1,1))</f>
        <v>400.48995908576177</v>
      </c>
      <c r="CE187" s="59">
        <f t="shared" si="148"/>
        <v>384.86917865380076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5.8754651560396169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5.8754651560396169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277.99999999999994</v>
      </c>
      <c r="CU187" s="17">
        <f>CT187*VLOOKUP('Données projet'!$B$13,Paramètres!$A$1:$I$89,3,0)*VLOOKUP('Données projet'!$B$13,Paramètres!$A$1:$I$89,5,0)</f>
        <v>151.78799999999998</v>
      </c>
      <c r="CV187" s="13">
        <f t="shared" si="173"/>
        <v>38.984634390835623</v>
      </c>
      <c r="CW187" s="20">
        <f t="shared" si="174"/>
        <v>332.26233823070532</v>
      </c>
      <c r="CX187" s="59">
        <f t="shared" si="122"/>
        <v>621.93312455681212</v>
      </c>
      <c r="CY187" s="59">
        <f ca="1">AVERAGE(OFFSET($CX$3,0,0,'Données projet'!$E$13+1,1))-AVERAGE(OFFSET($H$3,0,0,'Données projet'!$E$13+1,1))</f>
        <v>215.37314197175104</v>
      </c>
      <c r="CZ187" s="59">
        <f t="shared" si="150"/>
        <v>361.17630426655978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1.7386280184277167</v>
      </c>
      <c r="DG187" s="21">
        <f>EXP(-LN(2)/25)*DG186+(1-EXP(-LN(2)/25))/(LN(2)/25)*Calculateur!DB187*Calculateur!DD187*VLOOKUP('Données projet'!$B$13,Paramètres!$A$1:$I$89,3,0)*0.475*44/12</f>
        <v>1.3431175597230014</v>
      </c>
      <c r="DH187" s="21">
        <f>EXP(-LN(2)/2)*DH186+(1-EXP(-LN(2)/2))/(LN(2)/2)*DB187*DE187*VLOOKUP('Données projet'!$B$13,Paramètres!$A$1:$I$89,3,0)*0.475*44/12</f>
        <v>1.6779068596482415E-25</v>
      </c>
      <c r="DI187" s="22">
        <f t="shared" si="175"/>
        <v>3.0817455781507181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331.23355353430867</v>
      </c>
      <c r="S188" s="59">
        <f ca="1">AVERAGE(OFFSET($R$3,0,0,'Données projet'!$E$9+1,1))-AVERAGE(OFFSET($H$3,0,0,'Données projet'!$E$9+1,1))</f>
        <v>567.42635821336114</v>
      </c>
      <c r="T188" s="59">
        <f t="shared" si="142"/>
        <v>299.0473530693472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474.99999999999994</v>
      </c>
      <c r="AJ188" s="13">
        <f>AI188*VLOOKUP('Données projet'!$B$10,Paramètres!$A$1:$I$89,3,0)*VLOOKUP('Données projet'!$B$10,Paramètres!$A$1:$I$89,5,0)</f>
        <v>407.55</v>
      </c>
      <c r="AK188" s="13">
        <f t="shared" si="164"/>
        <v>93.305642095357683</v>
      </c>
      <c r="AL188" s="20">
        <f t="shared" si="165"/>
        <v>872.32357664941446</v>
      </c>
      <c r="AM188" s="59">
        <f t="shared" si="113"/>
        <v>1162.0578999778681</v>
      </c>
      <c r="AN188" s="59">
        <f ca="1">AVERAGE(OFFSET($AM$3,0,0,'Données projet'!$E$10+1,1))-AVERAGE(OFFSET($H$3,0,0,'Données projet'!$E$10+1,1))</f>
        <v>569.97793593332699</v>
      </c>
      <c r="AO188" s="59">
        <f t="shared" si="144"/>
        <v>331.25104323342907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33.73590429153905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33.73590429153905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16.750000000000213</v>
      </c>
      <c r="BE188" s="13">
        <f>BD188*VLOOKUP('Données projet'!$B$11,Paramètres!$A$1:$I$89,3,0)*VLOOKUP('Données projet'!$B$11,Paramètres!$A$1:$I$89,5,0)</f>
        <v>14.11020000000018</v>
      </c>
      <c r="BF188" s="13">
        <f t="shared" si="167"/>
        <v>4.7783677814795205</v>
      </c>
      <c r="BG188" s="20">
        <f t="shared" si="168"/>
        <v>32.897588886077138</v>
      </c>
      <c r="BH188" s="59">
        <f t="shared" si="116"/>
        <v>322.63191221453087</v>
      </c>
      <c r="BI188" s="59">
        <f ca="1">AVERAGE(OFFSET($BH$3,0,0,'Données projet'!$E$11+1,1))-AVERAGE(OFFSET($H$3,0,0,'Données projet'!$E$11+1,1))</f>
        <v>458.88102603650725</v>
      </c>
      <c r="BJ188" s="59">
        <f t="shared" si="146"/>
        <v>277.79020316059552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53.182657229159304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53.182657229159304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269.8175999999998</v>
      </c>
      <c r="CA188" s="13">
        <f t="shared" si="170"/>
        <v>64.810557882019467</v>
      </c>
      <c r="CB188" s="20">
        <f t="shared" si="171"/>
        <v>582.81070831118348</v>
      </c>
      <c r="CC188" s="59">
        <f t="shared" si="119"/>
        <v>872.54503163963727</v>
      </c>
      <c r="CD188" s="59">
        <f ca="1">AVERAGE(OFFSET($CC$3,0,0,'Données projet'!$E$12+1,1))-AVERAGE(OFFSET($H$3,0,0,'Données projet'!$E$12+1,1))</f>
        <v>400.48995908576177</v>
      </c>
      <c r="CE188" s="59">
        <f t="shared" si="148"/>
        <v>384.86917865380076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5.7602508680095665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5.7602508680095665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277.99999999999994</v>
      </c>
      <c r="CU188" s="17">
        <f>CT188*VLOOKUP('Données projet'!$B$13,Paramètres!$A$1:$I$89,3,0)*VLOOKUP('Données projet'!$B$13,Paramètres!$A$1:$I$89,5,0)</f>
        <v>151.78799999999998</v>
      </c>
      <c r="CV188" s="13">
        <f t="shared" si="173"/>
        <v>38.984634390835623</v>
      </c>
      <c r="CW188" s="20">
        <f t="shared" si="174"/>
        <v>332.26233823070532</v>
      </c>
      <c r="CX188" s="59">
        <f t="shared" si="122"/>
        <v>621.99666155915907</v>
      </c>
      <c r="CY188" s="59">
        <f ca="1">AVERAGE(OFFSET($CX$3,0,0,'Données projet'!$E$13+1,1))-AVERAGE(OFFSET($H$3,0,0,'Données projet'!$E$13+1,1))</f>
        <v>215.37314197175104</v>
      </c>
      <c r="CZ188" s="59">
        <f t="shared" si="150"/>
        <v>361.17630426655978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1.704534583444729</v>
      </c>
      <c r="DG188" s="21">
        <f>EXP(-LN(2)/25)*DG187+(1-EXP(-LN(2)/25))/(LN(2)/25)*Calculateur!DB188*Calculateur!DD188*VLOOKUP('Données projet'!$B$13,Paramètres!$A$1:$I$89,3,0)*0.475*44/12</f>
        <v>1.3063899394208931</v>
      </c>
      <c r="DH188" s="21">
        <f>EXP(-LN(2)/2)*DH187+(1-EXP(-LN(2)/2))/(LN(2)/2)*DB188*DE188*VLOOKUP('Données projet'!$B$13,Paramètres!$A$1:$I$89,3,0)*0.475*44/12</f>
        <v>1.1864593186566962E-25</v>
      </c>
      <c r="DI188" s="22">
        <f t="shared" si="175"/>
        <v>3.0109245228656221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331.29598831171234</v>
      </c>
      <c r="S189" s="59">
        <f ca="1">AVERAGE(OFFSET($R$3,0,0,'Données projet'!$E$9+1,1))-AVERAGE(OFFSET($H$3,0,0,'Données projet'!$E$9+1,1))</f>
        <v>567.42635821336114</v>
      </c>
      <c r="T189" s="59">
        <f t="shared" si="142"/>
        <v>299.0473530693472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474.99999999999994</v>
      </c>
      <c r="AJ189" s="13">
        <f>AI189*VLOOKUP('Données projet'!$B$10,Paramètres!$A$1:$I$89,3,0)*VLOOKUP('Données projet'!$B$10,Paramètres!$A$1:$I$89,5,0)</f>
        <v>407.55</v>
      </c>
      <c r="AK189" s="13">
        <f t="shared" si="164"/>
        <v>93.305642095357683</v>
      </c>
      <c r="AL189" s="20">
        <f t="shared" si="165"/>
        <v>872.32357664941446</v>
      </c>
      <c r="AM189" s="59">
        <f t="shared" si="113"/>
        <v>1162.1203347552719</v>
      </c>
      <c r="AN189" s="59">
        <f ca="1">AVERAGE(OFFSET($AM$3,0,0,'Données projet'!$E$10+1,1))-AVERAGE(OFFSET($H$3,0,0,'Données projet'!$E$10+1,1))</f>
        <v>569.97793593332699</v>
      </c>
      <c r="AO189" s="59">
        <f t="shared" si="144"/>
        <v>331.25104323342907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33.074363785251791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33.074363785251791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16.750000000000213</v>
      </c>
      <c r="BE189" s="13">
        <f>BD189*VLOOKUP('Données projet'!$B$11,Paramètres!$A$1:$I$89,3,0)*VLOOKUP('Données projet'!$B$11,Paramètres!$A$1:$I$89,5,0)</f>
        <v>14.11020000000018</v>
      </c>
      <c r="BF189" s="13">
        <f t="shared" si="167"/>
        <v>4.7783677814795205</v>
      </c>
      <c r="BG189" s="20">
        <f t="shared" si="168"/>
        <v>32.897588886077138</v>
      </c>
      <c r="BH189" s="59">
        <f t="shared" si="116"/>
        <v>322.69434699193454</v>
      </c>
      <c r="BI189" s="59">
        <f ca="1">AVERAGE(OFFSET($BH$3,0,0,'Données projet'!$E$11+1,1))-AVERAGE(OFFSET($H$3,0,0,'Données projet'!$E$11+1,1))</f>
        <v>458.88102603650725</v>
      </c>
      <c r="BJ189" s="59">
        <f t="shared" si="146"/>
        <v>277.79020316059552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52.139777759113393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52.139777759113393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269.8175999999998</v>
      </c>
      <c r="CA189" s="13">
        <f t="shared" si="170"/>
        <v>64.810557882019467</v>
      </c>
      <c r="CB189" s="20">
        <f t="shared" si="171"/>
        <v>582.81070831118348</v>
      </c>
      <c r="CC189" s="59">
        <f t="shared" si="119"/>
        <v>872.60746641704088</v>
      </c>
      <c r="CD189" s="59">
        <f ca="1">AVERAGE(OFFSET($CC$3,0,0,'Données projet'!$E$12+1,1))-AVERAGE(OFFSET($H$3,0,0,'Données projet'!$E$12+1,1))</f>
        <v>400.48995908576177</v>
      </c>
      <c r="CE189" s="59">
        <f t="shared" si="148"/>
        <v>384.86917865380076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5.6472958618940083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5.6472958618940083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277.99999999999994</v>
      </c>
      <c r="CU189" s="17">
        <f>CT189*VLOOKUP('Données projet'!$B$13,Paramètres!$A$1:$I$89,3,0)*VLOOKUP('Données projet'!$B$13,Paramètres!$A$1:$I$89,5,0)</f>
        <v>151.78799999999998</v>
      </c>
      <c r="CV189" s="13">
        <f t="shared" si="173"/>
        <v>38.984634390835623</v>
      </c>
      <c r="CW189" s="20">
        <f t="shared" si="174"/>
        <v>332.26233823070532</v>
      </c>
      <c r="CX189" s="59">
        <f t="shared" si="122"/>
        <v>622.05909633656279</v>
      </c>
      <c r="CY189" s="59">
        <f ca="1">AVERAGE(OFFSET($CX$3,0,0,'Données projet'!$E$13+1,1))-AVERAGE(OFFSET($H$3,0,0,'Données projet'!$E$13+1,1))</f>
        <v>215.37314197175104</v>
      </c>
      <c r="CZ189" s="59">
        <f t="shared" si="150"/>
        <v>361.17630426655978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1.6711096999268156</v>
      </c>
      <c r="DG189" s="21">
        <f>EXP(-LN(2)/25)*DG188+(1-EXP(-LN(2)/25))/(LN(2)/25)*Calculateur!DB189*Calculateur!DD189*VLOOKUP('Données projet'!$B$13,Paramètres!$A$1:$I$89,3,0)*0.475*44/12</f>
        <v>1.2706666378273677</v>
      </c>
      <c r="DH189" s="21">
        <f>EXP(-LN(2)/2)*DH188+(1-EXP(-LN(2)/2))/(LN(2)/2)*DB189*DE189*VLOOKUP('Données projet'!$B$13,Paramètres!$A$1:$I$89,3,0)*0.475*44/12</f>
        <v>8.3895342982412073E-26</v>
      </c>
      <c r="DI189" s="22">
        <f t="shared" si="175"/>
        <v>2.9417763377541832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331.35733998531134</v>
      </c>
      <c r="S190" s="59">
        <f ca="1">AVERAGE(OFFSET($R$3,0,0,'Données projet'!$E$9+1,1))-AVERAGE(OFFSET($H$3,0,0,'Données projet'!$E$9+1,1))</f>
        <v>567.42635821336114</v>
      </c>
      <c r="T190" s="59">
        <f t="shared" si="142"/>
        <v>299.0473530693472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474.99999999999994</v>
      </c>
      <c r="AJ190" s="13">
        <f>AI190*VLOOKUP('Données projet'!$B$10,Paramètres!$A$1:$I$89,3,0)*VLOOKUP('Données projet'!$B$10,Paramètres!$A$1:$I$89,5,0)</f>
        <v>407.55</v>
      </c>
      <c r="AK190" s="13">
        <f t="shared" si="164"/>
        <v>93.305642095357683</v>
      </c>
      <c r="AL190" s="20">
        <f t="shared" si="165"/>
        <v>872.32357664941446</v>
      </c>
      <c r="AM190" s="59">
        <f t="shared" si="113"/>
        <v>1162.1816864288708</v>
      </c>
      <c r="AN190" s="59">
        <f ca="1">AVERAGE(OFFSET($AM$3,0,0,'Données projet'!$E$10+1,1))-AVERAGE(OFFSET($H$3,0,0,'Données projet'!$E$10+1,1))</f>
        <v>569.97793593332699</v>
      </c>
      <c r="AO190" s="59">
        <f t="shared" si="144"/>
        <v>331.25104323342907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32.425795684792959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32.425795684792959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16.750000000000213</v>
      </c>
      <c r="BE190" s="13">
        <f>BD190*VLOOKUP('Données projet'!$B$11,Paramètres!$A$1:$I$89,3,0)*VLOOKUP('Données projet'!$B$11,Paramètres!$A$1:$I$89,5,0)</f>
        <v>14.11020000000018</v>
      </c>
      <c r="BF190" s="13">
        <f t="shared" si="167"/>
        <v>4.7783677814795205</v>
      </c>
      <c r="BG190" s="20">
        <f t="shared" si="168"/>
        <v>32.897588886077138</v>
      </c>
      <c r="BH190" s="59">
        <f t="shared" si="116"/>
        <v>322.75569866553354</v>
      </c>
      <c r="BI190" s="59">
        <f ca="1">AVERAGE(OFFSET($BH$3,0,0,'Données projet'!$E$11+1,1))-AVERAGE(OFFSET($H$3,0,0,'Données projet'!$E$11+1,1))</f>
        <v>458.88102603650725</v>
      </c>
      <c r="BJ190" s="59">
        <f t="shared" si="146"/>
        <v>277.79020316059552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51.117348519381416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51.117348519381416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269.8175999999998</v>
      </c>
      <c r="CA190" s="13">
        <f t="shared" si="170"/>
        <v>64.810557882019467</v>
      </c>
      <c r="CB190" s="20">
        <f t="shared" si="171"/>
        <v>582.81070831118348</v>
      </c>
      <c r="CC190" s="59">
        <f t="shared" si="119"/>
        <v>872.66881809063989</v>
      </c>
      <c r="CD190" s="59">
        <f ca="1">AVERAGE(OFFSET($CC$3,0,0,'Données projet'!$E$12+1,1))-AVERAGE(OFFSET($H$3,0,0,'Données projet'!$E$12+1,1))</f>
        <v>400.48995908576177</v>
      </c>
      <c r="CE190" s="59">
        <f t="shared" si="148"/>
        <v>384.86917865380076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5.5365558345526251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5.5365558345526251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277.99999999999994</v>
      </c>
      <c r="CU190" s="17">
        <f>CT190*VLOOKUP('Données projet'!$B$13,Paramètres!$A$1:$I$89,3,0)*VLOOKUP('Données projet'!$B$13,Paramètres!$A$1:$I$89,5,0)</f>
        <v>151.78799999999998</v>
      </c>
      <c r="CV190" s="13">
        <f t="shared" si="173"/>
        <v>38.984634390835623</v>
      </c>
      <c r="CW190" s="20">
        <f t="shared" si="174"/>
        <v>332.26233823070532</v>
      </c>
      <c r="CX190" s="59">
        <f t="shared" si="122"/>
        <v>622.12044801016168</v>
      </c>
      <c r="CY190" s="59">
        <f ca="1">AVERAGE(OFFSET($CX$3,0,0,'Données projet'!$E$13+1,1))-AVERAGE(OFFSET($H$3,0,0,'Données projet'!$E$13+1,1))</f>
        <v>215.37314197175104</v>
      </c>
      <c r="CZ190" s="59">
        <f t="shared" si="150"/>
        <v>361.17630426655978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1.6383402579875226</v>
      </c>
      <c r="DG190" s="21">
        <f>EXP(-LN(2)/25)*DG189+(1-EXP(-LN(2)/25))/(LN(2)/25)*Calculateur!DB190*Calculateur!DD190*VLOOKUP('Données projet'!$B$13,Paramètres!$A$1:$I$89,3,0)*0.475*44/12</f>
        <v>1.2359201917945239</v>
      </c>
      <c r="DH190" s="21">
        <f>EXP(-LN(2)/2)*DH189+(1-EXP(-LN(2)/2))/(LN(2)/2)*DB190*DE190*VLOOKUP('Données projet'!$B$13,Paramètres!$A$1:$I$89,3,0)*0.475*44/12</f>
        <v>5.9322965932834808E-26</v>
      </c>
      <c r="DI190" s="22">
        <f t="shared" si="175"/>
        <v>2.8742604497820468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331.41762734453516</v>
      </c>
      <c r="S191" s="59">
        <f ca="1">AVERAGE(OFFSET($R$3,0,0,'Données projet'!$E$9+1,1))-AVERAGE(OFFSET($H$3,0,0,'Données projet'!$E$9+1,1))</f>
        <v>567.42635821336114</v>
      </c>
      <c r="T191" s="59">
        <f t="shared" si="142"/>
        <v>299.0473530693472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474.99999999999994</v>
      </c>
      <c r="AJ191" s="13">
        <f>AI191*VLOOKUP('Données projet'!$B$10,Paramètres!$A$1:$I$89,3,0)*VLOOKUP('Données projet'!$B$10,Paramètres!$A$1:$I$89,5,0)</f>
        <v>407.55</v>
      </c>
      <c r="AK191" s="13">
        <f t="shared" si="164"/>
        <v>93.305642095357683</v>
      </c>
      <c r="AL191" s="20">
        <f t="shared" si="165"/>
        <v>872.32357664941446</v>
      </c>
      <c r="AM191" s="59">
        <f t="shared" si="113"/>
        <v>1162.2419737880946</v>
      </c>
      <c r="AN191" s="59">
        <f ca="1">AVERAGE(OFFSET($AM$3,0,0,'Données projet'!$E$10+1,1))-AVERAGE(OFFSET($H$3,0,0,'Données projet'!$E$10+1,1))</f>
        <v>569.97793593332699</v>
      </c>
      <c r="AO191" s="59">
        <f t="shared" si="144"/>
        <v>331.25104323342907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31.789945609196643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31.789945609196643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16.750000000000213</v>
      </c>
      <c r="BE191" s="13">
        <f>BD191*VLOOKUP('Données projet'!$B$11,Paramètres!$A$1:$I$89,3,0)*VLOOKUP('Données projet'!$B$11,Paramètres!$A$1:$I$89,5,0)</f>
        <v>14.11020000000018</v>
      </c>
      <c r="BF191" s="13">
        <f t="shared" si="167"/>
        <v>4.7783677814795205</v>
      </c>
      <c r="BG191" s="20">
        <f t="shared" si="168"/>
        <v>32.897588886077138</v>
      </c>
      <c r="BH191" s="59">
        <f t="shared" si="116"/>
        <v>322.81598602475736</v>
      </c>
      <c r="BI191" s="59">
        <f ca="1">AVERAGE(OFFSET($BH$3,0,0,'Données projet'!$E$11+1,1))-AVERAGE(OFFSET($H$3,0,0,'Données projet'!$E$11+1,1))</f>
        <v>458.88102603650725</v>
      </c>
      <c r="BJ191" s="59">
        <f t="shared" si="146"/>
        <v>277.79020316059552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50.114968493420321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50.114968493420321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269.8175999999998</v>
      </c>
      <c r="CA191" s="13">
        <f t="shared" si="170"/>
        <v>64.810557882019467</v>
      </c>
      <c r="CB191" s="20">
        <f t="shared" si="171"/>
        <v>582.81070831118348</v>
      </c>
      <c r="CC191" s="59">
        <f t="shared" si="119"/>
        <v>872.72910544986371</v>
      </c>
      <c r="CD191" s="59">
        <f ca="1">AVERAGE(OFFSET($CC$3,0,0,'Données projet'!$E$12+1,1))-AVERAGE(OFFSET($H$3,0,0,'Données projet'!$E$12+1,1))</f>
        <v>400.48995908576177</v>
      </c>
      <c r="CE191" s="59">
        <f t="shared" si="148"/>
        <v>384.86917865380076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5.4279873516026598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5.4279873516026598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277.99999999999994</v>
      </c>
      <c r="CU191" s="17">
        <f>CT191*VLOOKUP('Données projet'!$B$13,Paramètres!$A$1:$I$89,3,0)*VLOOKUP('Données projet'!$B$13,Paramètres!$A$1:$I$89,5,0)</f>
        <v>151.78799999999998</v>
      </c>
      <c r="CV191" s="13">
        <f t="shared" si="173"/>
        <v>38.984634390835623</v>
      </c>
      <c r="CW191" s="20">
        <f t="shared" si="174"/>
        <v>332.26233823070532</v>
      </c>
      <c r="CX191" s="59">
        <f t="shared" si="122"/>
        <v>622.1807353693855</v>
      </c>
      <c r="CY191" s="59">
        <f ca="1">AVERAGE(OFFSET($CX$3,0,0,'Données projet'!$E$13+1,1))-AVERAGE(OFFSET($H$3,0,0,'Données projet'!$E$13+1,1))</f>
        <v>215.37314197175104</v>
      </c>
      <c r="CZ191" s="59">
        <f t="shared" si="150"/>
        <v>361.17630426655978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1.6062134048172731</v>
      </c>
      <c r="DG191" s="21">
        <f>EXP(-LN(2)/25)*DG190+(1-EXP(-LN(2)/25))/(LN(2)/25)*Calculateur!DB191*Calculateur!DD191*VLOOKUP('Données projet'!$B$13,Paramètres!$A$1:$I$89,3,0)*0.475*44/12</f>
        <v>1.2021238891556845</v>
      </c>
      <c r="DH191" s="21">
        <f>EXP(-LN(2)/2)*DH190+(1-EXP(-LN(2)/2))/(LN(2)/2)*DB191*DE191*VLOOKUP('Données projet'!$B$13,Paramètres!$A$1:$I$89,3,0)*0.475*44/12</f>
        <v>4.1947671491206037E-26</v>
      </c>
      <c r="DI191" s="22">
        <f t="shared" si="175"/>
        <v>2.8083372939729578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331.47686885285879</v>
      </c>
      <c r="S192" s="59">
        <f ca="1">AVERAGE(OFFSET($R$3,0,0,'Données projet'!$E$9+1,1))-AVERAGE(OFFSET($H$3,0,0,'Données projet'!$E$9+1,1))</f>
        <v>567.42635821336114</v>
      </c>
      <c r="T192" s="59">
        <f t="shared" si="142"/>
        <v>299.0473530693472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474.99999999999994</v>
      </c>
      <c r="AJ192" s="13">
        <f>AI192*VLOOKUP('Données projet'!$B$10,Paramètres!$A$1:$I$89,3,0)*VLOOKUP('Données projet'!$B$10,Paramètres!$A$1:$I$89,5,0)</f>
        <v>407.55</v>
      </c>
      <c r="AK192" s="13">
        <f t="shared" si="164"/>
        <v>93.305642095357683</v>
      </c>
      <c r="AL192" s="20">
        <f t="shared" si="165"/>
        <v>872.32357664941446</v>
      </c>
      <c r="AM192" s="59">
        <f t="shared" si="113"/>
        <v>1162.3012152964184</v>
      </c>
      <c r="AN192" s="59">
        <f ca="1">AVERAGE(OFFSET($AM$3,0,0,'Données projet'!$E$10+1,1))-AVERAGE(OFFSET($H$3,0,0,'Données projet'!$E$10+1,1))</f>
        <v>569.97793593332699</v>
      </c>
      <c r="AO192" s="59">
        <f t="shared" si="144"/>
        <v>331.25104323342907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31.166564165752519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31.166564165752519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16.750000000000213</v>
      </c>
      <c r="BE192" s="13">
        <f>BD192*VLOOKUP('Données projet'!$B$11,Paramètres!$A$1:$I$89,3,0)*VLOOKUP('Données projet'!$B$11,Paramètres!$A$1:$I$89,5,0)</f>
        <v>14.11020000000018</v>
      </c>
      <c r="BF192" s="13">
        <f t="shared" si="167"/>
        <v>4.7783677814795205</v>
      </c>
      <c r="BG192" s="20">
        <f t="shared" si="168"/>
        <v>32.897588886077138</v>
      </c>
      <c r="BH192" s="59">
        <f t="shared" si="116"/>
        <v>322.87522753308099</v>
      </c>
      <c r="BI192" s="59">
        <f ca="1">AVERAGE(OFFSET($BH$3,0,0,'Données projet'!$E$11+1,1))-AVERAGE(OFFSET($H$3,0,0,'Données projet'!$E$11+1,1))</f>
        <v>458.88102603650725</v>
      </c>
      <c r="BJ192" s="59">
        <f t="shared" si="146"/>
        <v>277.79020316059552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49.13224452837688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49.13224452837688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269.8175999999998</v>
      </c>
      <c r="CA192" s="13">
        <f t="shared" si="170"/>
        <v>64.810557882019467</v>
      </c>
      <c r="CB192" s="20">
        <f t="shared" si="171"/>
        <v>582.81070831118348</v>
      </c>
      <c r="CC192" s="59">
        <f t="shared" si="119"/>
        <v>872.78834695818728</v>
      </c>
      <c r="CD192" s="59">
        <f ca="1">AVERAGE(OFFSET($CC$3,0,0,'Données projet'!$E$12+1,1))-AVERAGE(OFFSET($H$3,0,0,'Données projet'!$E$12+1,1))</f>
        <v>400.48995908576177</v>
      </c>
      <c r="CE192" s="59">
        <f t="shared" si="148"/>
        <v>384.86917865380076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5.321547830383107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5.321547830383107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277.99999999999994</v>
      </c>
      <c r="CU192" s="17">
        <f>CT192*VLOOKUP('Données projet'!$B$13,Paramètres!$A$1:$I$89,3,0)*VLOOKUP('Données projet'!$B$13,Paramètres!$A$1:$I$89,5,0)</f>
        <v>151.78799999999998</v>
      </c>
      <c r="CV192" s="13">
        <f t="shared" si="173"/>
        <v>38.984634390835623</v>
      </c>
      <c r="CW192" s="20">
        <f t="shared" si="174"/>
        <v>332.26233823070532</v>
      </c>
      <c r="CX192" s="59">
        <f t="shared" si="122"/>
        <v>622.23997687770918</v>
      </c>
      <c r="CY192" s="59">
        <f ca="1">AVERAGE(OFFSET($CX$3,0,0,'Données projet'!$E$13+1,1))-AVERAGE(OFFSET($H$3,0,0,'Données projet'!$E$13+1,1))</f>
        <v>215.37314197175104</v>
      </c>
      <c r="CZ192" s="59">
        <f t="shared" si="150"/>
        <v>361.17630426655978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1.5747165396422467</v>
      </c>
      <c r="DG192" s="21">
        <f>EXP(-LN(2)/25)*DG191+(1-EXP(-LN(2)/25))/(LN(2)/25)*Calculateur!DB192*Calculateur!DD192*VLOOKUP('Données projet'!$B$13,Paramètres!$A$1:$I$89,3,0)*0.475*44/12</f>
        <v>1.1692517481897744</v>
      </c>
      <c r="DH192" s="21">
        <f>EXP(-LN(2)/2)*DH191+(1-EXP(-LN(2)/2))/(LN(2)/2)*DB192*DE192*VLOOKUP('Données projet'!$B$13,Paramètres!$A$1:$I$89,3,0)*0.475*44/12</f>
        <v>2.9661482966417404E-26</v>
      </c>
      <c r="DI192" s="22">
        <f t="shared" si="175"/>
        <v>2.7439682878320211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331.53508265345721</v>
      </c>
      <c r="S193" s="59">
        <f ca="1">AVERAGE(OFFSET($R$3,0,0,'Données projet'!$E$9+1,1))-AVERAGE(OFFSET($H$3,0,0,'Données projet'!$E$9+1,1))</f>
        <v>567.42635821336114</v>
      </c>
      <c r="T193" s="59">
        <f t="shared" si="142"/>
        <v>299.0473530693472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474.99999999999994</v>
      </c>
      <c r="AJ193" s="13">
        <f>AI193*VLOOKUP('Données projet'!$B$10,Paramètres!$A$1:$I$89,3,0)*VLOOKUP('Données projet'!$B$10,Paramètres!$A$1:$I$89,5,0)</f>
        <v>407.55</v>
      </c>
      <c r="AK193" s="13">
        <f t="shared" si="164"/>
        <v>93.305642095357683</v>
      </c>
      <c r="AL193" s="20">
        <f t="shared" si="165"/>
        <v>872.32357664941446</v>
      </c>
      <c r="AM193" s="59">
        <f t="shared" si="113"/>
        <v>1162.3594290970168</v>
      </c>
      <c r="AN193" s="59">
        <f ca="1">AVERAGE(OFFSET($AM$3,0,0,'Données projet'!$E$10+1,1))-AVERAGE(OFFSET($H$3,0,0,'Données projet'!$E$10+1,1))</f>
        <v>569.97793593332699</v>
      </c>
      <c r="AO193" s="59">
        <f t="shared" si="144"/>
        <v>331.25104323342907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30.555406852189197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30.555406852189197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16.750000000000213</v>
      </c>
      <c r="BE193" s="13">
        <f>BD193*VLOOKUP('Données projet'!$B$11,Paramètres!$A$1:$I$89,3,0)*VLOOKUP('Données projet'!$B$11,Paramètres!$A$1:$I$89,5,0)</f>
        <v>14.11020000000018</v>
      </c>
      <c r="BF193" s="13">
        <f t="shared" si="167"/>
        <v>4.7783677814795205</v>
      </c>
      <c r="BG193" s="20">
        <f t="shared" si="168"/>
        <v>32.897588886077138</v>
      </c>
      <c r="BH193" s="59">
        <f t="shared" si="116"/>
        <v>322.93344133367941</v>
      </c>
      <c r="BI193" s="59">
        <f ca="1">AVERAGE(OFFSET($BH$3,0,0,'Données projet'!$E$11+1,1))-AVERAGE(OFFSET($H$3,0,0,'Données projet'!$E$11+1,1))</f>
        <v>458.88102603650725</v>
      </c>
      <c r="BJ193" s="59">
        <f t="shared" si="146"/>
        <v>277.79020316059552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48.168791180885506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48.168791180885506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269.8175999999998</v>
      </c>
      <c r="CA193" s="13">
        <f t="shared" si="170"/>
        <v>64.810557882019467</v>
      </c>
      <c r="CB193" s="20">
        <f t="shared" si="171"/>
        <v>582.81070831118348</v>
      </c>
      <c r="CC193" s="59">
        <f t="shared" si="119"/>
        <v>872.8465607587857</v>
      </c>
      <c r="CD193" s="59">
        <f ca="1">AVERAGE(OFFSET($CC$3,0,0,'Données projet'!$E$12+1,1))-AVERAGE(OFFSET($H$3,0,0,'Données projet'!$E$12+1,1))</f>
        <v>400.48995908576177</v>
      </c>
      <c r="CE193" s="59">
        <f t="shared" si="148"/>
        <v>384.86917865380076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5.2171955232529719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5.2171955232529719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277.99999999999994</v>
      </c>
      <c r="CU193" s="17">
        <f>CT193*VLOOKUP('Données projet'!$B$13,Paramètres!$A$1:$I$89,3,0)*VLOOKUP('Données projet'!$B$13,Paramètres!$A$1:$I$89,5,0)</f>
        <v>151.78799999999998</v>
      </c>
      <c r="CV193" s="13">
        <f t="shared" si="173"/>
        <v>38.984634390835623</v>
      </c>
      <c r="CW193" s="20">
        <f t="shared" si="174"/>
        <v>332.26233823070532</v>
      </c>
      <c r="CX193" s="59">
        <f t="shared" si="122"/>
        <v>622.29819067830761</v>
      </c>
      <c r="CY193" s="59">
        <f ca="1">AVERAGE(OFFSET($CX$3,0,0,'Données projet'!$E$13+1,1))-AVERAGE(OFFSET($H$3,0,0,'Données projet'!$E$13+1,1))</f>
        <v>215.37314197175104</v>
      </c>
      <c r="CZ193" s="59">
        <f t="shared" si="150"/>
        <v>361.17630426655978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1.5438373087821116</v>
      </c>
      <c r="DG193" s="21">
        <f>EXP(-LN(2)/25)*DG192+(1-EXP(-LN(2)/25))/(LN(2)/25)*Calculateur!DB193*Calculateur!DD193*VLOOKUP('Données projet'!$B$13,Paramètres!$A$1:$I$89,3,0)*0.475*44/12</f>
        <v>1.1372784976472479</v>
      </c>
      <c r="DH193" s="21">
        <f>EXP(-LN(2)/2)*DH192+(1-EXP(-LN(2)/2))/(LN(2)/2)*DB193*DE193*VLOOKUP('Données projet'!$B$13,Paramètres!$A$1:$I$89,3,0)*0.475*44/12</f>
        <v>2.0973835745603018E-26</v>
      </c>
      <c r="DI193" s="22">
        <f t="shared" si="175"/>
        <v>2.6811158064293594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331.59228657476177</v>
      </c>
      <c r="S194" s="59">
        <f ca="1">AVERAGE(OFFSET($R$3,0,0,'Données projet'!$E$9+1,1))-AVERAGE(OFFSET($H$3,0,0,'Données projet'!$E$9+1,1))</f>
        <v>567.42635821336114</v>
      </c>
      <c r="T194" s="59">
        <f t="shared" si="142"/>
        <v>299.0473530693472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474.99999999999994</v>
      </c>
      <c r="AJ194" s="13">
        <f>AI194*VLOOKUP('Données projet'!$B$10,Paramètres!$A$1:$I$89,3,0)*VLOOKUP('Données projet'!$B$10,Paramètres!$A$1:$I$89,5,0)</f>
        <v>407.55</v>
      </c>
      <c r="AK194" s="13">
        <f t="shared" si="164"/>
        <v>93.305642095357683</v>
      </c>
      <c r="AL194" s="20">
        <f t="shared" si="165"/>
        <v>872.32357664941446</v>
      </c>
      <c r="AM194" s="59">
        <f t="shared" si="113"/>
        <v>1162.4166330183214</v>
      </c>
      <c r="AN194" s="59">
        <f ca="1">AVERAGE(OFFSET($AM$3,0,0,'Données projet'!$E$10+1,1))-AVERAGE(OFFSET($H$3,0,0,'Données projet'!$E$10+1,1))</f>
        <v>569.97793593332699</v>
      </c>
      <c r="AO194" s="59">
        <f t="shared" si="144"/>
        <v>331.25104323342907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29.956233960775698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29.956233960775698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16.750000000000213</v>
      </c>
      <c r="BE194" s="13">
        <f>BD194*VLOOKUP('Données projet'!$B$11,Paramètres!$A$1:$I$89,3,0)*VLOOKUP('Données projet'!$B$11,Paramètres!$A$1:$I$89,5,0)</f>
        <v>14.11020000000018</v>
      </c>
      <c r="BF194" s="13">
        <f t="shared" si="167"/>
        <v>4.7783677814795205</v>
      </c>
      <c r="BG194" s="20">
        <f t="shared" si="168"/>
        <v>32.897588886077138</v>
      </c>
      <c r="BH194" s="59">
        <f t="shared" si="116"/>
        <v>322.99064525498397</v>
      </c>
      <c r="BI194" s="59">
        <f ca="1">AVERAGE(OFFSET($BH$3,0,0,'Données projet'!$E$11+1,1))-AVERAGE(OFFSET($H$3,0,0,'Données projet'!$E$11+1,1))</f>
        <v>458.88102603650725</v>
      </c>
      <c r="BJ194" s="59">
        <f t="shared" si="146"/>
        <v>277.79020316059552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47.224230565889918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47.224230565889918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269.8175999999998</v>
      </c>
      <c r="CA194" s="13">
        <f t="shared" si="170"/>
        <v>64.810557882019467</v>
      </c>
      <c r="CB194" s="20">
        <f t="shared" si="171"/>
        <v>582.81070831118348</v>
      </c>
      <c r="CC194" s="59">
        <f t="shared" si="119"/>
        <v>872.90376468009026</v>
      </c>
      <c r="CD194" s="59">
        <f ca="1">AVERAGE(OFFSET($CC$3,0,0,'Données projet'!$E$12+1,1))-AVERAGE(OFFSET($H$3,0,0,'Données projet'!$E$12+1,1))</f>
        <v>400.48995908576177</v>
      </c>
      <c r="CE194" s="59">
        <f t="shared" si="148"/>
        <v>384.86917865380076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5.1148895012170366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5.1148895012170366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277.99999999999994</v>
      </c>
      <c r="CU194" s="17">
        <f>CT194*VLOOKUP('Données projet'!$B$13,Paramètres!$A$1:$I$89,3,0)*VLOOKUP('Données projet'!$B$13,Paramètres!$A$1:$I$89,5,0)</f>
        <v>151.78799999999998</v>
      </c>
      <c r="CV194" s="13">
        <f t="shared" si="173"/>
        <v>38.984634390835623</v>
      </c>
      <c r="CW194" s="20">
        <f t="shared" si="174"/>
        <v>332.26233823070532</v>
      </c>
      <c r="CX194" s="59">
        <f t="shared" si="122"/>
        <v>622.35539459961217</v>
      </c>
      <c r="CY194" s="59">
        <f ca="1">AVERAGE(OFFSET($CX$3,0,0,'Données projet'!$E$13+1,1))-AVERAGE(OFFSET($H$3,0,0,'Données projet'!$E$13+1,1))</f>
        <v>215.37314197175104</v>
      </c>
      <c r="CZ194" s="59">
        <f t="shared" si="150"/>
        <v>361.17630426655978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1.5135636008046727</v>
      </c>
      <c r="DG194" s="21">
        <f>EXP(-LN(2)/25)*DG193+(1-EXP(-LN(2)/25))/(LN(2)/25)*Calculateur!DB194*Calculateur!DD194*VLOOKUP('Données projet'!$B$13,Paramètres!$A$1:$I$89,3,0)*0.475*44/12</f>
        <v>1.1061795573222071</v>
      </c>
      <c r="DH194" s="21">
        <f>EXP(-LN(2)/2)*DH193+(1-EXP(-LN(2)/2))/(LN(2)/2)*DB194*DE194*VLOOKUP('Données projet'!$B$13,Paramètres!$A$1:$I$89,3,0)*0.475*44/12</f>
        <v>1.4830741483208702E-26</v>
      </c>
      <c r="DI194" s="22">
        <f t="shared" si="175"/>
        <v>2.6197431581268797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331.64849813592059</v>
      </c>
      <c r="S195" s="59">
        <f ca="1">AVERAGE(OFFSET($R$3,0,0,'Données projet'!$E$9+1,1))-AVERAGE(OFFSET($H$3,0,0,'Données projet'!$E$9+1,1))</f>
        <v>567.42635821336114</v>
      </c>
      <c r="T195" s="59">
        <f t="shared" si="142"/>
        <v>299.0473530693472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474.99999999999994</v>
      </c>
      <c r="AJ195" s="13">
        <f>AI195*VLOOKUP('Données projet'!$B$10,Paramètres!$A$1:$I$89,3,0)*VLOOKUP('Données projet'!$B$10,Paramètres!$A$1:$I$89,5,0)</f>
        <v>407.55</v>
      </c>
      <c r="AK195" s="13">
        <f t="shared" si="164"/>
        <v>93.305642095357683</v>
      </c>
      <c r="AL195" s="20">
        <f t="shared" si="165"/>
        <v>872.32357664941446</v>
      </c>
      <c r="AM195" s="59">
        <f t="shared" si="113"/>
        <v>1162.4728445794801</v>
      </c>
      <c r="AN195" s="59">
        <f ca="1">AVERAGE(OFFSET($AM$3,0,0,'Données projet'!$E$10+1,1))-AVERAGE(OFFSET($H$3,0,0,'Données projet'!$E$10+1,1))</f>
        <v>569.97793593332699</v>
      </c>
      <c r="AO195" s="59">
        <f t="shared" si="144"/>
        <v>331.25104323342907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29.368810484303442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29.368810484303442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16.750000000000213</v>
      </c>
      <c r="BE195" s="13">
        <f>BD195*VLOOKUP('Données projet'!$B$11,Paramètres!$A$1:$I$89,3,0)*VLOOKUP('Données projet'!$B$11,Paramètres!$A$1:$I$89,5,0)</f>
        <v>14.11020000000018</v>
      </c>
      <c r="BF195" s="13">
        <f t="shared" si="167"/>
        <v>4.7783677814795205</v>
      </c>
      <c r="BG195" s="20">
        <f t="shared" si="168"/>
        <v>32.897588886077138</v>
      </c>
      <c r="BH195" s="59">
        <f t="shared" si="116"/>
        <v>323.04685681614279</v>
      </c>
      <c r="BI195" s="59">
        <f ca="1">AVERAGE(OFFSET($BH$3,0,0,'Données projet'!$E$11+1,1))-AVERAGE(OFFSET($H$3,0,0,'Données projet'!$E$11+1,1))</f>
        <v>458.88102603650725</v>
      </c>
      <c r="BJ195" s="59">
        <f t="shared" si="146"/>
        <v>277.79020316059552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46.298192208429313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46.298192208429313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269.8175999999998</v>
      </c>
      <c r="CA195" s="13">
        <f t="shared" si="170"/>
        <v>64.810557882019467</v>
      </c>
      <c r="CB195" s="20">
        <f t="shared" si="171"/>
        <v>582.81070831118348</v>
      </c>
      <c r="CC195" s="59">
        <f t="shared" si="119"/>
        <v>872.95997624124914</v>
      </c>
      <c r="CD195" s="59">
        <f ca="1">AVERAGE(OFFSET($CC$3,0,0,'Données projet'!$E$12+1,1))-AVERAGE(OFFSET($H$3,0,0,'Données projet'!$E$12+1,1))</f>
        <v>400.48995908576177</v>
      </c>
      <c r="CE195" s="59">
        <f t="shared" si="148"/>
        <v>384.86917865380076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5.0145896378727137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5.0145896378727137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277.99999999999994</v>
      </c>
      <c r="CU195" s="17">
        <f>CT195*VLOOKUP('Données projet'!$B$13,Paramètres!$A$1:$I$89,3,0)*VLOOKUP('Données projet'!$B$13,Paramètres!$A$1:$I$89,5,0)</f>
        <v>151.78799999999998</v>
      </c>
      <c r="CV195" s="13">
        <f t="shared" si="173"/>
        <v>38.984634390835623</v>
      </c>
      <c r="CW195" s="20">
        <f t="shared" si="174"/>
        <v>332.26233823070532</v>
      </c>
      <c r="CX195" s="59">
        <f t="shared" si="122"/>
        <v>622.41160616077104</v>
      </c>
      <c r="CY195" s="59">
        <f ca="1">AVERAGE(OFFSET($CX$3,0,0,'Données projet'!$E$13+1,1))-AVERAGE(OFFSET($H$3,0,0,'Données projet'!$E$13+1,1))</f>
        <v>215.37314197175104</v>
      </c>
      <c r="CZ195" s="59">
        <f t="shared" si="150"/>
        <v>361.17630426655978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1.4838835417755327</v>
      </c>
      <c r="DG195" s="21">
        <f>EXP(-LN(2)/25)*DG194+(1-EXP(-LN(2)/25))/(LN(2)/25)*Calculateur!DB195*Calculateur!DD195*VLOOKUP('Données projet'!$B$13,Paramètres!$A$1:$I$89,3,0)*0.475*44/12</f>
        <v>1.0759310191557767</v>
      </c>
      <c r="DH195" s="21">
        <f>EXP(-LN(2)/2)*DH194+(1-EXP(-LN(2)/2))/(LN(2)/2)*DB195*DE195*VLOOKUP('Données projet'!$B$13,Paramètres!$A$1:$I$89,3,0)*0.475*44/12</f>
        <v>1.0486917872801509E-26</v>
      </c>
      <c r="DI195" s="22">
        <f t="shared" si="175"/>
        <v>2.5598145609313097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331.70373455216344</v>
      </c>
      <c r="S196" s="59">
        <f ca="1">AVERAGE(OFFSET($R$3,0,0,'Données projet'!$E$9+1,1))-AVERAGE(OFFSET($H$3,0,0,'Données projet'!$E$9+1,1))</f>
        <v>567.42635821336114</v>
      </c>
      <c r="T196" s="59">
        <f t="shared" si="142"/>
        <v>299.0473530693472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474.99999999999994</v>
      </c>
      <c r="AJ196" s="13">
        <f>AI196*VLOOKUP('Données projet'!$B$10,Paramètres!$A$1:$I$89,3,0)*VLOOKUP('Données projet'!$B$10,Paramètres!$A$1:$I$89,5,0)</f>
        <v>407.55</v>
      </c>
      <c r="AK196" s="13">
        <f t="shared" si="164"/>
        <v>93.305642095357683</v>
      </c>
      <c r="AL196" s="20">
        <f t="shared" si="165"/>
        <v>872.32357664941446</v>
      </c>
      <c r="AM196" s="59">
        <f t="shared" ref="AM196:AM203" si="193">AL196+(AD196+AE196)*44/12</f>
        <v>1162.528080995723</v>
      </c>
      <c r="AN196" s="59">
        <f ca="1">AVERAGE(OFFSET($AM$3,0,0,'Données projet'!$E$10+1,1))-AVERAGE(OFFSET($H$3,0,0,'Données projet'!$E$10+1,1))</f>
        <v>569.97793593332699</v>
      </c>
      <c r="AO196" s="59">
        <f t="shared" si="144"/>
        <v>331.25104323342907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28.792906023911865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28.792906023911865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16.750000000000213</v>
      </c>
      <c r="BE196" s="13">
        <f>BD196*VLOOKUP('Données projet'!$B$11,Paramètres!$A$1:$I$89,3,0)*VLOOKUP('Données projet'!$B$11,Paramètres!$A$1:$I$89,5,0)</f>
        <v>14.11020000000018</v>
      </c>
      <c r="BF196" s="13">
        <f t="shared" si="167"/>
        <v>4.7783677814795205</v>
      </c>
      <c r="BG196" s="20">
        <f t="shared" si="168"/>
        <v>32.897588886077138</v>
      </c>
      <c r="BH196" s="59">
        <f t="shared" ref="BH196:BH203" si="194">BG196+(AY196+AZ196)*44/12</f>
        <v>323.10209323238564</v>
      </c>
      <c r="BI196" s="59">
        <f ca="1">AVERAGE(OFFSET($BH$3,0,0,'Données projet'!$E$11+1,1))-AVERAGE(OFFSET($H$3,0,0,'Données projet'!$E$11+1,1))</f>
        <v>458.88102603650725</v>
      </c>
      <c r="BJ196" s="59">
        <f t="shared" si="146"/>
        <v>277.79020316059552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45.390312898330883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45.390312898330883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269.8175999999998</v>
      </c>
      <c r="CA196" s="13">
        <f t="shared" si="170"/>
        <v>64.810557882019467</v>
      </c>
      <c r="CB196" s="20">
        <f t="shared" si="171"/>
        <v>582.81070831118348</v>
      </c>
      <c r="CC196" s="59">
        <f t="shared" ref="CC196:CC203" si="195">CB196+(BT196+BU196)*44/12</f>
        <v>873.01521265749193</v>
      </c>
      <c r="CD196" s="59">
        <f ca="1">AVERAGE(OFFSET($CC$3,0,0,'Données projet'!$E$12+1,1))-AVERAGE(OFFSET($H$3,0,0,'Données projet'!$E$12+1,1))</f>
        <v>400.48995908576177</v>
      </c>
      <c r="CE196" s="59">
        <f t="shared" si="148"/>
        <v>384.86917865380076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4.9162565936716973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4.9162565936716973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277.99999999999994</v>
      </c>
      <c r="CU196" s="17">
        <f>CT196*VLOOKUP('Données projet'!$B$13,Paramètres!$A$1:$I$89,3,0)*VLOOKUP('Données projet'!$B$13,Paramètres!$A$1:$I$89,5,0)</f>
        <v>151.78799999999998</v>
      </c>
      <c r="CV196" s="13">
        <f t="shared" si="173"/>
        <v>38.984634390835623</v>
      </c>
      <c r="CW196" s="20">
        <f t="shared" si="174"/>
        <v>332.26233823070532</v>
      </c>
      <c r="CX196" s="59">
        <f t="shared" ref="CX196:CX203" si="196">CW196+(CO196+CP196)*44/12</f>
        <v>622.46684257701384</v>
      </c>
      <c r="CY196" s="59">
        <f ca="1">AVERAGE(OFFSET($CX$3,0,0,'Données projet'!$E$13+1,1))-AVERAGE(OFFSET($H$3,0,0,'Données projet'!$E$13+1,1))</f>
        <v>215.37314197175104</v>
      </c>
      <c r="CZ196" s="59">
        <f t="shared" si="150"/>
        <v>361.17630426655978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1.4547854906009059</v>
      </c>
      <c r="DG196" s="21">
        <f>EXP(-LN(2)/25)*DG195+(1-EXP(-LN(2)/25))/(LN(2)/25)*Calculateur!DB196*Calculateur!DD196*VLOOKUP('Données projet'!$B$13,Paramètres!$A$1:$I$89,3,0)*0.475*44/12</f>
        <v>1.0465096288562088</v>
      </c>
      <c r="DH196" s="21">
        <f>EXP(-LN(2)/2)*DH195+(1-EXP(-LN(2)/2))/(LN(2)/2)*DB196*DE196*VLOOKUP('Données projet'!$B$13,Paramètres!$A$1:$I$89,3,0)*0.475*44/12</f>
        <v>7.415370741604351E-27</v>
      </c>
      <c r="DI196" s="22">
        <f t="shared" si="175"/>
        <v>2.5012951194571147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331.75801274007466</v>
      </c>
      <c r="S197" s="59">
        <f ca="1">AVERAGE(OFFSET($R$3,0,0,'Données projet'!$E$9+1,1))-AVERAGE(OFFSET($H$3,0,0,'Données projet'!$E$9+1,1))</f>
        <v>567.42635821336114</v>
      </c>
      <c r="T197" s="59">
        <f t="shared" ref="T197:T203" si="204">$T$3</f>
        <v>299.0473530693472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474.99999999999994</v>
      </c>
      <c r="AJ197" s="13">
        <f>AI197*VLOOKUP('Données projet'!$B$10,Paramètres!$A$1:$I$89,3,0)*VLOOKUP('Données projet'!$B$10,Paramètres!$A$1:$I$89,5,0)</f>
        <v>407.55</v>
      </c>
      <c r="AK197" s="13">
        <f t="shared" si="164"/>
        <v>93.305642095357683</v>
      </c>
      <c r="AL197" s="20">
        <f t="shared" si="165"/>
        <v>872.32357664941446</v>
      </c>
      <c r="AM197" s="59">
        <f t="shared" si="193"/>
        <v>1162.5823591836343</v>
      </c>
      <c r="AN197" s="59">
        <f ca="1">AVERAGE(OFFSET($AM$3,0,0,'Données projet'!$E$10+1,1))-AVERAGE(OFFSET($H$3,0,0,'Données projet'!$E$10+1,1))</f>
        <v>569.97793593332699</v>
      </c>
      <c r="AO197" s="59">
        <f t="shared" ref="AO197:AO203" si="205">$AO$3</f>
        <v>331.25104323342907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28.22829469872153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28.22829469872153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16.750000000000213</v>
      </c>
      <c r="BE197" s="13">
        <f>BD197*VLOOKUP('Données projet'!$B$11,Paramètres!$A$1:$I$89,3,0)*VLOOKUP('Données projet'!$B$11,Paramètres!$A$1:$I$89,5,0)</f>
        <v>14.11020000000018</v>
      </c>
      <c r="BF197" s="13">
        <f t="shared" si="167"/>
        <v>4.7783677814795205</v>
      </c>
      <c r="BG197" s="20">
        <f t="shared" si="168"/>
        <v>32.897588886077138</v>
      </c>
      <c r="BH197" s="59">
        <f t="shared" si="194"/>
        <v>323.15637142029686</v>
      </c>
      <c r="BI197" s="59">
        <f ca="1">AVERAGE(OFFSET($BH$3,0,0,'Données projet'!$E$11+1,1))-AVERAGE(OFFSET($H$3,0,0,'Données projet'!$E$11+1,1))</f>
        <v>458.88102603650725</v>
      </c>
      <c r="BJ197" s="59">
        <f t="shared" ref="BJ197:BJ203" si="206">$BJ$3</f>
        <v>277.79020316059552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44.500236547751783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44.500236547751783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269.8175999999998</v>
      </c>
      <c r="CA197" s="13">
        <f t="shared" si="170"/>
        <v>64.810557882019467</v>
      </c>
      <c r="CB197" s="20">
        <f t="shared" si="171"/>
        <v>582.81070831118348</v>
      </c>
      <c r="CC197" s="59">
        <f t="shared" si="195"/>
        <v>873.06949084540315</v>
      </c>
      <c r="CD197" s="59">
        <f ca="1">AVERAGE(OFFSET($CC$3,0,0,'Données projet'!$E$12+1,1))-AVERAGE(OFFSET($H$3,0,0,'Données projet'!$E$12+1,1))</f>
        <v>400.48995908576177</v>
      </c>
      <c r="CE197" s="59">
        <f t="shared" ref="CE197:CE203" si="207">$CE$3</f>
        <v>384.86917865380076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4.8198518004902287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4.8198518004902287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277.99999999999994</v>
      </c>
      <c r="CU197" s="17">
        <f>CT197*VLOOKUP('Données projet'!$B$13,Paramètres!$A$1:$I$89,3,0)*VLOOKUP('Données projet'!$B$13,Paramètres!$A$1:$I$89,5,0)</f>
        <v>151.78799999999998</v>
      </c>
      <c r="CV197" s="13">
        <f t="shared" si="173"/>
        <v>38.984634390835623</v>
      </c>
      <c r="CW197" s="20">
        <f t="shared" si="174"/>
        <v>332.26233823070532</v>
      </c>
      <c r="CX197" s="59">
        <f t="shared" si="196"/>
        <v>622.52112076492506</v>
      </c>
      <c r="CY197" s="59">
        <f ca="1">AVERAGE(OFFSET($CX$3,0,0,'Données projet'!$E$13+1,1))-AVERAGE(OFFSET($H$3,0,0,'Données projet'!$E$13+1,1))</f>
        <v>215.37314197175104</v>
      </c>
      <c r="CZ197" s="59">
        <f t="shared" ref="CZ197:CZ203" si="208">$CZ$3</f>
        <v>361.17630426655978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1.4262580344617546</v>
      </c>
      <c r="DG197" s="21">
        <f>EXP(-LN(2)/25)*DG196+(1-EXP(-LN(2)/25))/(LN(2)/25)*Calculateur!DB197*Calculateur!DD197*VLOOKUP('Données projet'!$B$13,Paramètres!$A$1:$I$89,3,0)*0.475*44/12</f>
        <v>1.0178927680215861</v>
      </c>
      <c r="DH197" s="21">
        <f>EXP(-LN(2)/2)*DH196+(1-EXP(-LN(2)/2))/(LN(2)/2)*DB197*DE197*VLOOKUP('Données projet'!$B$13,Paramètres!$A$1:$I$89,3,0)*0.475*44/12</f>
        <v>5.2434589364007546E-27</v>
      </c>
      <c r="DI197" s="22">
        <f t="shared" si="175"/>
        <v>2.4441508024833407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331.81134932277342</v>
      </c>
      <c r="S198" s="59">
        <f ca="1">AVERAGE(OFFSET($R$3,0,0,'Données projet'!$E$9+1,1))-AVERAGE(OFFSET($H$3,0,0,'Données projet'!$E$9+1,1))</f>
        <v>567.42635821336114</v>
      </c>
      <c r="T198" s="59">
        <f t="shared" si="204"/>
        <v>299.0473530693472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474.99999999999994</v>
      </c>
      <c r="AJ198" s="13">
        <f>AI198*VLOOKUP('Données projet'!$B$10,Paramètres!$A$1:$I$89,3,0)*VLOOKUP('Données projet'!$B$10,Paramètres!$A$1:$I$89,5,0)</f>
        <v>407.55</v>
      </c>
      <c r="AK198" s="13">
        <f t="shared" si="164"/>
        <v>93.305642095357683</v>
      </c>
      <c r="AL198" s="20">
        <f t="shared" si="165"/>
        <v>872.32357664941446</v>
      </c>
      <c r="AM198" s="59">
        <f t="shared" si="193"/>
        <v>1162.6356957663329</v>
      </c>
      <c r="AN198" s="59">
        <f ca="1">AVERAGE(OFFSET($AM$3,0,0,'Données projet'!$E$10+1,1))-AVERAGE(OFFSET($H$3,0,0,'Données projet'!$E$10+1,1))</f>
        <v>569.97793593332699</v>
      </c>
      <c r="AO198" s="59">
        <f t="shared" si="205"/>
        <v>331.25104323342907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27.674755057239274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27.674755057239274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16.750000000000213</v>
      </c>
      <c r="BE198" s="13">
        <f>BD198*VLOOKUP('Données projet'!$B$11,Paramètres!$A$1:$I$89,3,0)*VLOOKUP('Données projet'!$B$11,Paramètres!$A$1:$I$89,5,0)</f>
        <v>14.11020000000018</v>
      </c>
      <c r="BF198" s="13">
        <f t="shared" si="167"/>
        <v>4.7783677814795205</v>
      </c>
      <c r="BG198" s="20">
        <f t="shared" si="168"/>
        <v>32.897588886077138</v>
      </c>
      <c r="BH198" s="59">
        <f t="shared" si="194"/>
        <v>323.20970800299563</v>
      </c>
      <c r="BI198" s="59">
        <f ca="1">AVERAGE(OFFSET($BH$3,0,0,'Données projet'!$E$11+1,1))-AVERAGE(OFFSET($H$3,0,0,'Données projet'!$E$11+1,1))</f>
        <v>458.88102603650725</v>
      </c>
      <c r="BJ198" s="59">
        <f t="shared" si="206"/>
        <v>277.79020316059552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43.62761405151457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43.62761405151457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269.8175999999998</v>
      </c>
      <c r="CA198" s="13">
        <f t="shared" si="170"/>
        <v>64.810557882019467</v>
      </c>
      <c r="CB198" s="20">
        <f t="shared" si="171"/>
        <v>582.81070831118348</v>
      </c>
      <c r="CC198" s="59">
        <f t="shared" si="195"/>
        <v>873.12282742810203</v>
      </c>
      <c r="CD198" s="59">
        <f ca="1">AVERAGE(OFFSET($CC$3,0,0,'Données projet'!$E$12+1,1))-AVERAGE(OFFSET($H$3,0,0,'Données projet'!$E$12+1,1))</f>
        <v>400.48995908576177</v>
      </c>
      <c r="CE198" s="59">
        <f t="shared" si="207"/>
        <v>384.86917865380076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4.7253374465019302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4.7253374465019302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277.99999999999994</v>
      </c>
      <c r="CU198" s="17">
        <f>CT198*VLOOKUP('Données projet'!$B$13,Paramètres!$A$1:$I$89,3,0)*VLOOKUP('Données projet'!$B$13,Paramètres!$A$1:$I$89,5,0)</f>
        <v>151.78799999999998</v>
      </c>
      <c r="CV198" s="13">
        <f t="shared" si="173"/>
        <v>38.984634390835623</v>
      </c>
      <c r="CW198" s="20">
        <f t="shared" si="174"/>
        <v>332.26233823070532</v>
      </c>
      <c r="CX198" s="59">
        <f t="shared" si="196"/>
        <v>622.57445734762382</v>
      </c>
      <c r="CY198" s="59">
        <f ca="1">AVERAGE(OFFSET($CX$3,0,0,'Données projet'!$E$13+1,1))-AVERAGE(OFFSET($H$3,0,0,'Données projet'!$E$13+1,1))</f>
        <v>215.37314197175104</v>
      </c>
      <c r="CZ198" s="59">
        <f t="shared" si="208"/>
        <v>361.17630426655978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1.3982899843374621</v>
      </c>
      <c r="DG198" s="21">
        <f>EXP(-LN(2)/25)*DG197+(1-EXP(-LN(2)/25))/(LN(2)/25)*Calculateur!DB198*Calculateur!DD198*VLOOKUP('Données projet'!$B$13,Paramètres!$A$1:$I$89,3,0)*0.475*44/12</f>
        <v>0.99005843675138161</v>
      </c>
      <c r="DH198" s="21">
        <f>EXP(-LN(2)/2)*DH197+(1-EXP(-LN(2)/2))/(LN(2)/2)*DB198*DE198*VLOOKUP('Données projet'!$B$13,Paramètres!$A$1:$I$89,3,0)*0.475*44/12</f>
        <v>3.7076853708021755E-27</v>
      </c>
      <c r="DI198" s="22">
        <f t="shared" si="175"/>
        <v>2.3883484210888435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331.86376063500512</v>
      </c>
      <c r="S199" s="59">
        <f ca="1">AVERAGE(OFFSET($R$3,0,0,'Données projet'!$E$9+1,1))-AVERAGE(OFFSET($H$3,0,0,'Données projet'!$E$9+1,1))</f>
        <v>567.42635821336114</v>
      </c>
      <c r="T199" s="59">
        <f t="shared" si="204"/>
        <v>299.0473530693472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474.99999999999994</v>
      </c>
      <c r="AJ199" s="13">
        <f>AI199*VLOOKUP('Données projet'!$B$10,Paramètres!$A$1:$I$89,3,0)*VLOOKUP('Données projet'!$B$10,Paramètres!$A$1:$I$89,5,0)</f>
        <v>407.55</v>
      </c>
      <c r="AK199" s="13">
        <f t="shared" si="164"/>
        <v>93.305642095357683</v>
      </c>
      <c r="AL199" s="20">
        <f t="shared" si="165"/>
        <v>872.32357664941446</v>
      </c>
      <c r="AM199" s="59">
        <f t="shared" si="193"/>
        <v>1162.6881070785646</v>
      </c>
      <c r="AN199" s="59">
        <f ca="1">AVERAGE(OFFSET($AM$3,0,0,'Données projet'!$E$10+1,1))-AVERAGE(OFFSET($H$3,0,0,'Données projet'!$E$10+1,1))</f>
        <v>569.97793593332699</v>
      </c>
      <c r="AO199" s="59">
        <f t="shared" si="205"/>
        <v>331.25104323342907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27.132069990500643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27.132069990500643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16.750000000000213</v>
      </c>
      <c r="BE199" s="13">
        <f>BD199*VLOOKUP('Données projet'!$B$11,Paramètres!$A$1:$I$89,3,0)*VLOOKUP('Données projet'!$B$11,Paramètres!$A$1:$I$89,5,0)</f>
        <v>14.11020000000018</v>
      </c>
      <c r="BF199" s="13">
        <f t="shared" si="167"/>
        <v>4.7783677814795205</v>
      </c>
      <c r="BG199" s="20">
        <f t="shared" si="168"/>
        <v>32.897588886077138</v>
      </c>
      <c r="BH199" s="59">
        <f t="shared" si="194"/>
        <v>323.26211931522732</v>
      </c>
      <c r="BI199" s="59">
        <f ca="1">AVERAGE(OFFSET($BH$3,0,0,'Données projet'!$E$11+1,1))-AVERAGE(OFFSET($H$3,0,0,'Données projet'!$E$11+1,1))</f>
        <v>458.88102603650725</v>
      </c>
      <c r="BJ199" s="59">
        <f t="shared" si="206"/>
        <v>277.79020316059552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42.772103150181401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42.772103150181401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269.8175999999998</v>
      </c>
      <c r="CA199" s="13">
        <f t="shared" si="170"/>
        <v>64.810557882019467</v>
      </c>
      <c r="CB199" s="20">
        <f t="shared" si="171"/>
        <v>582.81070831118348</v>
      </c>
      <c r="CC199" s="59">
        <f t="shared" si="195"/>
        <v>873.17523874033373</v>
      </c>
      <c r="CD199" s="59">
        <f ca="1">AVERAGE(OFFSET($CC$3,0,0,'Données projet'!$E$12+1,1))-AVERAGE(OFFSET($H$3,0,0,'Données projet'!$E$12+1,1))</f>
        <v>400.48995908576177</v>
      </c>
      <c r="CE199" s="59">
        <f t="shared" si="207"/>
        <v>384.86917865380076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4.6326764613472786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4.6326764613472786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277.99999999999994</v>
      </c>
      <c r="CU199" s="17">
        <f>CT199*VLOOKUP('Données projet'!$B$13,Paramètres!$A$1:$I$89,3,0)*VLOOKUP('Données projet'!$B$13,Paramètres!$A$1:$I$89,5,0)</f>
        <v>151.78799999999998</v>
      </c>
      <c r="CV199" s="13">
        <f t="shared" si="173"/>
        <v>38.984634390835623</v>
      </c>
      <c r="CW199" s="20">
        <f t="shared" si="174"/>
        <v>332.26233823070532</v>
      </c>
      <c r="CX199" s="59">
        <f t="shared" si="196"/>
        <v>622.62686865985552</v>
      </c>
      <c r="CY199" s="59">
        <f ca="1">AVERAGE(OFFSET($CX$3,0,0,'Données projet'!$E$13+1,1))-AVERAGE(OFFSET($H$3,0,0,'Données projet'!$E$13+1,1))</f>
        <v>215.37314197175104</v>
      </c>
      <c r="CZ199" s="59">
        <f t="shared" si="208"/>
        <v>361.17630426655978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1.3708703706172807</v>
      </c>
      <c r="DG199" s="21">
        <f>EXP(-LN(2)/25)*DG198+(1-EXP(-LN(2)/25))/(LN(2)/25)*Calculateur!DB199*Calculateur!DD199*VLOOKUP('Données projet'!$B$13,Paramètres!$A$1:$I$89,3,0)*0.475*44/12</f>
        <v>0.96298523673350467</v>
      </c>
      <c r="DH199" s="21">
        <f>EXP(-LN(2)/2)*DH198+(1-EXP(-LN(2)/2))/(LN(2)/2)*DB199*DE199*VLOOKUP('Données projet'!$B$13,Paramètres!$A$1:$I$89,3,0)*0.475*44/12</f>
        <v>2.6217294682003773E-27</v>
      </c>
      <c r="DI199" s="22">
        <f t="shared" si="175"/>
        <v>2.3338556073507855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331.91526272814372</v>
      </c>
      <c r="S200" s="59">
        <f ca="1">AVERAGE(OFFSET($R$3,0,0,'Données projet'!$E$9+1,1))-AVERAGE(OFFSET($H$3,0,0,'Données projet'!$E$9+1,1))</f>
        <v>567.42635821336114</v>
      </c>
      <c r="T200" s="59">
        <f t="shared" si="204"/>
        <v>299.0473530693472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474.99999999999994</v>
      </c>
      <c r="AJ200" s="13">
        <f>AI200*VLOOKUP('Données projet'!$B$10,Paramètres!$A$1:$I$89,3,0)*VLOOKUP('Données projet'!$B$10,Paramètres!$A$1:$I$89,5,0)</f>
        <v>407.55</v>
      </c>
      <c r="AK200" s="13">
        <f t="shared" si="164"/>
        <v>93.305642095357683</v>
      </c>
      <c r="AL200" s="20">
        <f t="shared" si="165"/>
        <v>872.32357664941446</v>
      </c>
      <c r="AM200" s="59">
        <f t="shared" si="193"/>
        <v>1162.7396091717033</v>
      </c>
      <c r="AN200" s="59">
        <f ca="1">AVERAGE(OFFSET($AM$3,0,0,'Données projet'!$E$10+1,1))-AVERAGE(OFFSET($H$3,0,0,'Données projet'!$E$10+1,1))</f>
        <v>569.97793593332699</v>
      </c>
      <c r="AO200" s="59">
        <f t="shared" si="205"/>
        <v>331.25104323342907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26.600026646915548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26.600026646915548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16.750000000000213</v>
      </c>
      <c r="BE200" s="13">
        <f>BD200*VLOOKUP('Données projet'!$B$11,Paramètres!$A$1:$I$89,3,0)*VLOOKUP('Données projet'!$B$11,Paramètres!$A$1:$I$89,5,0)</f>
        <v>14.11020000000018</v>
      </c>
      <c r="BF200" s="13">
        <f t="shared" si="167"/>
        <v>4.7783677814795205</v>
      </c>
      <c r="BG200" s="20">
        <f t="shared" si="168"/>
        <v>32.897588886077138</v>
      </c>
      <c r="BH200" s="59">
        <f t="shared" si="194"/>
        <v>323.31362140836592</v>
      </c>
      <c r="BI200" s="59">
        <f ca="1">AVERAGE(OFFSET($BH$3,0,0,'Données projet'!$E$11+1,1))-AVERAGE(OFFSET($H$3,0,0,'Données projet'!$E$11+1,1))</f>
        <v>458.88102603650725</v>
      </c>
      <c r="BJ200" s="59">
        <f t="shared" si="206"/>
        <v>277.79020316059552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41.933368295813246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41.933368295813246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269.8175999999998</v>
      </c>
      <c r="CA200" s="13">
        <f t="shared" si="170"/>
        <v>64.810557882019467</v>
      </c>
      <c r="CB200" s="20">
        <f t="shared" si="171"/>
        <v>582.81070831118348</v>
      </c>
      <c r="CC200" s="59">
        <f t="shared" si="195"/>
        <v>873.22674083347226</v>
      </c>
      <c r="CD200" s="59">
        <f ca="1">AVERAGE(OFFSET($CC$3,0,0,'Données projet'!$E$12+1,1))-AVERAGE(OFFSET($H$3,0,0,'Données projet'!$E$12+1,1))</f>
        <v>400.48995908576177</v>
      </c>
      <c r="CE200" s="59">
        <f t="shared" si="207"/>
        <v>384.86917865380076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4.5418325015938894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4.5418325015938894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277.99999999999994</v>
      </c>
      <c r="CU200" s="17">
        <f>CT200*VLOOKUP('Données projet'!$B$13,Paramètres!$A$1:$I$89,3,0)*VLOOKUP('Données projet'!$B$13,Paramètres!$A$1:$I$89,5,0)</f>
        <v>151.78799999999998</v>
      </c>
      <c r="CV200" s="13">
        <f t="shared" si="173"/>
        <v>38.984634390835623</v>
      </c>
      <c r="CW200" s="20">
        <f t="shared" si="174"/>
        <v>332.26233823070532</v>
      </c>
      <c r="CX200" s="59">
        <f t="shared" si="196"/>
        <v>622.67837075299417</v>
      </c>
      <c r="CY200" s="59">
        <f ca="1">AVERAGE(OFFSET($CX$3,0,0,'Données projet'!$E$13+1,1))-AVERAGE(OFFSET($H$3,0,0,'Données projet'!$E$13+1,1))</f>
        <v>215.37314197175104</v>
      </c>
      <c r="CZ200" s="59">
        <f t="shared" si="208"/>
        <v>361.17630426655978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1.3439884387978391</v>
      </c>
      <c r="DG200" s="21">
        <f>EXP(-LN(2)/25)*DG199+(1-EXP(-LN(2)/25))/(LN(2)/25)*Calculateur!DB200*Calculateur!DD200*VLOOKUP('Données projet'!$B$13,Paramètres!$A$1:$I$89,3,0)*0.475*44/12</f>
        <v>0.93665235479383435</v>
      </c>
      <c r="DH200" s="21">
        <f>EXP(-LN(2)/2)*DH199+(1-EXP(-LN(2)/2))/(LN(2)/2)*DB200*DE200*VLOOKUP('Données projet'!$B$13,Paramètres!$A$1:$I$89,3,0)*0.475*44/12</f>
        <v>1.8538426854010877E-27</v>
      </c>
      <c r="DI200" s="22">
        <f t="shared" si="175"/>
        <v>2.2806407935916733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331.96587137510784</v>
      </c>
      <c r="S201" s="59">
        <f ca="1">AVERAGE(OFFSET($R$3,0,0,'Données projet'!$E$9+1,1))-AVERAGE(OFFSET($H$3,0,0,'Données projet'!$E$9+1,1))</f>
        <v>567.42635821336114</v>
      </c>
      <c r="T201" s="59">
        <f t="shared" si="204"/>
        <v>299.0473530693472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474.99999999999994</v>
      </c>
      <c r="AJ201" s="13">
        <f>AI201*VLOOKUP('Données projet'!$B$10,Paramètres!$A$1:$I$89,3,0)*VLOOKUP('Données projet'!$B$10,Paramètres!$A$1:$I$89,5,0)</f>
        <v>407.55</v>
      </c>
      <c r="AK201" s="13">
        <f t="shared" si="164"/>
        <v>93.305642095357683</v>
      </c>
      <c r="AL201" s="20">
        <f t="shared" si="165"/>
        <v>872.32357664941446</v>
      </c>
      <c r="AM201" s="59">
        <f t="shared" si="193"/>
        <v>1162.7902178186673</v>
      </c>
      <c r="AN201" s="59">
        <f ca="1">AVERAGE(OFFSET($AM$3,0,0,'Données projet'!$E$10+1,1))-AVERAGE(OFFSET($H$3,0,0,'Données projet'!$E$10+1,1))</f>
        <v>569.97793593332699</v>
      </c>
      <c r="AO201" s="59">
        <f t="shared" si="205"/>
        <v>331.25104323342907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26.078416348783762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26.078416348783762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16.750000000000213</v>
      </c>
      <c r="BE201" s="13">
        <f>BD201*VLOOKUP('Données projet'!$B$11,Paramètres!$A$1:$I$89,3,0)*VLOOKUP('Données projet'!$B$11,Paramètres!$A$1:$I$89,5,0)</f>
        <v>14.11020000000018</v>
      </c>
      <c r="BF201" s="13">
        <f t="shared" si="167"/>
        <v>4.7783677814795205</v>
      </c>
      <c r="BG201" s="20">
        <f t="shared" si="168"/>
        <v>32.897588886077138</v>
      </c>
      <c r="BH201" s="59">
        <f t="shared" si="194"/>
        <v>323.36423005533004</v>
      </c>
      <c r="BI201" s="59">
        <f ca="1">AVERAGE(OFFSET($BH$3,0,0,'Données projet'!$E$11+1,1))-AVERAGE(OFFSET($H$3,0,0,'Données projet'!$E$11+1,1))</f>
        <v>458.88102603650725</v>
      </c>
      <c r="BJ201" s="59">
        <f t="shared" si="206"/>
        <v>277.79020316059552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41.111080520361504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41.111080520361504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269.8175999999998</v>
      </c>
      <c r="CA201" s="13">
        <f t="shared" si="170"/>
        <v>64.810557882019467</v>
      </c>
      <c r="CB201" s="20">
        <f t="shared" si="171"/>
        <v>582.81070831118348</v>
      </c>
      <c r="CC201" s="59">
        <f t="shared" si="195"/>
        <v>873.27734948043644</v>
      </c>
      <c r="CD201" s="59">
        <f ca="1">AVERAGE(OFFSET($CC$3,0,0,'Données projet'!$E$12+1,1))-AVERAGE(OFFSET($H$3,0,0,'Données projet'!$E$12+1,1))</f>
        <v>400.48995908576177</v>
      </c>
      <c r="CE201" s="59">
        <f t="shared" si="207"/>
        <v>384.86917865380076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4.4527699364819204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4.4527699364819204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277.99999999999994</v>
      </c>
      <c r="CU201" s="17">
        <f>CT201*VLOOKUP('Données projet'!$B$13,Paramètres!$A$1:$I$89,3,0)*VLOOKUP('Données projet'!$B$13,Paramètres!$A$1:$I$89,5,0)</f>
        <v>151.78799999999998</v>
      </c>
      <c r="CV201" s="13">
        <f t="shared" si="173"/>
        <v>38.984634390835623</v>
      </c>
      <c r="CW201" s="20">
        <f t="shared" si="174"/>
        <v>332.26233823070532</v>
      </c>
      <c r="CX201" s="59">
        <f t="shared" si="196"/>
        <v>622.72897939995823</v>
      </c>
      <c r="CY201" s="59">
        <f ca="1">AVERAGE(OFFSET($CX$3,0,0,'Données projet'!$E$13+1,1))-AVERAGE(OFFSET($H$3,0,0,'Données projet'!$E$13+1,1))</f>
        <v>215.37314197175104</v>
      </c>
      <c r="CZ201" s="59">
        <f t="shared" si="208"/>
        <v>361.17630426655978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1.3176336452650175</v>
      </c>
      <c r="DG201" s="21">
        <f>EXP(-LN(2)/25)*DG200+(1-EXP(-LN(2)/25))/(LN(2)/25)*Calculateur!DB201*Calculateur!DD201*VLOOKUP('Données projet'!$B$13,Paramètres!$A$1:$I$89,3,0)*0.475*44/12</f>
        <v>0.91103954689559041</v>
      </c>
      <c r="DH201" s="21">
        <f>EXP(-LN(2)/2)*DH200+(1-EXP(-LN(2)/2))/(LN(2)/2)*DB201*DE201*VLOOKUP('Données projet'!$B$13,Paramètres!$A$1:$I$89,3,0)*0.475*44/12</f>
        <v>1.3108647341001886E-27</v>
      </c>
      <c r="DI201" s="22">
        <f t="shared" si="175"/>
        <v>2.228673192160608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332.01560207519105</v>
      </c>
      <c r="S202" s="59">
        <f ca="1">AVERAGE(OFFSET($R$3,0,0,'Données projet'!$E$9+1,1))-AVERAGE(OFFSET($H$3,0,0,'Données projet'!$E$9+1,1))</f>
        <v>567.42635821336114</v>
      </c>
      <c r="T202" s="59">
        <f t="shared" si="204"/>
        <v>299.0473530693472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474.99999999999994</v>
      </c>
      <c r="AJ202" s="13">
        <f>AI202*VLOOKUP('Données projet'!$B$10,Paramètres!$A$1:$I$89,3,0)*VLOOKUP('Données projet'!$B$10,Paramètres!$A$1:$I$89,5,0)</f>
        <v>407.55</v>
      </c>
      <c r="AK202" s="13">
        <f t="shared" si="164"/>
        <v>93.305642095357683</v>
      </c>
      <c r="AL202" s="20">
        <f t="shared" si="165"/>
        <v>872.32357664941446</v>
      </c>
      <c r="AM202" s="59">
        <f t="shared" si="193"/>
        <v>1162.8399485187506</v>
      </c>
      <c r="AN202" s="59">
        <f ca="1">AVERAGE(OFFSET($AM$3,0,0,'Données projet'!$E$10+1,1))-AVERAGE(OFFSET($H$3,0,0,'Données projet'!$E$10+1,1))</f>
        <v>569.97793593332699</v>
      </c>
      <c r="AO202" s="59">
        <f t="shared" si="205"/>
        <v>331.25104323342907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25.567034510447471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25.567034510447471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16.750000000000213</v>
      </c>
      <c r="BE202" s="13">
        <f>BD202*VLOOKUP('Données projet'!$B$11,Paramètres!$A$1:$I$89,3,0)*VLOOKUP('Données projet'!$B$11,Paramètres!$A$1:$I$89,5,0)</f>
        <v>14.11020000000018</v>
      </c>
      <c r="BF202" s="13">
        <f t="shared" si="167"/>
        <v>4.7783677814795205</v>
      </c>
      <c r="BG202" s="20">
        <f t="shared" si="168"/>
        <v>32.897588886077138</v>
      </c>
      <c r="BH202" s="59">
        <f t="shared" si="194"/>
        <v>323.41396075541326</v>
      </c>
      <c r="BI202" s="59">
        <f ca="1">AVERAGE(OFFSET($BH$3,0,0,'Données projet'!$E$11+1,1))-AVERAGE(OFFSET($H$3,0,0,'Données projet'!$E$11+1,1))</f>
        <v>458.88102603650725</v>
      </c>
      <c r="BJ202" s="59">
        <f t="shared" si="206"/>
        <v>277.79020316059552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40.304917306640355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40.304917306640355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269.8175999999998</v>
      </c>
      <c r="CA202" s="13">
        <f t="shared" si="170"/>
        <v>64.810557882019467</v>
      </c>
      <c r="CB202" s="20">
        <f t="shared" si="171"/>
        <v>582.81070831118348</v>
      </c>
      <c r="CC202" s="59">
        <f t="shared" si="195"/>
        <v>873.3270801805196</v>
      </c>
      <c r="CD202" s="59">
        <f ca="1">AVERAGE(OFFSET($CC$3,0,0,'Données projet'!$E$12+1,1))-AVERAGE(OFFSET($H$3,0,0,'Données projet'!$E$12+1,1))</f>
        <v>400.48995908576177</v>
      </c>
      <c r="CE202" s="59">
        <f t="shared" si="207"/>
        <v>384.86917865380076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4.3654538339489966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4.3654538339489966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277.99999999999994</v>
      </c>
      <c r="CU202" s="17">
        <f>CT202*VLOOKUP('Données projet'!$B$13,Paramètres!$A$1:$I$89,3,0)*VLOOKUP('Données projet'!$B$13,Paramètres!$A$1:$I$89,5,0)</f>
        <v>151.78799999999998</v>
      </c>
      <c r="CV202" s="13">
        <f t="shared" si="173"/>
        <v>38.984634390835623</v>
      </c>
      <c r="CW202" s="20">
        <f t="shared" si="174"/>
        <v>332.26233823070532</v>
      </c>
      <c r="CX202" s="59">
        <f t="shared" si="196"/>
        <v>622.77871010004151</v>
      </c>
      <c r="CY202" s="59">
        <f ca="1">AVERAGE(OFFSET($CX$3,0,0,'Données projet'!$E$13+1,1))-AVERAGE(OFFSET($H$3,0,0,'Données projet'!$E$13+1,1))</f>
        <v>215.37314197175104</v>
      </c>
      <c r="CZ202" s="59">
        <f t="shared" si="208"/>
        <v>361.17630426655978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1.2917956531585375</v>
      </c>
      <c r="DG202" s="21">
        <f>EXP(-LN(2)/25)*DG201+(1-EXP(-LN(2)/25))/(LN(2)/25)*Calculateur!DB202*Calculateur!DD202*VLOOKUP('Données projet'!$B$13,Paramètres!$A$1:$I$89,3,0)*0.475*44/12</f>
        <v>0.88612712257624293</v>
      </c>
      <c r="DH202" s="21">
        <f>EXP(-LN(2)/2)*DH201+(1-EXP(-LN(2)/2))/(LN(2)/2)*DB202*DE202*VLOOKUP('Données projet'!$B$13,Paramètres!$A$1:$I$89,3,0)*0.475*44/12</f>
        <v>9.2692134270054387E-28</v>
      </c>
      <c r="DI202" s="22">
        <f t="shared" si="175"/>
        <v>2.1779227757347805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332.06447005880904</v>
      </c>
      <c r="S203" s="59">
        <f ca="1">AVERAGE(OFFSET($R$3,0,0,'Données projet'!$E$9+1,1))-AVERAGE(OFFSET($H$3,0,0,'Données projet'!$E$9+1,1))</f>
        <v>567.42635821336114</v>
      </c>
      <c r="T203" s="59">
        <f t="shared" si="204"/>
        <v>299.0473530693472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474.99999999999994</v>
      </c>
      <c r="AJ203" s="13">
        <f>AI203*VLOOKUP('Données projet'!$B$10,Paramètres!$A$1:$I$89,3,0)*VLOOKUP('Données projet'!$B$10,Paramètres!$A$1:$I$89,5,0)</f>
        <v>407.55</v>
      </c>
      <c r="AK203" s="13">
        <f t="shared" si="164"/>
        <v>93.305642095357683</v>
      </c>
      <c r="AL203" s="20">
        <f t="shared" si="165"/>
        <v>872.32357664941446</v>
      </c>
      <c r="AM203" s="59">
        <f t="shared" si="193"/>
        <v>1162.8888165023686</v>
      </c>
      <c r="AN203" s="59">
        <f ca="1">AVERAGE(OFFSET($AM$3,0,0,'Données projet'!$E$10+1,1))-AVERAGE(OFFSET($H$3,0,0,'Données projet'!$E$10+1,1))</f>
        <v>569.97793593332699</v>
      </c>
      <c r="AO203" s="59">
        <f t="shared" si="205"/>
        <v>331.25104323342907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25.065680558048832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25.065680558048832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16.750000000000213</v>
      </c>
      <c r="BE203" s="13">
        <f>BD203*VLOOKUP('Données projet'!$B$11,Paramètres!$A$1:$I$89,3,0)*VLOOKUP('Données projet'!$B$11,Paramètres!$A$1:$I$89,5,0)</f>
        <v>14.11020000000018</v>
      </c>
      <c r="BF203" s="13">
        <f t="shared" si="167"/>
        <v>4.7783677814795205</v>
      </c>
      <c r="BG203" s="20">
        <f t="shared" si="168"/>
        <v>32.897588886077138</v>
      </c>
      <c r="BH203" s="59">
        <f t="shared" si="194"/>
        <v>323.46282873903124</v>
      </c>
      <c r="BI203" s="59">
        <f ca="1">AVERAGE(OFFSET($BH$3,0,0,'Données projet'!$E$11+1,1))-AVERAGE(OFFSET($H$3,0,0,'Données projet'!$E$11+1,1))</f>
        <v>458.88102603650725</v>
      </c>
      <c r="BJ203" s="59">
        <f t="shared" si="206"/>
        <v>277.79020316059552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39.514562461829271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39.514562461829271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269.8175999999998</v>
      </c>
      <c r="CA203" s="13">
        <f t="shared" si="170"/>
        <v>64.810557882019467</v>
      </c>
      <c r="CB203" s="20">
        <f t="shared" si="171"/>
        <v>582.81070831118348</v>
      </c>
      <c r="CC203" s="59">
        <f t="shared" si="195"/>
        <v>873.37594816413753</v>
      </c>
      <c r="CD203" s="59">
        <f ca="1">AVERAGE(OFFSET($CC$3,0,0,'Données projet'!$E$12+1,1))-AVERAGE(OFFSET($H$3,0,0,'Données projet'!$E$12+1,1))</f>
        <v>400.48995908576177</v>
      </c>
      <c r="CE203" s="59">
        <f t="shared" si="207"/>
        <v>384.86917865380076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4.2798499469291791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4.2798499469291791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277.99999999999994</v>
      </c>
      <c r="CU203" s="17">
        <f>CT203*VLOOKUP('Données projet'!$B$13,Paramètres!$A$1:$I$89,3,0)*VLOOKUP('Données projet'!$B$13,Paramètres!$A$1:$I$89,5,0)</f>
        <v>151.78799999999998</v>
      </c>
      <c r="CV203" s="13">
        <f t="shared" si="173"/>
        <v>38.984634390835623</v>
      </c>
      <c r="CW203" s="20">
        <f t="shared" si="174"/>
        <v>332.26233823070532</v>
      </c>
      <c r="CX203" s="59">
        <f t="shared" si="196"/>
        <v>622.82757808365943</v>
      </c>
      <c r="CY203" s="59">
        <f ca="1">AVERAGE(OFFSET($CX$3,0,0,'Données projet'!$E$13+1,1))-AVERAGE(OFFSET($H$3,0,0,'Données projet'!$E$13+1,1))</f>
        <v>215.37314197175104</v>
      </c>
      <c r="CZ203" s="59">
        <f t="shared" si="208"/>
        <v>361.17630426655978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1.2664643283176467</v>
      </c>
      <c r="DG203" s="21">
        <f>EXP(-LN(2)/25)*DG202+(1-EXP(-LN(2)/25))/(LN(2)/25)*Calculateur!DB203*Calculateur!DD203*VLOOKUP('Données projet'!$B$13,Paramètres!$A$1:$I$89,3,0)*0.475*44/12</f>
        <v>0.86189592980999541</v>
      </c>
      <c r="DH203" s="21">
        <f>EXP(-LN(2)/2)*DH202+(1-EXP(-LN(2)/2))/(LN(2)/2)*DB203*DE203*VLOOKUP('Données projet'!$B$13,Paramètres!$A$1:$I$89,3,0)*0.475*44/12</f>
        <v>6.5543236705009432E-28</v>
      </c>
      <c r="DI203" s="22">
        <f t="shared" si="175"/>
        <v>2.1283602581276422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1.1736311550444201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1.2229519710813024</v>
      </c>
      <c r="BA205" s="81">
        <f>EXP(LN('Données projet'!B88)/'Données projet'!A88)</f>
        <v>1.1727597515473569</v>
      </c>
      <c r="BV205" s="81">
        <f>EXP(LN('Données projet'!B114)/'Données projet'!A114)</f>
        <v>1.3423796509621049</v>
      </c>
      <c r="CQ205" s="81">
        <f>EXP(LN('Données projet'!B140)/'Données projet'!A140)</f>
        <v>1.4860662319460807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1.75</v>
      </c>
      <c r="C6" s="145">
        <f ca="1">IF(OR('Données projet'!B9="",'Données projet'!C9="",'Données projet'!C9=0%),0,Calculateur!S3)</f>
        <v>567.42635821336114</v>
      </c>
      <c r="D6" s="145">
        <f>IF(OR('Données projet'!B9="",'Données projet'!C9="",'Données projet'!C9=0%),0,Calculateur!T3)</f>
        <v>299.0473530693472</v>
      </c>
      <c r="E6" s="145">
        <f ca="1">MIN(C6,D6)</f>
        <v>299.0473530693472</v>
      </c>
      <c r="F6" s="145">
        <f ca="1">E6*B6</f>
        <v>523.33286787135762</v>
      </c>
      <c r="G6" s="145">
        <f ca="1">F6*(100%-'Données projet'!$C$24)*(100%-'Données projet'!$C$25)*(100%-'Données projet'!$C$26)*(100%-'Données projet'!$C$27)</f>
        <v>470.99958108422186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470.99958108422186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Hêtre</v>
      </c>
      <c r="B7" s="152">
        <f>'Données projet'!D10</f>
        <v>1</v>
      </c>
      <c r="C7" s="145">
        <f ca="1">IF(OR('Données projet'!B10="",'Données projet'!C10="",'Données projet'!C10=0%),0,Calculateur!AN3)</f>
        <v>569.97793593332699</v>
      </c>
      <c r="D7" s="145">
        <f>IF(OR('Données projet'!B10="",'Données projet'!C10="",'Données projet'!C10=0%),0,Calculateur!AO3)</f>
        <v>331.25104323342907</v>
      </c>
      <c r="E7" s="145">
        <f t="shared" ref="E7:E15" ca="1" si="0">MIN(C7,D7)</f>
        <v>331.25104323342907</v>
      </c>
      <c r="F7" s="145">
        <f t="shared" ref="F7:F15" ca="1" si="1">E7*B7</f>
        <v>331.25104323342907</v>
      </c>
      <c r="G7" s="145">
        <f ca="1">F7*(100%-'Données projet'!$C$24)*(100%-'Données projet'!$C$25)*(100%-'Données projet'!$C$26)*(100%-'Données projet'!$C$27)</f>
        <v>298.12593891008618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15.25</v>
      </c>
      <c r="K7" s="149">
        <f>J7*(100%-'Données projet'!$C$24)*(100%-'Données projet'!$C$25)*(100%-'Données projet'!$C$26)*(100%-'Données projet'!$C$27)</f>
        <v>13.725</v>
      </c>
      <c r="L7" s="150">
        <f t="shared" ref="L7:L15" ca="1" si="2">G7+I7+K7</f>
        <v>311.8509389100862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pédonculé</v>
      </c>
      <c r="B8" s="152">
        <f>'Données projet'!D11</f>
        <v>0.75</v>
      </c>
      <c r="C8" s="145">
        <f ca="1">IF(OR('Données projet'!B11="",'Données projet'!C11="",'Données projet'!C11=0%),0,Calculateur!BI3)</f>
        <v>458.88102603650725</v>
      </c>
      <c r="D8" s="145">
        <f>IF(OR('Données projet'!B11="",'Données projet'!C11="",'Données projet'!C11=0%),0,Calculateur!BJ3)</f>
        <v>277.79020316059552</v>
      </c>
      <c r="E8" s="145">
        <f t="shared" ca="1" si="0"/>
        <v>277.79020316059552</v>
      </c>
      <c r="F8" s="145">
        <f t="shared" ca="1" si="1"/>
        <v>208.34265237044664</v>
      </c>
      <c r="G8" s="145">
        <f ca="1">F8*(100%-'Données projet'!$C$24)*(100%-'Données projet'!$C$25)*(100%-'Données projet'!$C$26)*(100%-'Données projet'!$C$27)</f>
        <v>187.50838713340198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187.50838713340198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Châtaignier</v>
      </c>
      <c r="B9" s="152">
        <f>'Données projet'!D12</f>
        <v>0.75</v>
      </c>
      <c r="C9" s="145">
        <f ca="1">IF(OR('Données projet'!B12="",'Données projet'!C12="",'Données projet'!C12=0%),0,Calculateur!CD3)</f>
        <v>400.48995908576177</v>
      </c>
      <c r="D9" s="145">
        <f>IF(OR('Données projet'!B12="",'Données projet'!C12="",'Données projet'!C12=0%),0,Calculateur!CE3)</f>
        <v>384.86917865380076</v>
      </c>
      <c r="E9" s="145">
        <f t="shared" ca="1" si="0"/>
        <v>384.86917865380076</v>
      </c>
      <c r="F9" s="145">
        <f t="shared" ca="1" si="1"/>
        <v>288.6518839903506</v>
      </c>
      <c r="G9" s="145">
        <f ca="1">F9*(100%-'Données projet'!$C$24)*(100%-'Données projet'!$C$25)*(100%-'Données projet'!$C$26)*(100%-'Données projet'!$C$27)</f>
        <v>259.78669559131555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32.8125</v>
      </c>
      <c r="K9" s="149">
        <f>J9*(100%-'Données projet'!$C$24)*(100%-'Données projet'!$C$25)*(100%-'Données projet'!$C$26)*(100%-'Données projet'!$C$27)</f>
        <v>29.53125</v>
      </c>
      <c r="L9" s="150">
        <f t="shared" ca="1" si="2"/>
        <v>289.31794559131555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Mélèze hybride</v>
      </c>
      <c r="B10" s="152">
        <f>'Données projet'!D13</f>
        <v>0.75</v>
      </c>
      <c r="C10" s="145">
        <f ca="1">IF(OR('Données projet'!B13="",'Données projet'!C13="",'Données projet'!C13=0%),0,Calculateur!CY3)</f>
        <v>215.37314197175104</v>
      </c>
      <c r="D10" s="145">
        <f>IF(OR('Données projet'!B13="",'Données projet'!C13="",'Données projet'!C13=0%),0,Calculateur!CZ3)</f>
        <v>361.17630426655978</v>
      </c>
      <c r="E10" s="145">
        <f t="shared" ca="1" si="0"/>
        <v>215.37314197175104</v>
      </c>
      <c r="F10" s="145">
        <f t="shared" ca="1" si="1"/>
        <v>161.52985647881329</v>
      </c>
      <c r="G10" s="145">
        <f ca="1">F10*(100%-'Données projet'!$C$24)*(100%-'Données projet'!$C$25)*(100%-'Données projet'!$C$26)*(100%-'Données projet'!$C$27)</f>
        <v>145.37687083093195</v>
      </c>
      <c r="H10" s="153">
        <f>IF(OR('Données projet'!B13="",'Données projet'!C13="",'Données projet'!C13=0%),0,AVERAGE(Calculateur!$DI$3:$DI$33)*B10)</f>
        <v>21.061210484084604</v>
      </c>
      <c r="I10" s="147">
        <f>H10*(100%-'Données projet'!$C$24)*(100%-'Données projet'!$C$25)*(100%-'Données projet'!$C$26)*(100%-'Données projet'!$C$27)</f>
        <v>18.955089435676143</v>
      </c>
      <c r="J10" s="148">
        <f>IF(OR('Données projet'!B13="",'Données projet'!C13="",'Données projet'!C13=0%),0,SUM(Calculateur!$DB$3:$DB$33)*VLOOKUP('Données projet'!$B$13,Paramètres!$A$1:$I$89,9,0)*B10)</f>
        <v>93.202500000000001</v>
      </c>
      <c r="K10" s="149">
        <f>J10*(100%-'Données projet'!$C$24)*(100%-'Données projet'!$C$25)*(100%-'Données projet'!$C$26)*(100%-'Données projet'!$C$27)</f>
        <v>83.882249999999999</v>
      </c>
      <c r="L10" s="150">
        <f t="shared" ca="1" si="2"/>
        <v>248.21421026660809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1513.1083039443972</v>
      </c>
      <c r="G16" s="164">
        <f t="shared" ca="1" si="3"/>
        <v>1361.7974735499574</v>
      </c>
      <c r="H16" s="165">
        <f t="shared" si="3"/>
        <v>21.061210484084604</v>
      </c>
      <c r="I16" s="165">
        <f t="shared" si="3"/>
        <v>18.955089435676143</v>
      </c>
      <c r="J16" s="166">
        <f t="shared" si="3"/>
        <v>141.26499999999999</v>
      </c>
      <c r="K16" s="166">
        <f t="shared" si="3"/>
        <v>127.13849999999999</v>
      </c>
      <c r="L16" s="167">
        <f t="shared" ca="1" si="3"/>
        <v>1507.8910629856337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Mélèze hybride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7843.1826104877346</v>
      </c>
      <c r="U10" s="176">
        <f>'Données projet'!D9</f>
        <v>1.75</v>
      </c>
      <c r="V10" s="175">
        <f>U10*T10</f>
        <v>13725.569568353536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Hêtre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-508.37876878154196</v>
      </c>
      <c r="U11" s="176">
        <f>'Données projet'!D10</f>
        <v>1</v>
      </c>
      <c r="V11" s="175">
        <f t="shared" ref="V11" si="0">U11*T11</f>
        <v>-508.37876878154196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pédonculé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9650.2543366915343</v>
      </c>
      <c r="U12" s="176">
        <f>'Données projet'!D11</f>
        <v>0.75</v>
      </c>
      <c r="V12" s="175">
        <f t="shared" ref="V12:V19" si="1">U12*T12</f>
        <v>7237.6907525186507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Châtaignier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-947.313791748374</v>
      </c>
      <c r="U13" s="176">
        <f>'Données projet'!D12</f>
        <v>0.75</v>
      </c>
      <c r="V13" s="175">
        <f t="shared" si="1"/>
        <v>-710.48534381128047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Mélèze hybride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13.210000717397406</v>
      </c>
      <c r="U14" s="176">
        <f>'Données projet'!D13</f>
        <v>0.75</v>
      </c>
      <c r="V14" s="175">
        <f t="shared" si="1"/>
        <v>9.9075005380480548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3326.82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1476.24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12373.103708817409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>
        <v>235</v>
      </c>
      <c r="D24" s="180">
        <f t="shared" ref="D24:D42" si="2">B24*C24</f>
        <v>16351.3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78894.199016615297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>
        <v>235</v>
      </c>
      <c r="D25" s="180">
        <f t="shared" si="2"/>
        <v>11141.349999999999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800</v>
      </c>
      <c r="Q25" s="232"/>
      <c r="R25" s="23"/>
      <c r="S25" s="184" t="s">
        <v>266</v>
      </c>
      <c r="T25" s="312">
        <f ca="1">T23-T24</f>
        <v>-66521.095307797892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>
        <v>235</v>
      </c>
      <c r="D26" s="180">
        <f t="shared" si="2"/>
        <v>14363.199999999999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>
        <v>235</v>
      </c>
      <c r="D27" s="180">
        <f t="shared" si="2"/>
        <v>13686.4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>
        <v>235</v>
      </c>
      <c r="D28" s="180">
        <f t="shared" si="2"/>
        <v>12739.35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>
        <v>235</v>
      </c>
      <c r="D29" s="180">
        <f t="shared" si="2"/>
        <v>12236.45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>
        <v>235</v>
      </c>
      <c r="D30" s="180">
        <f t="shared" si="2"/>
        <v>13998.95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15778.839803323059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>
        <v>235</v>
      </c>
      <c r="D31" s="180">
        <f t="shared" si="2"/>
        <v>15157.5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>
        <v>235</v>
      </c>
      <c r="D32" s="180">
        <f t="shared" si="2"/>
        <v>14790.9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>
        <v>235</v>
      </c>
      <c r="D33" s="180">
        <f t="shared" si="2"/>
        <v>15735.599999999999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800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>
        <v>235</v>
      </c>
      <c r="D34" s="180">
        <f t="shared" si="2"/>
        <v>46168.1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765.5502392344498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>
        <v>235</v>
      </c>
      <c r="D35" s="180">
        <f t="shared" si="2"/>
        <v>23641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732.5839609899042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>
        <v>235</v>
      </c>
      <c r="D36" s="180">
        <f t="shared" si="2"/>
        <v>15279.699999999999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701.0372832439275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>
        <v>235</v>
      </c>
      <c r="D37" s="180">
        <f t="shared" si="2"/>
        <v>33802.400000000001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670.8490748745719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641.9608372005473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614.31659062253345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587.862766145965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562.54810157508632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538.32354217711611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515.14214562403458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492.95899102778435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Hêtre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471.73109189261669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451.41731281590108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431.97828977598203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2706.48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413.37635385261433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395.57545823216702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378.54110835614068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362.24029507764664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346.64143069631257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331.71428774766764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317.42994042839007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26</v>
      </c>
      <c r="C55" s="189">
        <v>20</v>
      </c>
      <c r="D55" s="177">
        <f t="shared" ref="D55:D73" si="4">B55*C55</f>
        <v>520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303.76070854391401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35</v>
      </c>
      <c r="C56" s="189">
        <v>20</v>
      </c>
      <c r="D56" s="177">
        <f t="shared" si="4"/>
        <v>700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290.6801038697742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35</v>
      </c>
      <c r="C57" s="189">
        <v>55</v>
      </c>
      <c r="D57" s="177">
        <f t="shared" si="4"/>
        <v>1925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278.16277882275045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35</v>
      </c>
      <c r="C58" s="189">
        <v>55</v>
      </c>
      <c r="D58" s="177">
        <f t="shared" si="4"/>
        <v>1925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266.18447734234496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35</v>
      </c>
      <c r="C59" s="189">
        <v>55</v>
      </c>
      <c r="D59" s="177">
        <f t="shared" si="4"/>
        <v>1925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254.7219878874115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35</v>
      </c>
      <c r="C60" s="189">
        <v>55</v>
      </c>
      <c r="D60" s="177">
        <f t="shared" si="4"/>
        <v>1925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243.75309845685311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35</v>
      </c>
      <c r="C61" s="189">
        <v>55</v>
      </c>
      <c r="D61" s="177">
        <f t="shared" si="4"/>
        <v>1925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233.25655354722792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35</v>
      </c>
      <c r="C62" s="189">
        <v>55</v>
      </c>
      <c r="D62" s="177">
        <f t="shared" si="4"/>
        <v>1925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223.21201296385442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35</v>
      </c>
      <c r="C63" s="189">
        <v>55</v>
      </c>
      <c r="D63" s="177">
        <f t="shared" si="4"/>
        <v>1925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213.6000124056024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35</v>
      </c>
      <c r="C64" s="189">
        <v>55</v>
      </c>
      <c r="D64" s="177">
        <f t="shared" si="4"/>
        <v>1925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204.4019257469879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35</v>
      </c>
      <c r="C65" s="189">
        <v>55</v>
      </c>
      <c r="D65" s="177">
        <f t="shared" si="4"/>
        <v>1925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195.59992894448615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34</v>
      </c>
      <c r="C66" s="189">
        <v>55</v>
      </c>
      <c r="D66" s="177">
        <f t="shared" si="4"/>
        <v>1870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187.17696549711596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33</v>
      </c>
      <c r="C67" s="189">
        <v>55</v>
      </c>
      <c r="D67" s="177">
        <f t="shared" si="4"/>
        <v>1815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179.11671339436936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31</v>
      </c>
      <c r="C68" s="189">
        <v>55</v>
      </c>
      <c r="D68" s="177">
        <f t="shared" si="4"/>
        <v>1705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171.40355348743478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30</v>
      </c>
      <c r="C69" s="189">
        <v>55</v>
      </c>
      <c r="D69" s="177">
        <f t="shared" si="4"/>
        <v>1650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164.02253922242568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29</v>
      </c>
      <c r="C70" s="189">
        <v>55</v>
      </c>
      <c r="D70" s="177">
        <f t="shared" si="4"/>
        <v>1595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156.95936767696236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28</v>
      </c>
      <c r="C71" s="189">
        <v>55</v>
      </c>
      <c r="D71" s="177">
        <f t="shared" si="4"/>
        <v>1540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150.20035184398316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27</v>
      </c>
      <c r="C72" s="189">
        <v>55</v>
      </c>
      <c r="D72" s="177">
        <f t="shared" si="4"/>
        <v>1485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143.73239410907479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26</v>
      </c>
      <c r="C73" s="189">
        <v>55</v>
      </c>
      <c r="D73" s="177">
        <f t="shared" si="4"/>
        <v>1430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137.54296086992807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131.62005824873501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125.95220885046413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pédonculé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str">
        <f>IF(O75+1&lt;=MIN('Données projet'!$E$9:$E$18),O75+1,"STOP")</f>
        <v>STOP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3297.28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31</v>
      </c>
      <c r="B86" s="179">
        <f>'Données projet'!D89</f>
        <v>63.58</v>
      </c>
      <c r="C86" s="189">
        <v>235</v>
      </c>
      <c r="D86" s="177">
        <f t="shared" ref="D86:D104" si="6">B86*C86</f>
        <v>14941.3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37</v>
      </c>
      <c r="B87" s="179">
        <f>'Données projet'!D90</f>
        <v>41.18</v>
      </c>
      <c r="C87" s="189">
        <v>235</v>
      </c>
      <c r="D87" s="177">
        <f t="shared" si="6"/>
        <v>9677.2999999999993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44</v>
      </c>
      <c r="B88" s="179">
        <f>'Données projet'!D91</f>
        <v>52.08</v>
      </c>
      <c r="C88" s="189">
        <v>235</v>
      </c>
      <c r="D88" s="177">
        <f t="shared" si="6"/>
        <v>12238.8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51</v>
      </c>
      <c r="B89" s="179">
        <f>'Données projet'!D92</f>
        <v>50.63</v>
      </c>
      <c r="C89" s="189">
        <v>235</v>
      </c>
      <c r="D89" s="177">
        <f t="shared" si="6"/>
        <v>11898.050000000001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58</v>
      </c>
      <c r="B90" s="179">
        <f>'Données projet'!D93</f>
        <v>48.81</v>
      </c>
      <c r="C90" s="189">
        <v>235</v>
      </c>
      <c r="D90" s="177">
        <f t="shared" si="6"/>
        <v>11470.35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65</v>
      </c>
      <c r="B91" s="179">
        <f>'Données projet'!D94</f>
        <v>50.87</v>
      </c>
      <c r="C91" s="189">
        <v>235</v>
      </c>
      <c r="D91" s="177">
        <f t="shared" si="6"/>
        <v>11954.449999999999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72</v>
      </c>
      <c r="B92" s="179">
        <f>'Données projet'!D95</f>
        <v>58.96</v>
      </c>
      <c r="C92" s="189">
        <v>235</v>
      </c>
      <c r="D92" s="177">
        <f t="shared" si="6"/>
        <v>13855.6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81</v>
      </c>
      <c r="B93" s="179">
        <f>'Données projet'!D96</f>
        <v>77.44</v>
      </c>
      <c r="C93" s="189">
        <v>235</v>
      </c>
      <c r="D93" s="177">
        <f t="shared" si="6"/>
        <v>18198.399999999998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90</v>
      </c>
      <c r="B94" s="179">
        <f>'Données projet'!D97</f>
        <v>78.34</v>
      </c>
      <c r="C94" s="189">
        <v>235</v>
      </c>
      <c r="D94" s="177">
        <f t="shared" si="6"/>
        <v>18409.900000000001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99</v>
      </c>
      <c r="B95" s="179">
        <f>'Données projet'!D98</f>
        <v>198.88</v>
      </c>
      <c r="C95" s="189">
        <v>235</v>
      </c>
      <c r="D95" s="177">
        <f t="shared" si="6"/>
        <v>46736.799999999996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101</v>
      </c>
      <c r="B96" s="179">
        <f>'Données projet'!D99</f>
        <v>72.569999999999993</v>
      </c>
      <c r="C96" s="189">
        <v>235</v>
      </c>
      <c r="D96" s="177">
        <f t="shared" si="6"/>
        <v>17053.949999999997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103</v>
      </c>
      <c r="B97" s="179">
        <f>'Données projet'!D100</f>
        <v>51.31</v>
      </c>
      <c r="C97" s="189">
        <v>235</v>
      </c>
      <c r="D97" s="177">
        <f t="shared" si="6"/>
        <v>12057.85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106</v>
      </c>
      <c r="B98" s="179">
        <f>'Données projet'!D101</f>
        <v>114.71</v>
      </c>
      <c r="C98" s="189">
        <v>235</v>
      </c>
      <c r="D98" s="177">
        <f t="shared" si="6"/>
        <v>26956.85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Châtaignier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3814.23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7</v>
      </c>
      <c r="C116" s="189">
        <v>20</v>
      </c>
      <c r="D116" s="177">
        <f>B116*C116</f>
        <v>140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42</v>
      </c>
      <c r="C117" s="189">
        <v>20</v>
      </c>
      <c r="D117" s="177">
        <f t="shared" ref="D117:D135" si="8">B117*C117</f>
        <v>840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42</v>
      </c>
      <c r="C118" s="189">
        <v>20</v>
      </c>
      <c r="D118" s="177">
        <f t="shared" si="8"/>
        <v>840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42</v>
      </c>
      <c r="C119" s="189">
        <v>20</v>
      </c>
      <c r="D119" s="177">
        <f t="shared" si="8"/>
        <v>840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42</v>
      </c>
      <c r="C120" s="189">
        <v>20</v>
      </c>
      <c r="D120" s="177">
        <f t="shared" si="8"/>
        <v>840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42</v>
      </c>
      <c r="C121" s="189">
        <v>55</v>
      </c>
      <c r="D121" s="177">
        <f t="shared" si="8"/>
        <v>2310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40</v>
      </c>
      <c r="C122" s="189">
        <v>55</v>
      </c>
      <c r="D122" s="177">
        <f t="shared" si="8"/>
        <v>2200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26</v>
      </c>
      <c r="C123" s="189">
        <v>55</v>
      </c>
      <c r="D123" s="177">
        <f t="shared" si="8"/>
        <v>1430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21</v>
      </c>
      <c r="C124" s="189">
        <v>55</v>
      </c>
      <c r="D124" s="177">
        <f t="shared" si="8"/>
        <v>1155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18</v>
      </c>
      <c r="C125" s="189">
        <v>55</v>
      </c>
      <c r="D125" s="177">
        <f t="shared" si="8"/>
        <v>990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17</v>
      </c>
      <c r="C126" s="189">
        <v>55</v>
      </c>
      <c r="D126" s="177">
        <f t="shared" si="8"/>
        <v>935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16</v>
      </c>
      <c r="C127" s="189">
        <v>55</v>
      </c>
      <c r="D127" s="177">
        <f t="shared" si="8"/>
        <v>880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15</v>
      </c>
      <c r="C128" s="189">
        <v>55</v>
      </c>
      <c r="D128" s="177">
        <f t="shared" si="8"/>
        <v>825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14</v>
      </c>
      <c r="C129" s="189">
        <v>55</v>
      </c>
      <c r="D129" s="177">
        <f t="shared" si="8"/>
        <v>770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13</v>
      </c>
      <c r="C130" s="189">
        <v>55</v>
      </c>
      <c r="D130" s="177">
        <f t="shared" si="8"/>
        <v>715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>
        <v>55</v>
      </c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>
        <v>55</v>
      </c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>
        <v>55</v>
      </c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>
        <v>55</v>
      </c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>
        <v>55</v>
      </c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Mélèze hybride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3031.42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12</v>
      </c>
      <c r="B147" s="173">
        <f>'Données projet'!D140</f>
        <v>21</v>
      </c>
      <c r="C147" s="189">
        <v>20</v>
      </c>
      <c r="D147" s="180">
        <f>B147*C147</f>
        <v>420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3">
        <f>'Données projet'!D141</f>
        <v>47</v>
      </c>
      <c r="C148" s="189">
        <v>20</v>
      </c>
      <c r="D148" s="180">
        <f t="shared" ref="D148:D166" si="10">B148*C148</f>
        <v>940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18</v>
      </c>
      <c r="B149" s="173">
        <f>'Données projet'!D142</f>
        <v>61</v>
      </c>
      <c r="C149" s="189">
        <v>20</v>
      </c>
      <c r="D149" s="180">
        <f t="shared" si="10"/>
        <v>1220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24</v>
      </c>
      <c r="B150" s="173">
        <f>'Données projet'!D143</f>
        <v>84</v>
      </c>
      <c r="C150" s="189">
        <v>20</v>
      </c>
      <c r="D150" s="180">
        <f t="shared" si="10"/>
        <v>1680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3">
        <f>'Données projet'!D144</f>
        <v>76</v>
      </c>
      <c r="C151" s="189">
        <v>20</v>
      </c>
      <c r="D151" s="180">
        <f t="shared" si="10"/>
        <v>1520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36</v>
      </c>
      <c r="B152" s="173">
        <f>'Données projet'!D145</f>
        <v>75</v>
      </c>
      <c r="C152" s="189">
        <v>50</v>
      </c>
      <c r="D152" s="180">
        <f t="shared" si="10"/>
        <v>3750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42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2025-01-30T14:21:49Z</dcterms:modified>
</cp:coreProperties>
</file>