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4 - STOCKEURS/02-FORET-VERGERS/2-NOTIFIE/370-B-VAUGARNY-NOR(50)-SAINTERIE-GFABocagerie-Ratel-Neufmesnil-4,2ha/"/>
    </mc:Choice>
  </mc:AlternateContent>
  <xr:revisionPtr revIDLastSave="0" documentId="13_ncr:1_{DBA6AF00-3393-9840-95D2-8ABE1320339F}" xr6:coauthVersionLast="47" xr6:coauthVersionMax="47" xr10:uidLastSave="{00000000-0000-0000-0000-000000000000}"/>
  <bookViews>
    <workbookView xWindow="0" yWindow="760" windowWidth="25740" windowHeight="1888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3" i="6" l="1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FQ4" i="2"/>
  <c r="GL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EA6" i="2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A7" i="2"/>
  <c r="EX7" i="2"/>
  <c r="HI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FS10" i="2"/>
  <c r="EB10" i="2"/>
  <c r="EA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HH14" i="2"/>
  <c r="EX14" i="2"/>
  <c r="EC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X18" i="2"/>
  <c r="HG18" i="2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HG20" i="2"/>
  <c r="EW20" i="2"/>
  <c r="EV20" i="2"/>
  <c r="FS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HH21" i="2"/>
  <c r="EV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EA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G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W33" i="2"/>
  <c r="EA33" i="2"/>
  <c r="EV33" i="2"/>
  <c r="EB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I38" i="2"/>
  <c r="HG38" i="2"/>
  <c r="EA38" i="2"/>
  <c r="HH38" i="2"/>
  <c r="EX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DG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HI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I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EC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FS57" i="2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EW60" i="2"/>
  <c r="HH60" i="2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A62" i="2"/>
  <c r="HH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HG74" i="2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FS75" i="2"/>
  <c r="EA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X87" i="2"/>
  <c r="EA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HG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C112" i="2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X113" i="2"/>
  <c r="FS113" i="2"/>
  <c r="EC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Q120" i="2"/>
  <c r="EX120" i="2"/>
  <c r="FR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FR121" i="2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EC122" i="2"/>
  <c r="FS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FS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X128" i="2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X130" i="2"/>
  <c r="HH130" i="2"/>
  <c r="HI130" i="2"/>
  <c r="EB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B139" i="2"/>
  <c r="EW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FR140" i="2"/>
  <c r="HG140" i="2"/>
  <c r="EC140" i="2"/>
  <c r="FS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HH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EA144" i="2"/>
  <c r="EX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G146" i="2"/>
  <c r="EA146" i="2"/>
  <c r="FS146" i="2"/>
  <c r="HI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HG149" i="2"/>
  <c r="HH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HI150" i="2"/>
  <c r="HG150" i="2"/>
  <c r="FS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B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HJ154" i="2"/>
  <c r="EY154" i="2"/>
  <c r="HH155" i="2"/>
  <c r="EA155" i="2"/>
  <c r="EW155" i="2"/>
  <c r="EX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Y155" i="2"/>
  <c r="EX156" i="2"/>
  <c r="EB156" i="2"/>
  <c r="DH156" i="2"/>
  <c r="HH156" i="2"/>
  <c r="FS156" i="2"/>
  <c r="HG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B157" i="2"/>
  <c r="CN156" i="2"/>
  <c r="EA157" i="2"/>
  <c r="HH157" i="2"/>
  <c r="EC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H158" i="2" l="1"/>
  <c r="ED157" i="2"/>
  <c r="EW158" i="2"/>
  <c r="EC158" i="2"/>
  <c r="EV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D158" i="2"/>
  <c r="HI159" i="2"/>
  <c r="EC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D159" i="2"/>
  <c r="HI160" i="2"/>
  <c r="FS160" i="2"/>
  <c r="HG160" i="2"/>
  <c r="EC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HG161" i="2"/>
  <c r="EX161" i="2"/>
  <c r="EA161" i="2"/>
  <c r="AB161" i="2"/>
  <c r="EB161" i="2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EY161" i="2"/>
  <c r="ED161" i="2"/>
  <c r="EW162" i="2"/>
  <c r="EC162" i="2"/>
  <c r="DI161" i="2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ED162" i="2"/>
  <c r="HH163" i="2"/>
  <c r="EY162" i="2"/>
  <c r="EV163" i="2"/>
  <c r="HI163" i="2"/>
  <c r="EB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H164" i="2" l="1"/>
  <c r="HG164" i="2"/>
  <c r="ED163" i="2"/>
  <c r="FS164" i="2"/>
  <c r="EY163" i="2"/>
  <c r="EV164" i="2"/>
  <c r="EA164" i="2"/>
  <c r="DI163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X165" i="2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HI167" i="2"/>
  <c r="EX167" i="2"/>
  <c r="DG167" i="2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DG168" i="2"/>
  <c r="HH168" i="2"/>
  <c r="EV168" i="2"/>
  <c r="EB168" i="2"/>
  <c r="EC168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B169" i="2"/>
  <c r="EA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HI172" i="2"/>
  <c r="EY171" i="2"/>
  <c r="EB172" i="2"/>
  <c r="EV172" i="2"/>
  <c r="EA172" i="2"/>
  <c r="EW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X173" i="2"/>
  <c r="EB173" i="2"/>
  <c r="ED172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G174" i="2" l="1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HI175" i="2"/>
  <c r="FS175" i="2"/>
  <c r="EW175" i="2"/>
  <c r="EA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FQ177" i="2"/>
  <c r="EW177" i="2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HG178" i="2"/>
  <c r="EW178" i="2"/>
  <c r="EA178" i="2"/>
  <c r="ED177" i="2"/>
  <c r="HH178" i="2"/>
  <c r="FQ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HG179" i="2"/>
  <c r="HI179" i="2"/>
  <c r="EV179" i="2"/>
  <c r="EA179" i="2"/>
  <c r="HH179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HG180" i="2"/>
  <c r="ED179" i="2"/>
  <c r="HI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W181" i="2"/>
  <c r="ED180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B183" i="2"/>
  <c r="ED182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HI185" i="2"/>
  <c r="EY184" i="2"/>
  <c r="EV185" i="2"/>
  <c r="EB185" i="2"/>
  <c r="EA185" i="2"/>
  <c r="HH185" i="2"/>
  <c r="HG185" i="2"/>
  <c r="EW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HH186" i="2"/>
  <c r="HG186" i="2"/>
  <c r="FS186" i="2"/>
  <c r="EB186" i="2"/>
  <c r="FR186" i="2"/>
  <c r="EW186" i="2"/>
  <c r="EA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HG187" i="2"/>
  <c r="EB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HH189" i="2" l="1"/>
  <c r="EY188" i="2"/>
  <c r="EB189" i="2"/>
  <c r="EV189" i="2"/>
  <c r="AA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HJ189" i="2"/>
  <c r="EY189" i="2"/>
  <c r="EW190" i="2"/>
  <c r="EV190" i="2"/>
  <c r="EB190" i="2"/>
  <c r="HH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I191" i="2"/>
  <c r="HG191" i="2"/>
  <c r="HH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HG192" i="2"/>
  <c r="EW192" i="2"/>
  <c r="EB192" i="2"/>
  <c r="EC192" i="2"/>
  <c r="EV192" i="2"/>
  <c r="HH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Y192" i="2"/>
  <c r="EX193" i="2"/>
  <c r="EB193" i="2"/>
  <c r="DI192" i="2"/>
  <c r="FQ193" i="2"/>
  <c r="EA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FQ194" i="2"/>
  <c r="EB194" i="2"/>
  <c r="EA194" i="2"/>
  <c r="CN193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FQ195" i="2"/>
  <c r="HG195" i="2"/>
  <c r="EY194" i="2"/>
  <c r="EB195" i="2"/>
  <c r="EA195" i="2"/>
  <c r="DH195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EW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C197" i="2"/>
  <c r="EW197" i="2"/>
  <c r="EA197" i="2"/>
  <c r="HH197" i="2"/>
  <c r="AA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HG199" i="2"/>
  <c r="FS199" i="2"/>
  <c r="EY198" i="2"/>
  <c r="EA199" i="2"/>
  <c r="EW199" i="2"/>
  <c r="EB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Y200" i="2" l="1"/>
  <c r="HJ200" i="2"/>
  <c r="DI200" i="2"/>
  <c r="ED200" i="2"/>
  <c r="FS201" i="2"/>
  <c r="EB201" i="2"/>
  <c r="HG201" i="2"/>
  <c r="HH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FZ6" i="2" l="1"/>
  <c r="FS202" i="2"/>
  <c r="HI202" i="2"/>
  <c r="ED201" i="2"/>
  <c r="EX202" i="2"/>
  <c r="EY201" i="2"/>
  <c r="EW202" i="2"/>
  <c r="HH202" i="2"/>
  <c r="FR202" i="2"/>
  <c r="HG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79" i="2" a="1"/>
  <c r="FY79" i="2" s="1"/>
  <c r="FY109" i="2" a="1"/>
  <c r="FY109" i="2" s="1"/>
  <c r="FY54" i="2" a="1"/>
  <c r="FY54" i="2" s="1"/>
  <c r="FY57" i="2" a="1"/>
  <c r="FY57" i="2" s="1"/>
  <c r="FY90" i="2" a="1"/>
  <c r="FY90" i="2" s="1"/>
  <c r="FY22" i="2" a="1"/>
  <c r="FY22" i="2" s="1"/>
  <c r="FY35" i="2" a="1"/>
  <c r="FY35" i="2" s="1"/>
  <c r="FY29" i="2" a="1"/>
  <c r="FY29" i="2" s="1"/>
  <c r="FY133" i="2" a="1"/>
  <c r="FY133" i="2" s="1"/>
  <c r="FY18" i="2" a="1"/>
  <c r="FY18" i="2" s="1"/>
  <c r="FY71" i="2" a="1"/>
  <c r="FY71" i="2" s="1"/>
  <c r="FY120" i="2" a="1"/>
  <c r="FY120" i="2" s="1"/>
  <c r="FY102" i="2" a="1"/>
  <c r="FY102" i="2" s="1"/>
  <c r="FY153" i="2" a="1"/>
  <c r="FY153" i="2" s="1"/>
  <c r="FY110" i="2" a="1"/>
  <c r="FY110" i="2" s="1"/>
  <c r="FY143" i="2" a="1"/>
  <c r="FY143" i="2" s="1"/>
  <c r="FY159" i="2" a="1"/>
  <c r="FY159" i="2" s="1"/>
  <c r="FY173" i="2" a="1"/>
  <c r="FY173" i="2" s="1"/>
  <c r="FY186" i="2" a="1"/>
  <c r="FY186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51" i="2" a="1"/>
  <c r="GT51" i="2" s="1"/>
  <c r="GT122" i="2" a="1"/>
  <c r="GT122" i="2" s="1"/>
  <c r="GT33" i="2" a="1"/>
  <c r="GT33" i="2" s="1"/>
  <c r="GT152" i="2" a="1"/>
  <c r="GT152" i="2" s="1"/>
  <c r="GT11" i="2" a="1"/>
  <c r="GT11" i="2" s="1"/>
  <c r="EI166" i="2" a="1"/>
  <c r="EI166" i="2" s="1"/>
  <c r="EI153" i="2" a="1"/>
  <c r="EI153" i="2" s="1"/>
  <c r="EI150" i="2" a="1"/>
  <c r="EI150" i="2" s="1"/>
  <c r="EI162" i="2" a="1"/>
  <c r="EI162" i="2" s="1"/>
  <c r="EI178" i="2" a="1"/>
  <c r="EI178" i="2" s="1"/>
  <c r="EI142" i="2" a="1"/>
  <c r="EI142" i="2" s="1"/>
  <c r="DN186" i="2" a="1"/>
  <c r="DN186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44" i="2" a="1"/>
  <c r="FD44" i="2" s="1"/>
  <c r="FD48" i="2" a="1"/>
  <c r="FD48" i="2" s="1"/>
  <c r="FD64" i="2" a="1"/>
  <c r="FD64" i="2" s="1"/>
  <c r="FD43" i="2" a="1"/>
  <c r="FD43" i="2" s="1"/>
  <c r="FD131" i="2" a="1"/>
  <c r="FD131" i="2" s="1"/>
  <c r="FD167" i="2" a="1"/>
  <c r="FD167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5" i="2" a="1"/>
  <c r="GT15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AX200" i="2"/>
  <c r="HJ202" i="2" l="1"/>
  <c r="FY191" i="2" a="1"/>
  <c r="FY191" i="2" s="1"/>
  <c r="FY140" i="2" a="1"/>
  <c r="FY140" i="2" s="1"/>
  <c r="FY50" i="2" a="1"/>
  <c r="FY50" i="2" s="1"/>
  <c r="FY165" i="2" a="1"/>
  <c r="FY165" i="2" s="1"/>
  <c r="FY47" i="2" a="1"/>
  <c r="FY47" i="2" s="1"/>
  <c r="FY69" i="2" a="1"/>
  <c r="FY69" i="2" s="1"/>
  <c r="FY146" i="2" a="1"/>
  <c r="FY146" i="2" s="1"/>
  <c r="FY152" i="2" a="1"/>
  <c r="FY152" i="2" s="1"/>
  <c r="FY66" i="2" a="1"/>
  <c r="FY66" i="2" s="1"/>
  <c r="FY32" i="2" a="1"/>
  <c r="FY32" i="2" s="1"/>
  <c r="EI38" i="2" a="1"/>
  <c r="EI38" i="2" s="1"/>
  <c r="EI145" i="2" a="1"/>
  <c r="EI145" i="2" s="1"/>
  <c r="DN168" i="2" a="1"/>
  <c r="DN168" i="2" s="1"/>
  <c r="DN129" i="2" a="1"/>
  <c r="DN129" i="2" s="1"/>
  <c r="FD160" i="2" a="1"/>
  <c r="FD160" i="2" s="1"/>
  <c r="FD59" i="2" a="1"/>
  <c r="FD59" i="2" s="1"/>
  <c r="EI20" i="2" a="1"/>
  <c r="EI20" i="2" s="1"/>
  <c r="GT138" i="2" a="1"/>
  <c r="GT138" i="2" s="1"/>
  <c r="GT198" i="2" a="1"/>
  <c r="GT198" i="2" s="1"/>
  <c r="FD137" i="2" a="1"/>
  <c r="FD137" i="2" s="1"/>
  <c r="DN177" i="2" a="1"/>
  <c r="DN177" i="2" s="1"/>
  <c r="DN137" i="2" a="1"/>
  <c r="DN137" i="2" s="1"/>
  <c r="GT102" i="2" a="1"/>
  <c r="GT102" i="2" s="1"/>
  <c r="FD144" i="2" a="1"/>
  <c r="FD144" i="2" s="1"/>
  <c r="GT107" i="2" a="1"/>
  <c r="GT107" i="2" s="1"/>
  <c r="GT21" i="2" a="1"/>
  <c r="GT21" i="2" s="1"/>
  <c r="FD107" i="2" a="1"/>
  <c r="FD107" i="2" s="1"/>
  <c r="AH199" i="2" a="1"/>
  <c r="AH199" i="2" s="1"/>
  <c r="DN170" i="2" a="1"/>
  <c r="DN170" i="2" s="1"/>
  <c r="DN124" i="2" a="1"/>
  <c r="DN124" i="2" s="1"/>
  <c r="GT147" i="2" a="1"/>
  <c r="GT147" i="2" s="1"/>
  <c r="FD194" i="2" a="1"/>
  <c r="FD194" i="2" s="1"/>
  <c r="FD189" i="2" a="1"/>
  <c r="FD189" i="2" s="1"/>
  <c r="DN103" i="2" a="1"/>
  <c r="DN103" i="2" s="1"/>
  <c r="DN115" i="2" a="1"/>
  <c r="DN115" i="2" s="1"/>
  <c r="DN41" i="2" a="1"/>
  <c r="DN41" i="2" s="1"/>
  <c r="EI29" i="2" a="1"/>
  <c r="EI29" i="2" s="1"/>
  <c r="GT133" i="2" a="1"/>
  <c r="GT133" i="2" s="1"/>
  <c r="FD21" i="2" a="1"/>
  <c r="FD21" i="2" s="1"/>
  <c r="FD19" i="2" a="1"/>
  <c r="FD19" i="2" s="1"/>
  <c r="FD14" i="2" a="1"/>
  <c r="FD14" i="2" s="1"/>
  <c r="CS137" i="2" a="1"/>
  <c r="CS137" i="2" s="1"/>
  <c r="DN153" i="2" a="1"/>
  <c r="DN153" i="2" s="1"/>
  <c r="DN43" i="2" a="1"/>
  <c r="DN43" i="2" s="1"/>
  <c r="EI106" i="2" a="1"/>
  <c r="EI106" i="2" s="1"/>
  <c r="GT121" i="2" a="1"/>
  <c r="GT121" i="2" s="1"/>
  <c r="FD159" i="2" a="1"/>
  <c r="FD159" i="2" s="1"/>
  <c r="FD188" i="2" a="1"/>
  <c r="FD188" i="2" s="1"/>
  <c r="EI198" i="2" a="1"/>
  <c r="EI198" i="2" s="1"/>
  <c r="GT68" i="2" a="1"/>
  <c r="GT68" i="2" s="1"/>
  <c r="EY202" i="2"/>
  <c r="CS72" i="2" a="1"/>
  <c r="CS72" i="2" s="1"/>
  <c r="CS24" i="2" a="1"/>
  <c r="CS24" i="2" s="1"/>
  <c r="CS114" i="2" a="1"/>
  <c r="CS114" i="2" s="1"/>
  <c r="CS38" i="2" a="1"/>
  <c r="CS38" i="2" s="1"/>
  <c r="CS116" i="2" a="1"/>
  <c r="CS116" i="2" s="1"/>
  <c r="CS105" i="2" a="1"/>
  <c r="CS105" i="2" s="1"/>
  <c r="CS129" i="2" a="1"/>
  <c r="CS129" i="2" s="1"/>
  <c r="CS52" i="2" a="1"/>
  <c r="CS52" i="2" s="1"/>
  <c r="CS56" i="2" a="1"/>
  <c r="CS56" i="2" s="1"/>
  <c r="CS161" i="2" a="1"/>
  <c r="CS161" i="2" s="1"/>
  <c r="CS134" i="2" a="1"/>
  <c r="CS134" i="2" s="1"/>
  <c r="CS77" i="2" a="1"/>
  <c r="CS77" i="2" s="1"/>
  <c r="CS66" i="2" a="1"/>
  <c r="CS66" i="2" s="1"/>
  <c r="CS185" i="2" a="1"/>
  <c r="CS185" i="2" s="1"/>
  <c r="CS120" i="2" a="1"/>
  <c r="CS120" i="2" s="1"/>
  <c r="AH163" i="2" a="1"/>
  <c r="AH163" i="2" s="1"/>
  <c r="AH62" i="2" a="1"/>
  <c r="AH62" i="2" s="1"/>
  <c r="AH166" i="2" a="1"/>
  <c r="AH166" i="2" s="1"/>
  <c r="AH19" i="2" a="1"/>
  <c r="AH19" i="2" s="1"/>
  <c r="AH92" i="2" a="1"/>
  <c r="AH92" i="2" s="1"/>
  <c r="AH90" i="2" a="1"/>
  <c r="AH90" i="2" s="1"/>
  <c r="AH151" i="2" a="1"/>
  <c r="AH151" i="2" s="1"/>
  <c r="BP203" i="2"/>
  <c r="HG203" i="2"/>
  <c r="FR203" i="2"/>
  <c r="DN56" i="2" a="1"/>
  <c r="DN56" i="2" s="1"/>
  <c r="DN155" i="2" a="1"/>
  <c r="DN155" i="2" s="1"/>
  <c r="FS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FZ9" i="2"/>
  <c r="FZ10" i="2" s="1"/>
  <c r="CN203" i="2"/>
  <c r="DI203" i="2"/>
  <c r="ED203" i="2"/>
  <c r="EY203" i="2"/>
  <c r="FZ11" i="2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GE11" i="2" l="1"/>
  <c r="GE62" i="2"/>
  <c r="GE153" i="2"/>
  <c r="GE130" i="2"/>
  <c r="GE157" i="2"/>
  <c r="GE169" i="2"/>
  <c r="GE98" i="2"/>
  <c r="GE184" i="2"/>
  <c r="GE47" i="2"/>
  <c r="GE145" i="2"/>
  <c r="GE54" i="2"/>
  <c r="GE166" i="2"/>
  <c r="GE160" i="2"/>
  <c r="GE118" i="2"/>
  <c r="GE27" i="2"/>
  <c r="GE100" i="2"/>
  <c r="GE77" i="2"/>
  <c r="GE106" i="2"/>
  <c r="GE190" i="2"/>
  <c r="GE176" i="2"/>
  <c r="GE119" i="2"/>
  <c r="GE90" i="2"/>
  <c r="GE57" i="2"/>
  <c r="GE126" i="2"/>
  <c r="GE44" i="2"/>
  <c r="GE71" i="2"/>
  <c r="GE17" i="2"/>
  <c r="GE111" i="2"/>
  <c r="GE76" i="2"/>
  <c r="GE70" i="2"/>
  <c r="GE96" i="2"/>
  <c r="GE151" i="2"/>
  <c r="GE110" i="2"/>
  <c r="GE185" i="2"/>
  <c r="GE69" i="2"/>
  <c r="GE139" i="2"/>
  <c r="GE32" i="2"/>
  <c r="GE59" i="2"/>
  <c r="GE177" i="2"/>
  <c r="GE46" i="2"/>
  <c r="GE101" i="2"/>
  <c r="GE196" i="2"/>
  <c r="GE82" i="2"/>
  <c r="GE133" i="2"/>
  <c r="GE199" i="2"/>
  <c r="GE114" i="2"/>
  <c r="GE127" i="2"/>
  <c r="GE84" i="2"/>
  <c r="GE39" i="2"/>
  <c r="GE192" i="2"/>
  <c r="GE20" i="2"/>
  <c r="GE29" i="2"/>
  <c r="GE131" i="2"/>
  <c r="GE10" i="2"/>
  <c r="GE75" i="2"/>
  <c r="GE115" i="2"/>
  <c r="GE122" i="2"/>
  <c r="GE123" i="2"/>
  <c r="GE113" i="2"/>
  <c r="GE195" i="2"/>
  <c r="GE97" i="2"/>
  <c r="GE3" i="2"/>
  <c r="C14" i="4" s="1"/>
  <c r="E14" i="4" s="1"/>
  <c r="F14" i="4" s="1"/>
  <c r="G14" i="4" s="1"/>
  <c r="L14" i="4" s="1"/>
  <c r="GE91" i="2"/>
  <c r="GE6" i="2"/>
  <c r="GE9" i="2"/>
  <c r="GE83" i="2"/>
  <c r="GE107" i="2"/>
  <c r="GE42" i="2"/>
  <c r="GE40" i="2"/>
  <c r="GE125" i="2"/>
  <c r="GE128" i="2"/>
  <c r="GE34" i="2"/>
  <c r="GE138" i="2"/>
  <c r="GE200" i="2"/>
  <c r="GE202" i="2"/>
  <c r="GE67" i="2"/>
  <c r="GE50" i="2"/>
  <c r="GE53" i="2"/>
  <c r="GE162" i="2"/>
  <c r="GE163" i="2"/>
  <c r="GE188" i="2"/>
  <c r="GE13" i="2"/>
  <c r="GE48" i="2"/>
  <c r="GE168" i="2"/>
  <c r="GE154" i="2"/>
  <c r="GE86" i="2"/>
  <c r="GE155" i="2"/>
  <c r="GE52" i="2"/>
  <c r="GE33" i="2"/>
  <c r="GE56" i="2"/>
  <c r="GE92" i="2"/>
  <c r="GE134" i="2"/>
  <c r="GE156" i="2"/>
  <c r="GE87" i="2"/>
  <c r="GE121" i="2"/>
  <c r="GE132" i="2"/>
  <c r="GE179" i="2"/>
  <c r="GE15" i="2"/>
  <c r="GE180" i="2"/>
  <c r="GE22" i="2"/>
  <c r="GE80" i="2"/>
  <c r="GE183" i="2"/>
  <c r="GE129" i="2"/>
  <c r="GE165" i="2"/>
  <c r="GE51" i="2"/>
  <c r="GE61" i="2"/>
  <c r="GE197" i="2"/>
  <c r="GE30" i="2"/>
  <c r="GE35" i="2"/>
  <c r="GE21" i="2"/>
  <c r="GE171" i="2"/>
  <c r="GE164" i="2"/>
  <c r="GE60" i="2"/>
  <c r="GE117" i="2"/>
  <c r="GE194" i="2"/>
  <c r="GE68" i="2"/>
  <c r="GE174" i="2"/>
  <c r="GE201" i="2"/>
  <c r="GE36" i="2"/>
  <c r="GE31" i="2"/>
  <c r="GE148" i="2"/>
  <c r="GE74" i="2"/>
  <c r="GE182" i="2"/>
  <c r="GE5" i="2"/>
  <c r="GE81" i="2"/>
  <c r="GE181" i="2"/>
  <c r="GE191" i="2"/>
  <c r="GE186" i="2"/>
  <c r="GE58" i="2"/>
  <c r="GE173" i="2"/>
  <c r="GE102" i="2"/>
  <c r="GE144" i="2"/>
  <c r="GE108" i="2"/>
  <c r="GE193" i="2"/>
  <c r="GE141" i="2"/>
  <c r="GE161" i="2"/>
  <c r="GE158" i="2"/>
  <c r="GE167" i="2"/>
  <c r="GE43" i="2"/>
  <c r="GE99" i="2"/>
  <c r="GE140" i="2"/>
  <c r="GE23" i="2"/>
  <c r="GE18" i="2"/>
  <c r="GE65" i="2"/>
  <c r="GE25" i="2"/>
  <c r="GE73" i="2"/>
  <c r="GE135" i="2"/>
  <c r="GE26" i="2"/>
  <c r="GE7" i="2"/>
  <c r="GE16" i="2"/>
  <c r="GE89" i="2"/>
  <c r="GE159" i="2"/>
  <c r="GE41" i="2"/>
  <c r="GE136" i="2"/>
  <c r="GE55" i="2"/>
  <c r="GE143" i="2"/>
  <c r="GE178" i="2"/>
  <c r="GE95" i="2"/>
  <c r="GE63" i="2"/>
  <c r="GE19" i="2"/>
  <c r="GE124" i="2"/>
  <c r="GE45" i="2"/>
  <c r="GE105" i="2"/>
  <c r="GE49" i="2"/>
  <c r="GE112" i="2"/>
  <c r="GE120" i="2"/>
  <c r="GE66" i="2"/>
  <c r="GE12" i="2"/>
  <c r="GE93" i="2"/>
  <c r="GE146" i="2"/>
  <c r="GE137" i="2"/>
  <c r="GE72" i="2"/>
  <c r="GE170" i="2"/>
  <c r="GE94" i="2"/>
  <c r="GE116" i="2"/>
  <c r="GE149" i="2"/>
  <c r="GE103" i="2"/>
  <c r="GE14" i="2"/>
  <c r="GE150" i="2"/>
  <c r="GE147" i="2"/>
  <c r="GE8" i="2"/>
  <c r="GE203" i="2"/>
  <c r="GE38" i="2"/>
  <c r="GE88" i="2"/>
  <c r="GE78" i="2"/>
  <c r="GE37" i="2"/>
  <c r="GE198" i="2"/>
  <c r="GE172" i="2"/>
  <c r="GE4" i="2"/>
  <c r="GE189" i="2"/>
  <c r="GE24" i="2"/>
  <c r="GE28" i="2"/>
  <c r="GE104" i="2"/>
  <c r="GE152" i="2"/>
  <c r="GE64" i="2"/>
  <c r="GE79" i="2"/>
  <c r="GE142" i="2"/>
  <c r="GE187" i="2"/>
  <c r="GE85" i="2"/>
  <c r="GE175" i="2"/>
  <c r="GE109" i="2"/>
  <c r="FJ133" i="2"/>
  <c r="FJ18" i="2"/>
  <c r="FJ190" i="2"/>
  <c r="FJ169" i="2"/>
  <c r="FJ202" i="2"/>
  <c r="FJ193" i="2"/>
  <c r="FJ100" i="2"/>
  <c r="FJ49" i="2"/>
  <c r="FJ203" i="2"/>
  <c r="FJ89" i="2"/>
  <c r="FJ173" i="2"/>
  <c r="FJ161" i="2"/>
  <c r="FJ56" i="2"/>
  <c r="FJ162" i="2"/>
  <c r="FJ67" i="2"/>
  <c r="FJ104" i="2"/>
  <c r="FJ160" i="2"/>
  <c r="FJ132" i="2"/>
  <c r="FJ26" i="2"/>
  <c r="FJ123" i="2"/>
  <c r="FJ180" i="2"/>
  <c r="FJ134" i="2"/>
  <c r="FJ4" i="2"/>
  <c r="FJ13" i="2"/>
  <c r="FJ38" i="2"/>
  <c r="FJ54" i="2"/>
  <c r="FJ55" i="2"/>
  <c r="FJ165" i="2"/>
  <c r="FJ11" i="2"/>
  <c r="FJ16" i="2"/>
  <c r="FJ39" i="2"/>
  <c r="FJ60" i="2"/>
  <c r="FJ179" i="2"/>
  <c r="FJ125" i="2"/>
  <c r="FJ72" i="2"/>
  <c r="FJ41" i="2"/>
  <c r="FJ63" i="2"/>
  <c r="FJ97" i="2"/>
  <c r="FJ199" i="2"/>
  <c r="FJ114" i="2"/>
  <c r="FJ35" i="2"/>
  <c r="FJ15" i="2"/>
  <c r="FJ136" i="2"/>
  <c r="FJ48" i="2"/>
  <c r="FJ143" i="2"/>
  <c r="FJ30" i="2"/>
  <c r="FJ70" i="2"/>
  <c r="FJ106" i="2"/>
  <c r="FJ120" i="2"/>
  <c r="FJ148" i="2"/>
  <c r="FJ102" i="2"/>
  <c r="FJ128" i="2"/>
  <c r="FJ79" i="2"/>
  <c r="FJ121" i="2"/>
  <c r="FJ151" i="2"/>
  <c r="FJ139" i="2"/>
  <c r="FJ159" i="2"/>
  <c r="FJ64" i="2"/>
  <c r="FJ58" i="2"/>
  <c r="FJ145" i="2"/>
  <c r="FJ34" i="2"/>
  <c r="FJ127" i="2"/>
  <c r="FJ185" i="2"/>
  <c r="FJ196" i="2"/>
  <c r="FJ9" i="2"/>
  <c r="FJ117" i="2"/>
  <c r="FJ80" i="2"/>
  <c r="FJ107" i="2"/>
  <c r="FJ37" i="2"/>
  <c r="FJ157" i="2"/>
  <c r="FJ20" i="2"/>
  <c r="FJ152" i="2"/>
  <c r="FJ40" i="2"/>
  <c r="FJ10" i="2"/>
  <c r="FJ25" i="2"/>
  <c r="FJ90" i="2"/>
  <c r="FJ113" i="2"/>
  <c r="FJ5" i="2"/>
  <c r="FJ168" i="2"/>
  <c r="FJ112" i="2"/>
  <c r="FJ14" i="2"/>
  <c r="FJ138" i="2"/>
  <c r="FJ88" i="2"/>
  <c r="FJ98" i="2"/>
  <c r="FJ45" i="2"/>
  <c r="FJ85" i="2"/>
  <c r="FJ103" i="2"/>
  <c r="FJ78" i="2"/>
  <c r="FJ166" i="2"/>
  <c r="FJ42" i="2"/>
  <c r="FJ170" i="2"/>
  <c r="FJ101" i="2"/>
  <c r="FJ110" i="2"/>
  <c r="FJ105" i="2"/>
  <c r="FJ3" i="2"/>
  <c r="C13" i="4" s="1"/>
  <c r="E13" i="4" s="1"/>
  <c r="F13" i="4" s="1"/>
  <c r="G13" i="4" s="1"/>
  <c r="L13" i="4" s="1"/>
  <c r="FJ197" i="2"/>
  <c r="FJ122" i="2"/>
  <c r="FJ191" i="2"/>
  <c r="FJ93" i="2"/>
  <c r="FJ178" i="2"/>
  <c r="FJ27" i="2"/>
  <c r="FJ76" i="2"/>
  <c r="FJ84" i="2"/>
  <c r="FJ73" i="2"/>
  <c r="FJ200" i="2"/>
  <c r="FJ115" i="2"/>
  <c r="FJ77" i="2"/>
  <c r="FJ135" i="2"/>
  <c r="FJ108" i="2"/>
  <c r="FJ47" i="2"/>
  <c r="FJ46" i="2"/>
  <c r="FJ92" i="2"/>
  <c r="FJ71" i="2"/>
  <c r="FJ23" i="2"/>
  <c r="FJ141" i="2"/>
  <c r="FJ69" i="2"/>
  <c r="FJ28" i="2"/>
  <c r="FJ59" i="2"/>
  <c r="FJ192" i="2"/>
  <c r="FJ181" i="2"/>
  <c r="FJ94" i="2"/>
  <c r="FJ158" i="2"/>
  <c r="FJ183" i="2"/>
  <c r="FJ163" i="2"/>
  <c r="FJ126" i="2"/>
  <c r="FJ12" i="2"/>
  <c r="FJ186" i="2"/>
  <c r="FJ189" i="2"/>
  <c r="FJ50" i="2"/>
  <c r="FJ174" i="2"/>
  <c r="FJ116" i="2"/>
  <c r="FJ95" i="2"/>
  <c r="FJ124" i="2"/>
  <c r="FJ82" i="2"/>
  <c r="FJ131" i="2"/>
  <c r="FJ188" i="2"/>
  <c r="FJ129" i="2"/>
  <c r="FJ32" i="2"/>
  <c r="FJ91" i="2"/>
  <c r="FJ195" i="2"/>
  <c r="FJ17" i="2"/>
  <c r="FJ6" i="2"/>
  <c r="FJ36" i="2"/>
  <c r="FJ142" i="2"/>
  <c r="FJ75" i="2"/>
  <c r="FJ87" i="2"/>
  <c r="FJ66" i="2"/>
  <c r="FJ19" i="2"/>
  <c r="FJ198" i="2"/>
  <c r="FJ33" i="2"/>
  <c r="FJ51" i="2"/>
  <c r="FJ177" i="2"/>
  <c r="FJ140" i="2"/>
  <c r="FJ8" i="2"/>
  <c r="FJ96" i="2"/>
  <c r="FJ111" i="2"/>
  <c r="FJ52" i="2"/>
  <c r="FJ201" i="2"/>
  <c r="FJ155" i="2"/>
  <c r="FJ194" i="2"/>
  <c r="FJ154" i="2"/>
  <c r="FJ146" i="2"/>
  <c r="FJ74" i="2"/>
  <c r="FJ147" i="2"/>
  <c r="FJ153" i="2"/>
  <c r="FJ7" i="2"/>
  <c r="FJ83" i="2"/>
  <c r="FJ86" i="2"/>
  <c r="FJ167" i="2"/>
  <c r="FJ29" i="2"/>
  <c r="FJ164" i="2"/>
  <c r="FJ176" i="2"/>
  <c r="FJ144" i="2"/>
  <c r="FJ81" i="2"/>
  <c r="FJ61" i="2"/>
  <c r="FJ172" i="2"/>
  <c r="FJ149" i="2"/>
  <c r="FJ156" i="2"/>
  <c r="FJ31" i="2"/>
  <c r="FJ182" i="2"/>
  <c r="FJ109" i="2"/>
  <c r="FJ53" i="2"/>
  <c r="FJ150" i="2"/>
  <c r="FJ130" i="2"/>
  <c r="FJ68" i="2"/>
  <c r="FJ99" i="2"/>
  <c r="FJ175" i="2"/>
  <c r="FJ21" i="2"/>
  <c r="FJ184" i="2"/>
  <c r="FJ57" i="2"/>
  <c r="FJ171" i="2"/>
  <c r="FJ118" i="2"/>
  <c r="FJ137" i="2"/>
  <c r="FJ44" i="2"/>
  <c r="FJ43" i="2"/>
  <c r="FJ24" i="2"/>
  <c r="FJ22" i="2"/>
  <c r="FJ187" i="2"/>
  <c r="FJ62" i="2"/>
  <c r="FJ119" i="2"/>
  <c r="FJ65" i="2"/>
  <c r="EO198" i="2"/>
  <c r="EO181" i="2"/>
  <c r="EO39" i="2"/>
  <c r="EO161" i="2"/>
  <c r="EO94" i="2"/>
  <c r="EO56" i="2"/>
  <c r="EO97" i="2"/>
  <c r="EO14" i="2"/>
  <c r="EO98" i="2"/>
  <c r="EO193" i="2"/>
  <c r="EO92" i="2"/>
  <c r="EO186" i="2"/>
  <c r="EO12" i="2"/>
  <c r="EO20" i="2"/>
  <c r="EO75" i="2"/>
  <c r="EO76" i="2"/>
  <c r="EO62" i="2"/>
  <c r="EO44" i="2"/>
  <c r="EO49" i="2"/>
  <c r="EO118" i="2"/>
  <c r="EO79" i="2"/>
  <c r="EO160" i="2"/>
  <c r="EO22" i="2"/>
  <c r="EO53" i="2"/>
  <c r="EO154" i="2"/>
  <c r="EO140" i="2"/>
  <c r="EO171" i="2"/>
  <c r="EO138" i="2"/>
  <c r="EO65" i="2"/>
  <c r="EO179" i="2"/>
  <c r="EO137" i="2"/>
  <c r="EO173" i="2"/>
  <c r="EO164" i="2"/>
  <c r="EO189" i="2"/>
  <c r="EO107" i="2"/>
  <c r="EO61" i="2"/>
  <c r="EO165" i="2"/>
  <c r="EO70" i="2"/>
  <c r="EO114" i="2"/>
  <c r="EO15" i="2"/>
  <c r="EO68" i="2"/>
  <c r="EO157" i="2"/>
  <c r="EO25" i="2"/>
  <c r="EO162" i="2"/>
  <c r="EO196" i="2"/>
  <c r="EO185" i="2"/>
  <c r="EO87" i="2"/>
  <c r="EO141" i="2"/>
  <c r="EO55" i="2"/>
  <c r="EO188" i="2"/>
  <c r="EO131" i="2"/>
  <c r="EO42" i="2"/>
  <c r="EO90" i="2"/>
  <c r="EO111" i="2"/>
  <c r="EO146" i="2"/>
  <c r="EO182" i="2"/>
  <c r="EO52" i="2"/>
  <c r="EO67" i="2"/>
  <c r="EO159" i="2"/>
  <c r="EO82" i="2"/>
  <c r="EO26" i="2"/>
  <c r="EO136" i="2"/>
  <c r="EO30" i="2"/>
  <c r="EO7" i="2"/>
  <c r="EO102" i="2"/>
  <c r="EO78" i="2"/>
  <c r="EO122" i="2"/>
  <c r="EO106" i="2"/>
  <c r="EO89" i="2"/>
  <c r="EO176" i="2"/>
  <c r="EO168" i="2"/>
  <c r="EO115" i="2"/>
  <c r="EO109" i="2"/>
  <c r="EO177" i="2"/>
  <c r="EO129" i="2"/>
  <c r="EO96" i="2"/>
  <c r="EO80" i="2"/>
  <c r="EO124" i="2"/>
  <c r="EO199" i="2"/>
  <c r="EO178" i="2"/>
  <c r="EO91" i="2"/>
  <c r="EO100" i="2"/>
  <c r="EO104" i="2"/>
  <c r="EO4" i="2"/>
  <c r="EO113" i="2"/>
  <c r="EO28" i="2"/>
  <c r="EO158" i="2"/>
  <c r="EO3" i="2"/>
  <c r="C12" i="4" s="1"/>
  <c r="E12" i="4" s="1"/>
  <c r="F12" i="4" s="1"/>
  <c r="G12" i="4" s="1"/>
  <c r="L12" i="4" s="1"/>
  <c r="EO8" i="2"/>
  <c r="EO73" i="2"/>
  <c r="EO148" i="2"/>
  <c r="EO6" i="2"/>
  <c r="EO116" i="2"/>
  <c r="EO13" i="2"/>
  <c r="EO51" i="2"/>
  <c r="EO47" i="2"/>
  <c r="EO169" i="2"/>
  <c r="EO172" i="2"/>
  <c r="EO191" i="2"/>
  <c r="EO142" i="2"/>
  <c r="EO9" i="2"/>
  <c r="EO152" i="2"/>
  <c r="EO99" i="2"/>
  <c r="EO50" i="2"/>
  <c r="EO166" i="2"/>
  <c r="EO95" i="2"/>
  <c r="EO117" i="2"/>
  <c r="EO23" i="2"/>
  <c r="EO72" i="2"/>
  <c r="EO41" i="2"/>
  <c r="EO200" i="2"/>
  <c r="EO149" i="2"/>
  <c r="EO33" i="2"/>
  <c r="EO135" i="2"/>
  <c r="EO105" i="2"/>
  <c r="EO156" i="2"/>
  <c r="EO134" i="2"/>
  <c r="EO32" i="2"/>
  <c r="EO127" i="2"/>
  <c r="EO101" i="2"/>
  <c r="EO36" i="2"/>
  <c r="EO46" i="2"/>
  <c r="EO83" i="2"/>
  <c r="EO201" i="2"/>
  <c r="EO167" i="2"/>
  <c r="EO144" i="2"/>
  <c r="EO40" i="2"/>
  <c r="EO163" i="2"/>
  <c r="EO29" i="2"/>
  <c r="EO27" i="2"/>
  <c r="EO31" i="2"/>
  <c r="EO60" i="2"/>
  <c r="EO19" i="2"/>
  <c r="EO195" i="2"/>
  <c r="EO126" i="2"/>
  <c r="EO103" i="2"/>
  <c r="EO187" i="2"/>
  <c r="EO74" i="2"/>
  <c r="EO202" i="2"/>
  <c r="EO18" i="2"/>
  <c r="EO132" i="2"/>
  <c r="EO69" i="2"/>
  <c r="EO16" i="2"/>
  <c r="EO192" i="2"/>
  <c r="EO93" i="2"/>
  <c r="EO64" i="2"/>
  <c r="EO59" i="2"/>
  <c r="EO5" i="2"/>
  <c r="EO120" i="2"/>
  <c r="EO119" i="2"/>
  <c r="EO203" i="2"/>
  <c r="EO174" i="2"/>
  <c r="EO121" i="2"/>
  <c r="EO110" i="2"/>
  <c r="EO184" i="2"/>
  <c r="EO133" i="2"/>
  <c r="EO10" i="2"/>
  <c r="EO175" i="2"/>
  <c r="EO139" i="2"/>
  <c r="EO77" i="2"/>
  <c r="EO145" i="2"/>
  <c r="EO34" i="2"/>
  <c r="EO85" i="2"/>
  <c r="EO58" i="2"/>
  <c r="EO84" i="2"/>
  <c r="EO66" i="2"/>
  <c r="EO170" i="2"/>
  <c r="EO45" i="2"/>
  <c r="EO57" i="2"/>
  <c r="EO54" i="2"/>
  <c r="EO37" i="2"/>
  <c r="EO123" i="2"/>
  <c r="EO38" i="2"/>
  <c r="EO81" i="2"/>
  <c r="EO108" i="2"/>
  <c r="EO150" i="2"/>
  <c r="EO63" i="2"/>
  <c r="EO112" i="2"/>
  <c r="EO197" i="2"/>
  <c r="EO151" i="2"/>
  <c r="EO21" i="2"/>
  <c r="EO43" i="2"/>
  <c r="EO48" i="2"/>
  <c r="EO88" i="2"/>
  <c r="EO128" i="2"/>
  <c r="EO194" i="2"/>
  <c r="EO24" i="2"/>
  <c r="EO35" i="2"/>
  <c r="EO147" i="2"/>
  <c r="EO155" i="2"/>
  <c r="EO130" i="2"/>
  <c r="EO180" i="2"/>
  <c r="EO17" i="2"/>
  <c r="EO153" i="2"/>
  <c r="EO71" i="2"/>
  <c r="EO11" i="2"/>
  <c r="EO125" i="2"/>
  <c r="EO190" i="2"/>
  <c r="EO143" i="2"/>
  <c r="EO183" i="2"/>
  <c r="EO86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<sst xmlns="http://schemas.openxmlformats.org/spreadsheetml/2006/main" count="1188" uniqueCount="331">
  <si>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</si>
  <si>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</si>
  <si>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</si>
  <si>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</si>
  <si>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</si>
  <si>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</si>
  <si>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</si>
  <si>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</si>
  <si>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</si>
  <si>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</si>
  <si>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</si>
  <si>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</si>
  <si>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</si>
  <si>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</si>
  <si>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</si>
  <si>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</si>
  <si>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</si>
  <si>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</si>
  <si>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</si>
  <si>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</si>
  <si>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</si>
  <si>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</si>
  <si>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</si>
  <si>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</si>
  <si>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</si>
  <si>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</si>
  <si>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</si>
  <si>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</si>
  <si>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</si>
  <si>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</si>
  <si>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</si>
  <si>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</si>
  <si>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</si>
  <si>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</si>
  <si>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</si>
  <si>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</si>
  <si>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</si>
  <si>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</si>
  <si>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</si>
  <si>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</si>
  <si>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</si>
  <si>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</si>
  <si>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</si>
  <si>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</si>
  <si>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</si>
  <si>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</si>
  <si>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</si>
  <si>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</si>
  <si>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</si>
  <si>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</si>
  <si>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</si>
  <si>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</si>
  <si>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</si>
  <si>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</si>
  <si>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</si>
  <si>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</si>
  <si>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</si>
  <si>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</si>
  <si>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</si>
  <si>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</si>
  <si>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</si>
  <si>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</si>
  <si>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</si>
  <si>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</si>
  <si>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</si>
  <si>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</si>
  <si>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</si>
  <si>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</si>
  <si>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</si>
  <si>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</si>
  <si>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</si>
  <si>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</si>
  <si>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</si>
  <si>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</si>
  <si>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</si>
  <si>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</si>
  <si>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</si>
  <si>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</si>
  <si>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</si>
  <si>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</si>
  <si>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</si>
  <si>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</si>
  <si>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</si>
  <si>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</si>
  <si>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</si>
  <si>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</si>
  <si>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</si>
  <si>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</si>
  <si>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</si>
  <si>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</si>
  <si>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</si>
  <si>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</si>
  <si>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</si>
  <si>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</si>
  <si>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</si>
  <si>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</si>
  <si>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</si>
  <si>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</si>
  <si>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</si>
  <si>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</si>
  <si>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</si>
  <si>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</si>
  <si>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</si>
  <si>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</si>
  <si>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</si>
  <si>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</si>
  <si>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</si>
  <si>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</si>
  <si>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</si>
  <si>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</si>
  <si>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</si>
  <si>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</si>
  <si>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</si>
  <si>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</si>
  <si>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</si>
  <si>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</si>
  <si>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</si>
  <si>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</si>
  <si>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</si>
  <si>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</si>
  <si>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</si>
  <si>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</si>
  <si>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</si>
  <si>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</si>
  <si>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</si>
  <si>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</si>
  <si>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</si>
  <si>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</si>
  <si>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</si>
  <si>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</si>
  <si>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</si>
  <si>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</si>
  <si>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</si>
  <si>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</si>
  <si>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</si>
  <si>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</si>
  <si>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</si>
  <si>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</si>
  <si>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</si>
  <si>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</si>
  <si>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</si>
  <si>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</si>
  <si>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</si>
  <si>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</si>
  <si>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</si>
  <si>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</si>
  <si>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</si>
  <si>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</si>
  <si>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</si>
  <si>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</si>
  <si>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</si>
  <si>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</si>
  <si>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</si>
  <si>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</si>
  <si>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</si>
  <si>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</si>
  <si>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</si>
  <si>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</si>
  <si>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</si>
  <si>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</si>
  <si>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</si>
  <si>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</si>
  <si>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</si>
  <si>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</si>
  <si>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</si>
  <si>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</si>
  <si>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</si>
  <si>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</si>
  <si>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</si>
  <si>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</si>
  <si>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</si>
  <si>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</si>
  <si>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</si>
  <si>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</si>
  <si>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</si>
  <si>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</si>
  <si>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</si>
  <si>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</si>
  <si>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</si>
  <si>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</si>
  <si>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</si>
  <si>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</si>
  <si>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</si>
  <si>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</si>
  <si>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</si>
  <si>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</si>
  <si>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</si>
  <si>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</si>
  <si>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</si>
  <si>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</si>
  <si>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</si>
  <si>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</si>
  <si>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</si>
  <si>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</si>
  <si>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</si>
  <si>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</si>
  <si>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</si>
  <si>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</si>
  <si>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</si>
  <si>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</si>
  <si>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</si>
  <si>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</si>
  <si>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</si>
  <si>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</si>
  <si>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</si>
  <si>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</si>
  <si>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</si>
  <si>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</si>
  <si>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</si>
  <si>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</si>
  <si>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</si>
  <si>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</si>
  <si>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</si>
  <si>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</si>
  <si>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</si>
  <si>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</si>
  <si>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</si>
  <si>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</si>
  <si>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</si>
  <si>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</si>
  <si>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</si>
  <si>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</si>
  <si>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</si>
  <si>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</si>
  <si>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</si>
  <si>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</si>
  <si>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</si>
  <si>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</si>
  <si>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</si>
  <si>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</si>
  <si>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</si>
  <si>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</si>
  <si>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</si>
  <si>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</si>
  <si>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</si>
  <si>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</si>
  <si>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</si>
  <si>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</si>
  <si>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</si>
  <si>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</si>
  <si>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</si>
  <si>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</si>
  <si>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</si>
  <si>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</si>
  <si>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</si>
  <si>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</si>
  <si>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</si>
  <si>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</si>
  <si>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</si>
  <si>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</si>
  <si>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</si>
  <si>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</si>
  <si>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</si>
  <si>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</si>
  <si>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</si>
  <si>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</si>
  <si>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</si>
  <si>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</si>
  <si>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</si>
  <si>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</si>
  <si>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</si>
  <si>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</si>
  <si>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</si>
  <si>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</si>
  <si>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</si>
  <si>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</si>
  <si>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</si>
  <si>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</si>
  <si>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</si>
  <si>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</si>
  <si>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</si>
  <si>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</si>
  <si>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</si>
  <si>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</si>
  <si>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</si>
  <si>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</si>
  <si>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</si>
  <si>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</si>
  <si>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</si>
  <si>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</si>
  <si>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</si>
  <si>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</si>
  <si>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</si>
  <si>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</si>
  <si>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</si>
  <si>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</si>
  <si>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</si>
  <si>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</si>
  <si>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</si>
  <si>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</si>
  <si>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</si>
  <si>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</si>
  <si>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</si>
  <si>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</si>
  <si>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</si>
  <si>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</si>
  <si>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</si>
  <si>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</si>
  <si>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</si>
  <si>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</si>
  <si>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</si>
  <si>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</si>
  <si>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</si>
  <si>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</si>
  <si>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</si>
  <si>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</si>
  <si>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</si>
  <si>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</si>
  <si>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</si>
  <si>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</si>
  <si>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</si>
  <si>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</si>
  <si>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</si>
  <si>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</si>
  <si>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</si>
  <si>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</si>
  <si>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</si>
  <si>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</si>
  <si>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</si>
  <si>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</si>
  <si>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</si>
  <si>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</si>
  <si>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</si>
  <si>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</si>
  <si>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Hêtre Nord-Atlantique ONF Classe Forte 1(1/2/3)</t>
  </si>
  <si>
    <t>SAB Britannique ONF Classe  Forte 10(4/6/8/10/12)</t>
  </si>
  <si>
    <t>SAB Britannique ONF Classe Très forte équivalent Forte 10(4/6/8/10/12)</t>
  </si>
  <si>
    <t>SAB Britannique ONF Classe Moyenne équivalent Forte 10(4/6/8/10/12)</t>
  </si>
  <si>
    <t>SAB Britannique ONF Classe Forte 10(4/6/8/10/12)</t>
  </si>
  <si>
    <t>Chêne Loire ONF Classe Moyenne 2(1/2/3)</t>
  </si>
  <si>
    <t>Equivalent Chêne Loire ONF Classe Moyenne 2(1/2/3)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</si>
</sst>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7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2.7150410078097078</c:v>
                </c:pt>
                <c:pt idx="2">
                  <c:v>3.3581614560090665</c:v>
                </c:pt>
                <c:pt idx="3">
                  <c:v>4.1542037823091933</c:v>
                </c:pt>
                <c:pt idx="4">
                  <c:v>5.1396608195498485</c:v>
                </c:pt>
                <c:pt idx="5">
                  <c:v>6.3597631798100691</c:v>
                </c:pt>
                <c:pt idx="6">
                  <c:v>7.8705779187987526</c:v>
                </c:pt>
                <c:pt idx="7">
                  <c:v>9.7416127063460056</c:v>
                </c:pt>
                <c:pt idx="8">
                  <c:v>12.059047583496145</c:v>
                </c:pt>
                <c:pt idx="9">
                  <c:v>14.929745939674447</c:v>
                </c:pt>
                <c:pt idx="10">
                  <c:v>18.486233065955503</c:v>
                </c:pt>
                <c:pt idx="11">
                  <c:v>22.892876275344069</c:v>
                </c:pt>
                <c:pt idx="12">
                  <c:v>28.353557295291441</c:v>
                </c:pt>
                <c:pt idx="13">
                  <c:v>35.121198126365712</c:v>
                </c:pt>
                <c:pt idx="14">
                  <c:v>43.509589175651236</c:v>
                </c:pt>
                <c:pt idx="15">
                  <c:v>53.908077382497048</c:v>
                </c:pt>
                <c:pt idx="16">
                  <c:v>66.799807442317956</c:v>
                </c:pt>
                <c:pt idx="17">
                  <c:v>82.784377550258853</c:v>
                </c:pt>
                <c:pt idx="18">
                  <c:v>102.60598035272905</c:v>
                </c:pt>
                <c:pt idx="19">
                  <c:v>136.40413338132439</c:v>
                </c:pt>
                <c:pt idx="20">
                  <c:v>173.72181380960993</c:v>
                </c:pt>
                <c:pt idx="21">
                  <c:v>210.85019924163907</c:v>
                </c:pt>
                <c:pt idx="22">
                  <c:v>239.21142924303732</c:v>
                </c:pt>
                <c:pt idx="23">
                  <c:v>282.22597131769891</c:v>
                </c:pt>
                <c:pt idx="24">
                  <c:v>325.0933857428227</c:v>
                </c:pt>
                <c:pt idx="25">
                  <c:v>282.83933776674922</c:v>
                </c:pt>
                <c:pt idx="26">
                  <c:v>326.92763310831191</c:v>
                </c:pt>
                <c:pt idx="27">
                  <c:v>370.88450720110433</c:v>
                </c:pt>
                <c:pt idx="28">
                  <c:v>336.70648180894301</c:v>
                </c:pt>
                <c:pt idx="29">
                  <c:v>381.24606170046428</c:v>
                </c:pt>
                <c:pt idx="30">
                  <c:v>425.67242592235584</c:v>
                </c:pt>
                <c:pt idx="31">
                  <c:v>382.4646618583256</c:v>
                </c:pt>
                <c:pt idx="32">
                  <c:v>426.88812840091873</c:v>
                </c:pt>
                <c:pt idx="33">
                  <c:v>471.21216521688075</c:v>
                </c:pt>
                <c:pt idx="34">
                  <c:v>515.44742348183297</c:v>
                </c:pt>
                <c:pt idx="35">
                  <c:v>559.60257836959147</c:v>
                </c:pt>
                <c:pt idx="36">
                  <c:v>603.68482585273216</c:v>
                </c:pt>
                <c:pt idx="37">
                  <c:v>476.97363117477761</c:v>
                </c:pt>
                <c:pt idx="38">
                  <c:v>517.26354360138077</c:v>
                </c:pt>
                <c:pt idx="39">
                  <c:v>557.48726687418275</c:v>
                </c:pt>
                <c:pt idx="40">
                  <c:v>597.65023871728874</c:v>
                </c:pt>
                <c:pt idx="41">
                  <c:v>637.75710743518198</c:v>
                </c:pt>
                <c:pt idx="42">
                  <c:v>677.81188993616718</c:v>
                </c:pt>
                <c:pt idx="43">
                  <c:v>550.73728857330809</c:v>
                </c:pt>
                <c:pt idx="44">
                  <c:v>586.58352633089646</c:v>
                </c:pt>
                <c:pt idx="45">
                  <c:v>622.38414547781622</c:v>
                </c:pt>
                <c:pt idx="46">
                  <c:v>658.14213414272695</c:v>
                </c:pt>
                <c:pt idx="47">
                  <c:v>693.86012979762791</c:v>
                </c:pt>
                <c:pt idx="48">
                  <c:v>729.54047669218573</c:v>
                </c:pt>
                <c:pt idx="49">
                  <c:v>765.18527147808618</c:v>
                </c:pt>
                <c:pt idx="50">
                  <c:v>800.79639989919531</c:v>
                </c:pt>
                <c:pt idx="51">
                  <c:v>836.37556662396753</c:v>
                </c:pt>
                <c:pt idx="52">
                  <c:v>650.26082111330118</c:v>
                </c:pt>
                <c:pt idx="53">
                  <c:v>678.71480868864035</c:v>
                </c:pt>
                <c:pt idx="54">
                  <c:v>707.14431577244295</c:v>
                </c:pt>
                <c:pt idx="55">
                  <c:v>735.55046347762789</c:v>
                </c:pt>
                <c:pt idx="56">
                  <c:v>763.93427939748926</c:v>
                </c:pt>
                <c:pt idx="57">
                  <c:v>792.29670865973264</c:v>
                </c:pt>
                <c:pt idx="58">
                  <c:v>820.63862331737619</c:v>
                </c:pt>
                <c:pt idx="59">
                  <c:v>848.96083037662663</c:v>
                </c:pt>
                <c:pt idx="60">
                  <c:v>877.26407869929096</c:v>
                </c:pt>
                <c:pt idx="61">
                  <c:v>905.54906496941055</c:v>
                </c:pt>
                <c:pt idx="62">
                  <c:v>933.81643887680104</c:v>
                </c:pt>
                <c:pt idx="63">
                  <c:v>962.06680764131522</c:v>
                </c:pt>
                <c:pt idx="64">
                  <c:v>759.44704535463291</c:v>
                </c:pt>
                <c:pt idx="65">
                  <c:v>779.72711398295633</c:v>
                </c:pt>
                <c:pt idx="66">
                  <c:v>799.99650694728837</c:v>
                </c:pt>
                <c:pt idx="67">
                  <c:v>820.25553249619463</c:v>
                </c:pt>
                <c:pt idx="68">
                  <c:v>840.5044824292612</c:v>
                </c:pt>
                <c:pt idx="69">
                  <c:v>860.74363335793316</c:v>
                </c:pt>
                <c:pt idx="70">
                  <c:v>880.97324784174771</c:v>
                </c:pt>
                <c:pt idx="71">
                  <c:v>901.19357541491297</c:v>
                </c:pt>
                <c:pt idx="72">
                  <c:v>921.40485351608311</c:v>
                </c:pt>
                <c:pt idx="73">
                  <c:v>941.60730833242508</c:v>
                </c:pt>
                <c:pt idx="74">
                  <c:v>961.80115556758119</c:v>
                </c:pt>
                <c:pt idx="75">
                  <c:v>981.98660114187214</c:v>
                </c:pt>
                <c:pt idx="76">
                  <c:v>1002.1638418320221</c:v>
                </c:pt>
                <c:pt idx="77">
                  <c:v>1022.3330658567578</c:v>
                </c:pt>
                <c:pt idx="78">
                  <c:v>1042.4944534138647</c:v>
                </c:pt>
                <c:pt idx="79">
                  <c:v>1062.6481771736035</c:v>
                </c:pt>
                <c:pt idx="80">
                  <c:v>1082.7944027328019</c:v>
                </c:pt>
                <c:pt idx="81">
                  <c:v>1102.933289033457</c:v>
                </c:pt>
                <c:pt idx="82">
                  <c:v>1123.0649887492161</c:v>
                </c:pt>
                <c:pt idx="83">
                  <c:v>1143.1896486427561</c:v>
                </c:pt>
                <c:pt idx="84">
                  <c:v>1163.30740989673</c:v>
                </c:pt>
                <c:pt idx="85">
                  <c:v>1183.4184084206697</c:v>
                </c:pt>
                <c:pt idx="86">
                  <c:v>1203.5227751359773</c:v>
                </c:pt>
                <c:pt idx="87">
                  <c:v>1223.6206362409175</c:v>
                </c:pt>
                <c:pt idx="88">
                  <c:v>1243.7121134573279</c:v>
                </c:pt>
                <c:pt idx="89">
                  <c:v>1263.7973242605849</c:v>
                </c:pt>
                <c:pt idx="90">
                  <c:v>1283.876382094217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2.7996052570097354</c:v>
                </c:pt>
                <c:pt idx="2">
                  <c:v>3.2315151650631928</c:v>
                </c:pt>
                <c:pt idx="3">
                  <c:v>3.7302973464557954</c:v>
                </c:pt>
                <c:pt idx="4">
                  <c:v>4.3063405763870692</c:v>
                </c:pt>
                <c:pt idx="5">
                  <c:v>4.9716526522857798</c:v>
                </c:pt>
                <c:pt idx="6">
                  <c:v>5.740113448538775</c:v>
                </c:pt>
                <c:pt idx="7">
                  <c:v>6.6277676311751712</c:v>
                </c:pt>
                <c:pt idx="8">
                  <c:v>7.6531632636897173</c:v>
                </c:pt>
                <c:pt idx="9">
                  <c:v>8.8377435164326972</c:v>
                </c:pt>
                <c:pt idx="10">
                  <c:v>10.206299828076817</c:v>
                </c:pt>
                <c:pt idx="11">
                  <c:v>11.787496183073594</c:v>
                </c:pt>
                <c:pt idx="12">
                  <c:v>13.614475692089258</c:v>
                </c:pt>
                <c:pt idx="13">
                  <c:v>15.725562426010145</c:v>
                </c:pt>
                <c:pt idx="14">
                  <c:v>18.165073496282574</c:v>
                </c:pt>
                <c:pt idx="15">
                  <c:v>20.984258739182483</c:v>
                </c:pt>
                <c:pt idx="16">
                  <c:v>24.242388100165126</c:v>
                </c:pt>
                <c:pt idx="17">
                  <c:v>28.00800998588667</c:v>
                </c:pt>
                <c:pt idx="18">
                  <c:v>32.360407524363787</c:v>
                </c:pt>
                <c:pt idx="19">
                  <c:v>37.391283927456733</c:v>
                </c:pt>
                <c:pt idx="20">
                  <c:v>43.206713076437893</c:v>
                </c:pt>
                <c:pt idx="21">
                  <c:v>49.929397157448932</c:v>
                </c:pt>
                <c:pt idx="22">
                  <c:v>57.701279782678796</c:v>
                </c:pt>
                <c:pt idx="23">
                  <c:v>66.686570688238859</c:v>
                </c:pt>
                <c:pt idx="24">
                  <c:v>77.075246966817772</c:v>
                </c:pt>
                <c:pt idx="25">
                  <c:v>89.087106064441841</c:v>
                </c:pt>
                <c:pt idx="26">
                  <c:v>102.97645766873664</c:v>
                </c:pt>
                <c:pt idx="27">
                  <c:v>119.03755539904152</c:v>
                </c:pt>
                <c:pt idx="28">
                  <c:v>137.61088517561572</c:v>
                </c:pt>
                <c:pt idx="29">
                  <c:v>159.09044564254927</c:v>
                </c:pt>
                <c:pt idx="30">
                  <c:v>183.93217744847456</c:v>
                </c:pt>
                <c:pt idx="31">
                  <c:v>186.40498132674267</c:v>
                </c:pt>
                <c:pt idx="32">
                  <c:v>211.50356294225205</c:v>
                </c:pt>
                <c:pt idx="33">
                  <c:v>236.53344703477251</c:v>
                </c:pt>
                <c:pt idx="34">
                  <c:v>261.50292540634257</c:v>
                </c:pt>
                <c:pt idx="35">
                  <c:v>286.41857511667479</c:v>
                </c:pt>
                <c:pt idx="36">
                  <c:v>271.31190744653003</c:v>
                </c:pt>
                <c:pt idx="37">
                  <c:v>292.94560606300433</c:v>
                </c:pt>
                <c:pt idx="38">
                  <c:v>314.54364642285981</c:v>
                </c:pt>
                <c:pt idx="39">
                  <c:v>336.10882010589495</c:v>
                </c:pt>
                <c:pt idx="40">
                  <c:v>357.64353127694943</c:v>
                </c:pt>
                <c:pt idx="41">
                  <c:v>332.449018503579</c:v>
                </c:pt>
                <c:pt idx="42">
                  <c:v>351.95795503306755</c:v>
                </c:pt>
                <c:pt idx="43">
                  <c:v>371.44319310939517</c:v>
                </c:pt>
                <c:pt idx="44">
                  <c:v>390.90615020805768</c:v>
                </c:pt>
                <c:pt idx="45">
                  <c:v>410.34809118885113</c:v>
                </c:pt>
                <c:pt idx="46">
                  <c:v>377.52769842827325</c:v>
                </c:pt>
                <c:pt idx="47">
                  <c:v>395.36340824332228</c:v>
                </c:pt>
                <c:pt idx="48">
                  <c:v>413.18168768535912</c:v>
                </c:pt>
                <c:pt idx="49">
                  <c:v>430.98339390471682</c:v>
                </c:pt>
                <c:pt idx="50">
                  <c:v>448.76930749454436</c:v>
                </c:pt>
                <c:pt idx="51">
                  <c:v>412.77691393459958</c:v>
                </c:pt>
                <c:pt idx="52">
                  <c:v>429.36572078685396</c:v>
                </c:pt>
                <c:pt idx="53">
                  <c:v>445.94075667705329</c:v>
                </c:pt>
                <c:pt idx="54">
                  <c:v>462.50260532099242</c:v>
                </c:pt>
                <c:pt idx="55">
                  <c:v>479.05180523598892</c:v>
                </c:pt>
                <c:pt idx="56">
                  <c:v>440.28249935825096</c:v>
                </c:pt>
                <c:pt idx="57">
                  <c:v>456.04097852954493</c:v>
                </c:pt>
                <c:pt idx="58">
                  <c:v>471.78782761031499</c:v>
                </c:pt>
                <c:pt idx="59">
                  <c:v>487.52348930113976</c:v>
                </c:pt>
                <c:pt idx="60">
                  <c:v>503.24837540475636</c:v>
                </c:pt>
                <c:pt idx="61">
                  <c:v>463.71394501783249</c:v>
                </c:pt>
                <c:pt idx="62">
                  <c:v>478.64831272470047</c:v>
                </c:pt>
                <c:pt idx="63">
                  <c:v>493.57277607855082</c:v>
                </c:pt>
                <c:pt idx="64">
                  <c:v>508.48767664593635</c:v>
                </c:pt>
                <c:pt idx="65">
                  <c:v>523.39333432879255</c:v>
                </c:pt>
                <c:pt idx="66">
                  <c:v>483.08633404340497</c:v>
                </c:pt>
                <c:pt idx="67">
                  <c:v>497.20159245584978</c:v>
                </c:pt>
                <c:pt idx="68">
                  <c:v>511.30836546390043</c:v>
                </c:pt>
                <c:pt idx="69">
                  <c:v>525.40692008667054</c:v>
                </c:pt>
                <c:pt idx="70">
                  <c:v>539.49750784907303</c:v>
                </c:pt>
                <c:pt idx="71">
                  <c:v>498.81421938664909</c:v>
                </c:pt>
                <c:pt idx="72">
                  <c:v>512.51713136140813</c:v>
                </c:pt>
                <c:pt idx="73">
                  <c:v>526.2123088317004</c:v>
                </c:pt>
                <c:pt idx="74">
                  <c:v>539.89998139729278</c:v>
                </c:pt>
                <c:pt idx="75">
                  <c:v>553.58036607052384</c:v>
                </c:pt>
                <c:pt idx="76">
                  <c:v>514.12872559596792</c:v>
                </c:pt>
                <c:pt idx="77">
                  <c:v>527.01767161181431</c:v>
                </c:pt>
                <c:pt idx="78">
                  <c:v>539.89998139729278</c:v>
                </c:pt>
                <c:pt idx="79">
                  <c:v>552.77583556955278</c:v>
                </c:pt>
                <c:pt idx="80">
                  <c:v>565.64540564760989</c:v>
                </c:pt>
                <c:pt idx="81">
                  <c:v>525.40692008667054</c:v>
                </c:pt>
                <c:pt idx="82">
                  <c:v>537.48504536608027</c:v>
                </c:pt>
                <c:pt idx="83">
                  <c:v>549.55746771122097</c:v>
                </c:pt>
                <c:pt idx="84">
                  <c:v>561.62433003260412</c:v>
                </c:pt>
                <c:pt idx="85">
                  <c:v>573.68576860024848</c:v>
                </c:pt>
                <c:pt idx="86">
                  <c:v>535.06988124028692</c:v>
                </c:pt>
                <c:pt idx="87">
                  <c:v>546.74107162107327</c:v>
                </c:pt>
                <c:pt idx="88">
                  <c:v>558.40703591428928</c:v>
                </c:pt>
                <c:pt idx="89">
                  <c:v>570.06789866925908</c:v>
                </c:pt>
                <c:pt idx="90">
                  <c:v>581.72377892545035</c:v>
                </c:pt>
                <c:pt idx="91">
                  <c:v>544.32677556775241</c:v>
                </c:pt>
                <c:pt idx="92">
                  <c:v>555.18935360177841</c:v>
                </c:pt>
                <c:pt idx="93">
                  <c:v>566.04748025569177</c:v>
                </c:pt>
                <c:pt idx="94">
                  <c:v>576.90125294323013</c:v>
                </c:pt>
                <c:pt idx="95">
                  <c:v>587.75076511427346</c:v>
                </c:pt>
                <c:pt idx="96">
                  <c:v>551.97128052407243</c:v>
                </c:pt>
                <c:pt idx="97">
                  <c:v>562.42859320508467</c:v>
                </c:pt>
                <c:pt idx="98">
                  <c:v>572.88183879502412</c:v>
                </c:pt>
                <c:pt idx="99">
                  <c:v>583.33110195912968</c:v>
                </c:pt>
                <c:pt idx="100">
                  <c:v>593.77646408241492</c:v>
                </c:pt>
                <c:pt idx="101">
                  <c:v>558.00484690701194</c:v>
                </c:pt>
                <c:pt idx="102">
                  <c:v>568.45980265997684</c:v>
                </c:pt>
                <c:pt idx="103">
                  <c:v>578.91074057866115</c:v>
                </c:pt>
                <c:pt idx="104">
                  <c:v>589.35774341261879</c:v>
                </c:pt>
                <c:pt idx="105">
                  <c:v>599.80089073891122</c:v>
                </c:pt>
                <c:pt idx="106">
                  <c:v>565.24332506261169</c:v>
                </c:pt>
                <c:pt idx="107">
                  <c:v>574.891619209841</c:v>
                </c:pt>
                <c:pt idx="108">
                  <c:v>584.53653362933869</c:v>
                </c:pt>
                <c:pt idx="109">
                  <c:v>594.17813194616554</c:v>
                </c:pt>
                <c:pt idx="110">
                  <c:v>603.81647555227892</c:v>
                </c:pt>
                <c:pt idx="111">
                  <c:v>570.4699078496742</c:v>
                </c:pt>
                <c:pt idx="112">
                  <c:v>579.31262062502856</c:v>
                </c:pt>
                <c:pt idx="113">
                  <c:v>588.15251825899645</c:v>
                </c:pt>
                <c:pt idx="114">
                  <c:v>596.98964902954924</c:v>
                </c:pt>
                <c:pt idx="115">
                  <c:v>605.82405966879526</c:v>
                </c:pt>
                <c:pt idx="116">
                  <c:v>574.48967488014057</c:v>
                </c:pt>
                <c:pt idx="117">
                  <c:v>583.33110195912923</c:v>
                </c:pt>
                <c:pt idx="118">
                  <c:v>592.16973603767133</c:v>
                </c:pt>
                <c:pt idx="119">
                  <c:v>601.00562468188116</c:v>
                </c:pt>
                <c:pt idx="120">
                  <c:v>609.83881394520824</c:v>
                </c:pt>
                <c:pt idx="121">
                  <c:v>579.71449485526659</c:v>
                </c:pt>
                <c:pt idx="122">
                  <c:v>587.75076511427289</c:v>
                </c:pt>
                <c:pt idx="123">
                  <c:v>595.78474694239253</c:v>
                </c:pt>
                <c:pt idx="124">
                  <c:v>603.81647555227835</c:v>
                </c:pt>
                <c:pt idx="125">
                  <c:v>611.84598514336074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2.8142206316632006</c:v>
                </c:pt>
                <c:pt idx="2">
                  <c:v>3.546022447534257</c:v>
                </c:pt>
                <c:pt idx="3">
                  <c:v>4.4688603344852975</c:v>
                </c:pt>
                <c:pt idx="4">
                  <c:v>5.632786147567022</c:v>
                </c:pt>
                <c:pt idx="5">
                  <c:v>7.1010100430012626</c:v>
                </c:pt>
                <c:pt idx="6">
                  <c:v>8.9533705968532473</c:v>
                </c:pt>
                <c:pt idx="7">
                  <c:v>11.290722715130457</c:v>
                </c:pt>
                <c:pt idx="8">
                  <c:v>14.240486718899339</c:v>
                </c:pt>
                <c:pt idx="9">
                  <c:v>17.963666684746272</c:v>
                </c:pt>
                <c:pt idx="10">
                  <c:v>22.663728052918533</c:v>
                </c:pt>
                <c:pt idx="11">
                  <c:v>44.016422187733419</c:v>
                </c:pt>
                <c:pt idx="12">
                  <c:v>65.080449062797712</c:v>
                </c:pt>
                <c:pt idx="13">
                  <c:v>85.965783832884156</c:v>
                </c:pt>
                <c:pt idx="14">
                  <c:v>106.72258095191415</c:v>
                </c:pt>
                <c:pt idx="15">
                  <c:v>127.37953432582198</c:v>
                </c:pt>
                <c:pt idx="16">
                  <c:v>141.48556236457227</c:v>
                </c:pt>
                <c:pt idx="17">
                  <c:v>155.55786032570978</c:v>
                </c:pt>
                <c:pt idx="18">
                  <c:v>169.59991183375828</c:v>
                </c:pt>
                <c:pt idx="19">
                  <c:v>183.61457550412516</c:v>
                </c:pt>
                <c:pt idx="20">
                  <c:v>197.60423730399955</c:v>
                </c:pt>
                <c:pt idx="21">
                  <c:v>212.32525328046407</c:v>
                </c:pt>
                <c:pt idx="22">
                  <c:v>227.02275330173859</c:v>
                </c:pt>
                <c:pt idx="23">
                  <c:v>241.69847457925638</c:v>
                </c:pt>
                <c:pt idx="24">
                  <c:v>256.35392599796734</c:v>
                </c:pt>
                <c:pt idx="25">
                  <c:v>270.99042974399362</c:v>
                </c:pt>
                <c:pt idx="26">
                  <c:v>284.48524314677451</c:v>
                </c:pt>
                <c:pt idx="27">
                  <c:v>297.96572801830712</c:v>
                </c:pt>
                <c:pt idx="28">
                  <c:v>311.43262404935155</c:v>
                </c:pt>
                <c:pt idx="29">
                  <c:v>324.88660171920714</c:v>
                </c:pt>
                <c:pt idx="30">
                  <c:v>338.32827143043045</c:v>
                </c:pt>
                <c:pt idx="31">
                  <c:v>349.14771335092126</c:v>
                </c:pt>
                <c:pt idx="32">
                  <c:v>359.95980096859563</c:v>
                </c:pt>
                <c:pt idx="33">
                  <c:v>370.76478640470532</c:v>
                </c:pt>
                <c:pt idx="34">
                  <c:v>381.56290588111864</c:v>
                </c:pt>
                <c:pt idx="35">
                  <c:v>392.3543811541972</c:v>
                </c:pt>
                <c:pt idx="36">
                  <c:v>348.40178403373966</c:v>
                </c:pt>
                <c:pt idx="37">
                  <c:v>369.64735159591186</c:v>
                </c:pt>
                <c:pt idx="38">
                  <c:v>390.86628899650538</c:v>
                </c:pt>
                <c:pt idx="39">
                  <c:v>412.06024430985264</c:v>
                </c:pt>
                <c:pt idx="40">
                  <c:v>433.2306823305874</c:v>
                </c:pt>
                <c:pt idx="41">
                  <c:v>386.40127265666052</c:v>
                </c:pt>
                <c:pt idx="42">
                  <c:v>404.62651852552546</c:v>
                </c:pt>
                <c:pt idx="43">
                  <c:v>422.8340220101843</c:v>
                </c:pt>
                <c:pt idx="44">
                  <c:v>441.02465426855338</c:v>
                </c:pt>
                <c:pt idx="45">
                  <c:v>459.19920876443302</c:v>
                </c:pt>
                <c:pt idx="46">
                  <c:v>430.63202519963085</c:v>
                </c:pt>
                <c:pt idx="47">
                  <c:v>446.58996615169781</c:v>
                </c:pt>
                <c:pt idx="48">
                  <c:v>462.53570293273202</c:v>
                </c:pt>
                <c:pt idx="49">
                  <c:v>478.46971536977026</c:v>
                </c:pt>
                <c:pt idx="50">
                  <c:v>494.39244873679655</c:v>
                </c:pt>
                <c:pt idx="51">
                  <c:v>472.91264200880113</c:v>
                </c:pt>
                <c:pt idx="52">
                  <c:v>486.61761247073991</c:v>
                </c:pt>
                <c:pt idx="53">
                  <c:v>500.31439202156122</c:v>
                </c:pt>
                <c:pt idx="54">
                  <c:v>514.00323643635204</c:v>
                </c:pt>
                <c:pt idx="55">
                  <c:v>527.68438675921163</c:v>
                </c:pt>
                <c:pt idx="56">
                  <c:v>509.56446562910043</c:v>
                </c:pt>
                <c:pt idx="57">
                  <c:v>521.02963842518272</c:v>
                </c:pt>
                <c:pt idx="58">
                  <c:v>532.48949356066385</c:v>
                </c:pt>
                <c:pt idx="59">
                  <c:v>543.94416159669981</c:v>
                </c:pt>
                <c:pt idx="60">
                  <c:v>555.39376714784112</c:v>
                </c:pt>
                <c:pt idx="61">
                  <c:v>539.14121452564802</c:v>
                </c:pt>
                <c:pt idx="62">
                  <c:v>548.74621845390391</c:v>
                </c:pt>
                <c:pt idx="63">
                  <c:v>558.34769693411647</c:v>
                </c:pt>
                <c:pt idx="64">
                  <c:v>567.94571913881498</c:v>
                </c:pt>
                <c:pt idx="65">
                  <c:v>577.54035171190219</c:v>
                </c:pt>
                <c:pt idx="66">
                  <c:v>562.03964926820106</c:v>
                </c:pt>
                <c:pt idx="67">
                  <c:v>570.52922017836806</c:v>
                </c:pt>
                <c:pt idx="68">
                  <c:v>579.01615230132279</c:v>
                </c:pt>
                <c:pt idx="69">
                  <c:v>587.50048977179983</c:v>
                </c:pt>
                <c:pt idx="70">
                  <c:v>595.98227534576563</c:v>
                </c:pt>
                <c:pt idx="71">
                  <c:v>579.75402315407769</c:v>
                </c:pt>
                <c:pt idx="72">
                  <c:v>587.50048977179983</c:v>
                </c:pt>
                <c:pt idx="73">
                  <c:v>595.24482902030275</c:v>
                </c:pt>
                <c:pt idx="74">
                  <c:v>602.98707248339224</c:v>
                </c:pt>
                <c:pt idx="75">
                  <c:v>610.72725086759408</c:v>
                </c:pt>
                <c:pt idx="76">
                  <c:v>595.24482902030275</c:v>
                </c:pt>
                <c:pt idx="77">
                  <c:v>601.88116484326304</c:v>
                </c:pt>
                <c:pt idx="78">
                  <c:v>608.51598029477645</c:v>
                </c:pt>
                <c:pt idx="79">
                  <c:v>615.14929429282267</c:v>
                </c:pt>
                <c:pt idx="80">
                  <c:v>621.78112531404167</c:v>
                </c:pt>
                <c:pt idx="81">
                  <c:v>1.4960899118586383E-12</c:v>
                </c:pt>
                <c:pt idx="82">
                  <c:v>1.4960899118586383E-12</c:v>
                </c:pt>
                <c:pt idx="83">
                  <c:v>1.4960899118586383E-12</c:v>
                </c:pt>
                <c:pt idx="84">
                  <c:v>1.4960899118586383E-12</c:v>
                </c:pt>
                <c:pt idx="85">
                  <c:v>1.4960899118586383E-12</c:v>
                </c:pt>
                <c:pt idx="86">
                  <c:v>1.4960899118586383E-12</c:v>
                </c:pt>
                <c:pt idx="87">
                  <c:v>1.4960899118586383E-12</c:v>
                </c:pt>
                <c:pt idx="88">
                  <c:v>1.4960899118586383E-12</c:v>
                </c:pt>
                <c:pt idx="89">
                  <c:v>1.4960899118586383E-12</c:v>
                </c:pt>
                <c:pt idx="90">
                  <c:v>1.4960899118586383E-12</c:v>
                </c:pt>
                <c:pt idx="91">
                  <c:v>1.4960899118586383E-12</c:v>
                </c:pt>
                <c:pt idx="92">
                  <c:v>1.4960899118586383E-12</c:v>
                </c:pt>
                <c:pt idx="93">
                  <c:v>1.4960899118586383E-12</c:v>
                </c:pt>
                <c:pt idx="94">
                  <c:v>1.4960899118586383E-12</c:v>
                </c:pt>
                <c:pt idx="95">
                  <c:v>1.4960899118586383E-12</c:v>
                </c:pt>
                <c:pt idx="96">
                  <c:v>1.4960899118586383E-12</c:v>
                </c:pt>
                <c:pt idx="97">
                  <c:v>1.4960899118586383E-12</c:v>
                </c:pt>
                <c:pt idx="98">
                  <c:v>1.4960899118586383E-12</c:v>
                </c:pt>
                <c:pt idx="99">
                  <c:v>1.4960899118586383E-12</c:v>
                </c:pt>
                <c:pt idx="100">
                  <c:v>1.4960899118586383E-12</c:v>
                </c:pt>
                <c:pt idx="101">
                  <c:v>1.4960899118586383E-12</c:v>
                </c:pt>
                <c:pt idx="102">
                  <c:v>1.4960899118586383E-12</c:v>
                </c:pt>
                <c:pt idx="103">
                  <c:v>1.4960899118586383E-12</c:v>
                </c:pt>
                <c:pt idx="104">
                  <c:v>1.4960899118586383E-12</c:v>
                </c:pt>
                <c:pt idx="105">
                  <c:v>1.4960899118586383E-12</c:v>
                </c:pt>
                <c:pt idx="106">
                  <c:v>1.4960899118586383E-12</c:v>
                </c:pt>
                <c:pt idx="107">
                  <c:v>1.4960899118586383E-12</c:v>
                </c:pt>
                <c:pt idx="108">
                  <c:v>1.4960899118586383E-12</c:v>
                </c:pt>
                <c:pt idx="109">
                  <c:v>1.4960899118586383E-12</c:v>
                </c:pt>
                <c:pt idx="110">
                  <c:v>1.4960899118586383E-12</c:v>
                </c:pt>
                <c:pt idx="111">
                  <c:v>1.4960899118586383E-12</c:v>
                </c:pt>
                <c:pt idx="112">
                  <c:v>1.4960899118586383E-12</c:v>
                </c:pt>
                <c:pt idx="113">
                  <c:v>1.4960899118586383E-12</c:v>
                </c:pt>
                <c:pt idx="114">
                  <c:v>1.4960899118586383E-12</c:v>
                </c:pt>
                <c:pt idx="115">
                  <c:v>1.4960899118586383E-12</c:v>
                </c:pt>
                <c:pt idx="116">
                  <c:v>1.4960899118586383E-12</c:v>
                </c:pt>
                <c:pt idx="117">
                  <c:v>1.4960899118586383E-12</c:v>
                </c:pt>
                <c:pt idx="118">
                  <c:v>1.4960899118586383E-12</c:v>
                </c:pt>
                <c:pt idx="119">
                  <c:v>1.4960899118586383E-12</c:v>
                </c:pt>
                <c:pt idx="120">
                  <c:v>1.4960899118586383E-12</c:v>
                </c:pt>
                <c:pt idx="121">
                  <c:v>1.4960899118586383E-12</c:v>
                </c:pt>
                <c:pt idx="122">
                  <c:v>1.4960899118586383E-12</c:v>
                </c:pt>
                <c:pt idx="123">
                  <c:v>1.4960899118586383E-12</c:v>
                </c:pt>
                <c:pt idx="124">
                  <c:v>1.4960899118586383E-12</c:v>
                </c:pt>
                <c:pt idx="125">
                  <c:v>1.4960899118586383E-12</c:v>
                </c:pt>
                <c:pt idx="126">
                  <c:v>1.4960899118586383E-12</c:v>
                </c:pt>
                <c:pt idx="127">
                  <c:v>1.4960899118586383E-12</c:v>
                </c:pt>
                <c:pt idx="128">
                  <c:v>1.4960899118586383E-12</c:v>
                </c:pt>
                <c:pt idx="129">
                  <c:v>1.4960899118586383E-12</c:v>
                </c:pt>
                <c:pt idx="130">
                  <c:v>1.4960899118586383E-12</c:v>
                </c:pt>
                <c:pt idx="131">
                  <c:v>1.4960899118586383E-12</c:v>
                </c:pt>
                <c:pt idx="132">
                  <c:v>1.4960899118586383E-12</c:v>
                </c:pt>
                <c:pt idx="133">
                  <c:v>1.4960899118586383E-12</c:v>
                </c:pt>
                <c:pt idx="134">
                  <c:v>1.4960899118586383E-12</c:v>
                </c:pt>
                <c:pt idx="135">
                  <c:v>1.4960899118586383E-12</c:v>
                </c:pt>
                <c:pt idx="136">
                  <c:v>1.4960899118586383E-12</c:v>
                </c:pt>
                <c:pt idx="137">
                  <c:v>1.4960899118586383E-12</c:v>
                </c:pt>
                <c:pt idx="138">
                  <c:v>1.4960899118586383E-12</c:v>
                </c:pt>
                <c:pt idx="139">
                  <c:v>1.4960899118586383E-12</c:v>
                </c:pt>
                <c:pt idx="140">
                  <c:v>1.4960899118586383E-12</c:v>
                </c:pt>
                <c:pt idx="141">
                  <c:v>1.4960899118586383E-12</c:v>
                </c:pt>
                <c:pt idx="142">
                  <c:v>1.4960899118586383E-12</c:v>
                </c:pt>
                <c:pt idx="143">
                  <c:v>1.4960899118586383E-12</c:v>
                </c:pt>
                <c:pt idx="144">
                  <c:v>1.4960899118586383E-12</c:v>
                </c:pt>
                <c:pt idx="145">
                  <c:v>1.4960899118586383E-12</c:v>
                </c:pt>
                <c:pt idx="146">
                  <c:v>1.4960899118586383E-12</c:v>
                </c:pt>
                <c:pt idx="147">
                  <c:v>1.4960899118586383E-12</c:v>
                </c:pt>
                <c:pt idx="148">
                  <c:v>1.4960899118586383E-12</c:v>
                </c:pt>
                <c:pt idx="149">
                  <c:v>1.4960899118586383E-12</c:v>
                </c:pt>
                <c:pt idx="150">
                  <c:v>1.4960899118586383E-12</c:v>
                </c:pt>
                <c:pt idx="151">
                  <c:v>1.4960899118586383E-12</c:v>
                </c:pt>
                <c:pt idx="152">
                  <c:v>1.4960899118586383E-12</c:v>
                </c:pt>
                <c:pt idx="153">
                  <c:v>1.4960899118586383E-12</c:v>
                </c:pt>
                <c:pt idx="154">
                  <c:v>1.4960899118586383E-12</c:v>
                </c:pt>
                <c:pt idx="155">
                  <c:v>1.4960899118586383E-12</c:v>
                </c:pt>
                <c:pt idx="156">
                  <c:v>1.4960899118586383E-12</c:v>
                </c:pt>
                <c:pt idx="157">
                  <c:v>1.4960899118586383E-12</c:v>
                </c:pt>
                <c:pt idx="158">
                  <c:v>1.4960899118586383E-12</c:v>
                </c:pt>
                <c:pt idx="159">
                  <c:v>1.4960899118586383E-12</c:v>
                </c:pt>
                <c:pt idx="160">
                  <c:v>1.4960899118586383E-12</c:v>
                </c:pt>
                <c:pt idx="161">
                  <c:v>1.4960899118586383E-12</c:v>
                </c:pt>
                <c:pt idx="162">
                  <c:v>1.4960899118586383E-12</c:v>
                </c:pt>
                <c:pt idx="163">
                  <c:v>1.4960899118586383E-12</c:v>
                </c:pt>
                <c:pt idx="164">
                  <c:v>1.4960899118586383E-12</c:v>
                </c:pt>
                <c:pt idx="165">
                  <c:v>1.4960899118586383E-12</c:v>
                </c:pt>
                <c:pt idx="166">
                  <c:v>1.4960899118586383E-12</c:v>
                </c:pt>
                <c:pt idx="167">
                  <c:v>1.4960899118586383E-12</c:v>
                </c:pt>
                <c:pt idx="168">
                  <c:v>1.4960899118586383E-12</c:v>
                </c:pt>
                <c:pt idx="169">
                  <c:v>1.4960899118586383E-12</c:v>
                </c:pt>
                <c:pt idx="170">
                  <c:v>1.4960899118586383E-12</c:v>
                </c:pt>
                <c:pt idx="171">
                  <c:v>1.4960899118586383E-12</c:v>
                </c:pt>
                <c:pt idx="172">
                  <c:v>1.4960899118586383E-12</c:v>
                </c:pt>
                <c:pt idx="173">
                  <c:v>1.4960899118586383E-12</c:v>
                </c:pt>
                <c:pt idx="174">
                  <c:v>1.4960899118586383E-12</c:v>
                </c:pt>
                <c:pt idx="175">
                  <c:v>1.4960899118586383E-12</c:v>
                </c:pt>
                <c:pt idx="176">
                  <c:v>1.4960899118586383E-12</c:v>
                </c:pt>
                <c:pt idx="177">
                  <c:v>1.4960899118586383E-12</c:v>
                </c:pt>
                <c:pt idx="178">
                  <c:v>1.4960899118586383E-12</c:v>
                </c:pt>
                <c:pt idx="179">
                  <c:v>1.4960899118586383E-12</c:v>
                </c:pt>
                <c:pt idx="180">
                  <c:v>1.4960899118586383E-12</c:v>
                </c:pt>
                <c:pt idx="181">
                  <c:v>1.4960899118586383E-12</c:v>
                </c:pt>
                <c:pt idx="182">
                  <c:v>1.4960899118586383E-12</c:v>
                </c:pt>
                <c:pt idx="183">
                  <c:v>1.4960899118586383E-12</c:v>
                </c:pt>
                <c:pt idx="184">
                  <c:v>1.4960899118586383E-12</c:v>
                </c:pt>
                <c:pt idx="185">
                  <c:v>1.4960899118586383E-12</c:v>
                </c:pt>
                <c:pt idx="186">
                  <c:v>1.4960899118586383E-12</c:v>
                </c:pt>
                <c:pt idx="187">
                  <c:v>1.4960899118586383E-12</c:v>
                </c:pt>
                <c:pt idx="188">
                  <c:v>1.4960899118586383E-12</c:v>
                </c:pt>
                <c:pt idx="189">
                  <c:v>1.4960899118586383E-12</c:v>
                </c:pt>
                <c:pt idx="190">
                  <c:v>1.4960899118586383E-12</c:v>
                </c:pt>
                <c:pt idx="191">
                  <c:v>1.4960899118586383E-12</c:v>
                </c:pt>
                <c:pt idx="192">
                  <c:v>1.4960899118586383E-12</c:v>
                </c:pt>
                <c:pt idx="193">
                  <c:v>1.4960899118586383E-12</c:v>
                </c:pt>
                <c:pt idx="194">
                  <c:v>1.4960899118586383E-12</c:v>
                </c:pt>
                <c:pt idx="195">
                  <c:v>1.4960899118586383E-12</c:v>
                </c:pt>
                <c:pt idx="196">
                  <c:v>1.4960899118586383E-12</c:v>
                </c:pt>
                <c:pt idx="197">
                  <c:v>1.4960899118586383E-12</c:v>
                </c:pt>
                <c:pt idx="198">
                  <c:v>1.4960899118586383E-12</c:v>
                </c:pt>
                <c:pt idx="199">
                  <c:v>1.4960899118586383E-12</c:v>
                </c:pt>
                <c:pt idx="200">
                  <c:v>1.4960899118586383E-12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129.16521410660775</c:v>
                </c:pt>
                <c:pt idx="17">
                  <c:v>142.00909904265757</c:v>
                </c:pt>
                <c:pt idx="18">
                  <c:v>154.82513658720794</c:v>
                </c:pt>
                <c:pt idx="19">
                  <c:v>167.6159586185212</c:v>
                </c:pt>
                <c:pt idx="20">
                  <c:v>180.38376185573745</c:v>
                </c:pt>
                <c:pt idx="21">
                  <c:v>193.81884339616178</c:v>
                </c:pt>
                <c:pt idx="22">
                  <c:v>207.23227419926732</c:v>
                </c:pt>
                <c:pt idx="23">
                  <c:v>220.62565368587721</c:v>
                </c:pt>
                <c:pt idx="24">
                  <c:v>234.00037106053071</c:v>
                </c:pt>
                <c:pt idx="25">
                  <c:v>247.35764363735268</c:v>
                </c:pt>
                <c:pt idx="26">
                  <c:v>259.67288191053939</c:v>
                </c:pt>
                <c:pt idx="27">
                  <c:v>271.97492815032928</c:v>
                </c:pt>
                <c:pt idx="28">
                  <c:v>284.2644633773408</c:v>
                </c:pt>
                <c:pt idx="29">
                  <c:v>296.54210489038525</c:v>
                </c:pt>
                <c:pt idx="30">
                  <c:v>308.80841467664578</c:v>
                </c:pt>
                <c:pt idx="31">
                  <c:v>318.68171861098403</c:v>
                </c:pt>
                <c:pt idx="32">
                  <c:v>328.54825156463448</c:v>
                </c:pt>
                <c:pt idx="33">
                  <c:v>338.40824566131732</c:v>
                </c:pt>
                <c:pt idx="34">
                  <c:v>348.26191838646213</c:v>
                </c:pt>
                <c:pt idx="35">
                  <c:v>358.10947390735419</c:v>
                </c:pt>
                <c:pt idx="36">
                  <c:v>318.00102122537902</c:v>
                </c:pt>
                <c:pt idx="37">
                  <c:v>337.38854301296465</c:v>
                </c:pt>
                <c:pt idx="38">
                  <c:v>356.75154686672869</c:v>
                </c:pt>
                <c:pt idx="39">
                  <c:v>376.09155014049173</c:v>
                </c:pt>
                <c:pt idx="40">
                  <c:v>395.40990144559373</c:v>
                </c:pt>
                <c:pt idx="41">
                  <c:v>352.67708456218497</c:v>
                </c:pt>
                <c:pt idx="42">
                  <c:v>369.30811574035596</c:v>
                </c:pt>
                <c:pt idx="43">
                  <c:v>385.92281180916189</c:v>
                </c:pt>
                <c:pt idx="44">
                  <c:v>402.52197482878051</c:v>
                </c:pt>
                <c:pt idx="45">
                  <c:v>419.1063353277479</c:v>
                </c:pt>
                <c:pt idx="46">
                  <c:v>393.03859669656617</c:v>
                </c:pt>
                <c:pt idx="47">
                  <c:v>407.60035995338382</c:v>
                </c:pt>
                <c:pt idx="48">
                  <c:v>422.15088703888301</c:v>
                </c:pt>
                <c:pt idx="49">
                  <c:v>436.69061972160199</c:v>
                </c:pt>
                <c:pt idx="50">
                  <c:v>451.21996795767353</c:v>
                </c:pt>
                <c:pt idx="51">
                  <c:v>431.61981966331092</c:v>
                </c:pt>
                <c:pt idx="52">
                  <c:v>444.12551245998566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481.59827184865549</c:v>
                </c:pt>
                <c:pt idx="56">
                  <c:v>465.06421135415468</c:v>
                </c:pt>
                <c:pt idx="57">
                  <c:v>475.52596168445683</c:v>
                </c:pt>
                <c:pt idx="58">
                  <c:v>485.98281613568906</c:v>
                </c:pt>
                <c:pt idx="59">
                  <c:v>496.4348949132721</c:v>
                </c:pt>
                <c:pt idx="60">
                  <c:v>506.8823127476889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518.33554162748931</c:v>
                </c:pt>
                <c:pt idx="65">
                  <c:v>527.09028501417185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536.17850956190955</c:v>
                </c:pt>
                <c:pt idx="70">
                  <c:v>543.91777421805511</c:v>
                </c:pt>
                <c:pt idx="71">
                  <c:v>529.11017351371686</c:v>
                </c:pt>
                <c:pt idx="72">
                  <c:v>536.17850956190955</c:v>
                </c:pt>
                <c:pt idx="73">
                  <c:v>543.24488697768538</c:v>
                </c:pt>
                <c:pt idx="74">
                  <c:v>550.30933483971387</c:v>
                </c:pt>
                <c:pt idx="75">
                  <c:v>557.37188141896718</c:v>
                </c:pt>
                <c:pt idx="76">
                  <c:v>543.24488697768538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567.45798988344677</c:v>
                </c:pt>
                <c:pt idx="81">
                  <c:v>1.3765621991510601E-12</c:v>
                </c:pt>
                <c:pt idx="82">
                  <c:v>1.3765621991510601E-12</c:v>
                </c:pt>
                <c:pt idx="83">
                  <c:v>1.3765621991510601E-12</c:v>
                </c:pt>
                <c:pt idx="84">
                  <c:v>1.3765621991510601E-12</c:v>
                </c:pt>
                <c:pt idx="85">
                  <c:v>1.3765621991510601E-12</c:v>
                </c:pt>
                <c:pt idx="86">
                  <c:v>1.3765621991510601E-12</c:v>
                </c:pt>
                <c:pt idx="87">
                  <c:v>1.3765621991510601E-12</c:v>
                </c:pt>
                <c:pt idx="88">
                  <c:v>1.3765621991510601E-12</c:v>
                </c:pt>
                <c:pt idx="89">
                  <c:v>1.3765621991510601E-12</c:v>
                </c:pt>
                <c:pt idx="90">
                  <c:v>1.3765621991510601E-12</c:v>
                </c:pt>
                <c:pt idx="91">
                  <c:v>1.3765621991510601E-12</c:v>
                </c:pt>
                <c:pt idx="92">
                  <c:v>1.3765621991510601E-12</c:v>
                </c:pt>
                <c:pt idx="93">
                  <c:v>1.3765621991510601E-12</c:v>
                </c:pt>
                <c:pt idx="94">
                  <c:v>1.3765621991510601E-12</c:v>
                </c:pt>
                <c:pt idx="95">
                  <c:v>1.3765621991510601E-12</c:v>
                </c:pt>
                <c:pt idx="96">
                  <c:v>1.3765621991510601E-12</c:v>
                </c:pt>
                <c:pt idx="97">
                  <c:v>1.3765621991510601E-12</c:v>
                </c:pt>
                <c:pt idx="98">
                  <c:v>1.3765621991510601E-12</c:v>
                </c:pt>
                <c:pt idx="99">
                  <c:v>1.3765621991510601E-12</c:v>
                </c:pt>
                <c:pt idx="100">
                  <c:v>1.3765621991510601E-12</c:v>
                </c:pt>
                <c:pt idx="101">
                  <c:v>1.3765621991510601E-12</c:v>
                </c:pt>
                <c:pt idx="102">
                  <c:v>1.3765621991510601E-12</c:v>
                </c:pt>
                <c:pt idx="103">
                  <c:v>1.3765621991510601E-12</c:v>
                </c:pt>
                <c:pt idx="104">
                  <c:v>1.3765621991510601E-12</c:v>
                </c:pt>
                <c:pt idx="105">
                  <c:v>1.3765621991510601E-12</c:v>
                </c:pt>
                <c:pt idx="106">
                  <c:v>1.3765621991510601E-12</c:v>
                </c:pt>
                <c:pt idx="107">
                  <c:v>1.3765621991510601E-12</c:v>
                </c:pt>
                <c:pt idx="108">
                  <c:v>1.3765621991510601E-12</c:v>
                </c:pt>
                <c:pt idx="109">
                  <c:v>1.3765621991510601E-12</c:v>
                </c:pt>
                <c:pt idx="110">
                  <c:v>1.3765621991510601E-12</c:v>
                </c:pt>
                <c:pt idx="111">
                  <c:v>1.3765621991510601E-12</c:v>
                </c:pt>
                <c:pt idx="112">
                  <c:v>1.3765621991510601E-12</c:v>
                </c:pt>
                <c:pt idx="113">
                  <c:v>1.3765621991510601E-12</c:v>
                </c:pt>
                <c:pt idx="114">
                  <c:v>1.3765621991510601E-12</c:v>
                </c:pt>
                <c:pt idx="115">
                  <c:v>1.3765621991510601E-12</c:v>
                </c:pt>
                <c:pt idx="116">
                  <c:v>1.3765621991510601E-12</c:v>
                </c:pt>
                <c:pt idx="117">
                  <c:v>1.3765621991510601E-12</c:v>
                </c:pt>
                <c:pt idx="118">
                  <c:v>1.3765621991510601E-12</c:v>
                </c:pt>
                <c:pt idx="119">
                  <c:v>1.3765621991510601E-12</c:v>
                </c:pt>
                <c:pt idx="120">
                  <c:v>1.3765621991510601E-12</c:v>
                </c:pt>
                <c:pt idx="121">
                  <c:v>1.3765621991510601E-12</c:v>
                </c:pt>
                <c:pt idx="122">
                  <c:v>1.3765621991510601E-12</c:v>
                </c:pt>
                <c:pt idx="123">
                  <c:v>1.3765621991510601E-12</c:v>
                </c:pt>
                <c:pt idx="124">
                  <c:v>1.3765621991510601E-12</c:v>
                </c:pt>
                <c:pt idx="125">
                  <c:v>1.3765621991510601E-12</c:v>
                </c:pt>
                <c:pt idx="126">
                  <c:v>1.3765621991510601E-12</c:v>
                </c:pt>
                <c:pt idx="127">
                  <c:v>1.3765621991510601E-12</c:v>
                </c:pt>
                <c:pt idx="128">
                  <c:v>1.3765621991510601E-12</c:v>
                </c:pt>
                <c:pt idx="129">
                  <c:v>1.3765621991510601E-12</c:v>
                </c:pt>
                <c:pt idx="130">
                  <c:v>1.3765621991510601E-12</c:v>
                </c:pt>
                <c:pt idx="131">
                  <c:v>1.3765621991510601E-12</c:v>
                </c:pt>
                <c:pt idx="132">
                  <c:v>1.3765621991510601E-12</c:v>
                </c:pt>
                <c:pt idx="133">
                  <c:v>1.3765621991510601E-12</c:v>
                </c:pt>
                <c:pt idx="134">
                  <c:v>1.3765621991510601E-12</c:v>
                </c:pt>
                <c:pt idx="135">
                  <c:v>1.3765621991510601E-12</c:v>
                </c:pt>
                <c:pt idx="136">
                  <c:v>1.3765621991510601E-12</c:v>
                </c:pt>
                <c:pt idx="137">
                  <c:v>1.3765621991510601E-12</c:v>
                </c:pt>
                <c:pt idx="138">
                  <c:v>1.3765621991510601E-12</c:v>
                </c:pt>
                <c:pt idx="139">
                  <c:v>1.3765621991510601E-12</c:v>
                </c:pt>
                <c:pt idx="140">
                  <c:v>1.3765621991510601E-12</c:v>
                </c:pt>
                <c:pt idx="141">
                  <c:v>1.3765621991510601E-12</c:v>
                </c:pt>
                <c:pt idx="142">
                  <c:v>1.3765621991510601E-12</c:v>
                </c:pt>
                <c:pt idx="143">
                  <c:v>1.3765621991510601E-12</c:v>
                </c:pt>
                <c:pt idx="144">
                  <c:v>1.3765621991510601E-12</c:v>
                </c:pt>
                <c:pt idx="145">
                  <c:v>1.3765621991510601E-12</c:v>
                </c:pt>
                <c:pt idx="146">
                  <c:v>1.3765621991510601E-12</c:v>
                </c:pt>
                <c:pt idx="147">
                  <c:v>1.3765621991510601E-12</c:v>
                </c:pt>
                <c:pt idx="148">
                  <c:v>1.3765621991510601E-12</c:v>
                </c:pt>
                <c:pt idx="149">
                  <c:v>1.3765621991510601E-12</c:v>
                </c:pt>
                <c:pt idx="150">
                  <c:v>1.3765621991510601E-12</c:v>
                </c:pt>
                <c:pt idx="151">
                  <c:v>1.3765621991510601E-12</c:v>
                </c:pt>
                <c:pt idx="152">
                  <c:v>1.3765621991510601E-12</c:v>
                </c:pt>
                <c:pt idx="153">
                  <c:v>1.3765621991510601E-12</c:v>
                </c:pt>
                <c:pt idx="154">
                  <c:v>1.3765621991510601E-12</c:v>
                </c:pt>
                <c:pt idx="155">
                  <c:v>1.3765621991510601E-12</c:v>
                </c:pt>
                <c:pt idx="156">
                  <c:v>1.3765621991510601E-12</c:v>
                </c:pt>
                <c:pt idx="157">
                  <c:v>1.3765621991510601E-12</c:v>
                </c:pt>
                <c:pt idx="158">
                  <c:v>1.3765621991510601E-12</c:v>
                </c:pt>
                <c:pt idx="159">
                  <c:v>1.3765621991510601E-12</c:v>
                </c:pt>
                <c:pt idx="160">
                  <c:v>1.3765621991510601E-12</c:v>
                </c:pt>
                <c:pt idx="161">
                  <c:v>1.3765621991510601E-12</c:v>
                </c:pt>
                <c:pt idx="162">
                  <c:v>1.3765621991510601E-12</c:v>
                </c:pt>
                <c:pt idx="163">
                  <c:v>1.3765621991510601E-12</c:v>
                </c:pt>
                <c:pt idx="164">
                  <c:v>1.3765621991510601E-12</c:v>
                </c:pt>
                <c:pt idx="165">
                  <c:v>1.3765621991510601E-12</c:v>
                </c:pt>
                <c:pt idx="166">
                  <c:v>1.3765621991510601E-12</c:v>
                </c:pt>
                <c:pt idx="167">
                  <c:v>1.3765621991510601E-12</c:v>
                </c:pt>
                <c:pt idx="168">
                  <c:v>1.3765621991510601E-12</c:v>
                </c:pt>
                <c:pt idx="169">
                  <c:v>1.3765621991510601E-12</c:v>
                </c:pt>
                <c:pt idx="170">
                  <c:v>1.3765621991510601E-12</c:v>
                </c:pt>
                <c:pt idx="171">
                  <c:v>1.3765621991510601E-12</c:v>
                </c:pt>
                <c:pt idx="172">
                  <c:v>1.3765621991510601E-12</c:v>
                </c:pt>
                <c:pt idx="173">
                  <c:v>1.3765621991510601E-12</c:v>
                </c:pt>
                <c:pt idx="174">
                  <c:v>1.3765621991510601E-12</c:v>
                </c:pt>
                <c:pt idx="175">
                  <c:v>1.3765621991510601E-12</c:v>
                </c:pt>
                <c:pt idx="176">
                  <c:v>1.3765621991510601E-12</c:v>
                </c:pt>
                <c:pt idx="177">
                  <c:v>1.3765621991510601E-12</c:v>
                </c:pt>
                <c:pt idx="178">
                  <c:v>1.3765621991510601E-12</c:v>
                </c:pt>
                <c:pt idx="179">
                  <c:v>1.3765621991510601E-12</c:v>
                </c:pt>
                <c:pt idx="180">
                  <c:v>1.3765621991510601E-12</c:v>
                </c:pt>
                <c:pt idx="181">
                  <c:v>1.3765621991510601E-12</c:v>
                </c:pt>
                <c:pt idx="182">
                  <c:v>1.3765621991510601E-12</c:v>
                </c:pt>
                <c:pt idx="183">
                  <c:v>1.3765621991510601E-12</c:v>
                </c:pt>
                <c:pt idx="184">
                  <c:v>1.3765621991510601E-12</c:v>
                </c:pt>
                <c:pt idx="185">
                  <c:v>1.3765621991510601E-12</c:v>
                </c:pt>
                <c:pt idx="186">
                  <c:v>1.3765621991510601E-12</c:v>
                </c:pt>
                <c:pt idx="187">
                  <c:v>1.3765621991510601E-12</c:v>
                </c:pt>
                <c:pt idx="188">
                  <c:v>1.3765621991510601E-12</c:v>
                </c:pt>
                <c:pt idx="189">
                  <c:v>1.3765621991510601E-12</c:v>
                </c:pt>
                <c:pt idx="190">
                  <c:v>1.3765621991510601E-12</c:v>
                </c:pt>
                <c:pt idx="191">
                  <c:v>1.3765621991510601E-12</c:v>
                </c:pt>
                <c:pt idx="192">
                  <c:v>1.3765621991510601E-12</c:v>
                </c:pt>
                <c:pt idx="193">
                  <c:v>1.3765621991510601E-12</c:v>
                </c:pt>
                <c:pt idx="194">
                  <c:v>1.3765621991510601E-12</c:v>
                </c:pt>
                <c:pt idx="195">
                  <c:v>1.3765621991510601E-12</c:v>
                </c:pt>
                <c:pt idx="196">
                  <c:v>1.3765621991510601E-12</c:v>
                </c:pt>
                <c:pt idx="197">
                  <c:v>1.3765621991510601E-12</c:v>
                </c:pt>
                <c:pt idx="198">
                  <c:v>1.3765621991510601E-12</c:v>
                </c:pt>
                <c:pt idx="199">
                  <c:v>1.3765621991510601E-12</c:v>
                </c:pt>
                <c:pt idx="200">
                  <c:v>1.3765621991510601E-12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2.3771589152136832</c:v>
                </c:pt>
                <c:pt idx="2">
                  <c:v>2.9949424842304286</c:v>
                </c:pt>
                <c:pt idx="3">
                  <c:v>3.7739077794462492</c:v>
                </c:pt>
                <c:pt idx="4">
                  <c:v>4.7562627052095419</c:v>
                </c:pt>
                <c:pt idx="5">
                  <c:v>5.9953059624826457</c:v>
                </c:pt>
                <c:pt idx="6">
                  <c:v>7.5583506142245538</c:v>
                </c:pt>
                <c:pt idx="7">
                  <c:v>9.5304205700421178</c:v>
                </c:pt>
                <c:pt idx="8">
                  <c:v>12.018924879161736</c:v>
                </c:pt>
                <c:pt idx="9">
                  <c:v>15.159569166298086</c:v>
                </c:pt>
                <c:pt idx="10">
                  <c:v>19.123832490408656</c:v>
                </c:pt>
                <c:pt idx="11">
                  <c:v>37.129924657008708</c:v>
                </c:pt>
                <c:pt idx="12">
                  <c:v>54.88875090739392</c:v>
                </c:pt>
                <c:pt idx="13">
                  <c:v>72.494513498617124</c:v>
                </c:pt>
                <c:pt idx="14">
                  <c:v>89.990173613778268</c:v>
                </c:pt>
                <c:pt idx="15">
                  <c:v>107.40030981071855</c:v>
                </c:pt>
                <c:pt idx="16">
                  <c:v>119.28852389957176</c:v>
                </c:pt>
                <c:pt idx="17">
                  <c:v>131.14784555860055</c:v>
                </c:pt>
                <c:pt idx="18">
                  <c:v>142.98125878263136</c:v>
                </c:pt>
                <c:pt idx="19">
                  <c:v>154.791212197665</c:v>
                </c:pt>
                <c:pt idx="20">
                  <c:v>166.57974956981332</c:v>
                </c:pt>
                <c:pt idx="21">
                  <c:v>178.98422457057109</c:v>
                </c:pt>
                <c:pt idx="22">
                  <c:v>191.36855633024655</c:v>
                </c:pt>
                <c:pt idx="23">
                  <c:v>203.73423290528618</c:v>
                </c:pt>
                <c:pt idx="24">
                  <c:v>216.08254677277884</c:v>
                </c:pt>
                <c:pt idx="25">
                  <c:v>228.41463048777482</c:v>
                </c:pt>
                <c:pt idx="26">
                  <c:v>239.78455379251184</c:v>
                </c:pt>
                <c:pt idx="27">
                  <c:v>251.14220359796022</c:v>
                </c:pt>
                <c:pt idx="28">
                  <c:v>262.48821350667612</c:v>
                </c:pt>
                <c:pt idx="29">
                  <c:v>273.82315783622602</c:v>
                </c:pt>
                <c:pt idx="30">
                  <c:v>285.14755944378334</c:v>
                </c:pt>
                <c:pt idx="31">
                  <c:v>294.26265338057789</c:v>
                </c:pt>
                <c:pt idx="32">
                  <c:v>303.37144778612088</c:v>
                </c:pt>
                <c:pt idx="33">
                  <c:v>312.47415862183612</c:v>
                </c:pt>
                <c:pt idx="34">
                  <c:v>321.57098823009079</c:v>
                </c:pt>
                <c:pt idx="35">
                  <c:v>330.66212656242288</c:v>
                </c:pt>
                <c:pt idx="36">
                  <c:v>293.63423101263402</c:v>
                </c:pt>
                <c:pt idx="37">
                  <c:v>311.53277495970804</c:v>
                </c:pt>
                <c:pt idx="38">
                  <c:v>329.40850810618292</c:v>
                </c:pt>
                <c:pt idx="39">
                  <c:v>347.26284215565857</c:v>
                </c:pt>
                <c:pt idx="40">
                  <c:v>365.09703181844549</c:v>
                </c:pt>
                <c:pt idx="41">
                  <c:v>325.64701898414188</c:v>
                </c:pt>
                <c:pt idx="42">
                  <c:v>341.00051892831289</c:v>
                </c:pt>
                <c:pt idx="43">
                  <c:v>356.33882114313172</c:v>
                </c:pt>
                <c:pt idx="44">
                  <c:v>371.6626718429784</c:v>
                </c:pt>
                <c:pt idx="45">
                  <c:v>386.97275069119195</c:v>
                </c:pt>
                <c:pt idx="46">
                  <c:v>362.90791424748937</c:v>
                </c:pt>
                <c:pt idx="47">
                  <c:v>376.35086351579031</c:v>
                </c:pt>
                <c:pt idx="48">
                  <c:v>389.78335896423397</c:v>
                </c:pt>
                <c:pt idx="49">
                  <c:v>403.20581160192501</c:v>
                </c:pt>
                <c:pt idx="50">
                  <c:v>416.61860284059549</c:v>
                </c:pt>
                <c:pt idx="51">
                  <c:v>398.52467686288418</c:v>
                </c:pt>
                <c:pt idx="52">
                  <c:v>410.06935400448907</c:v>
                </c:pt>
                <c:pt idx="53">
                  <c:v>421.60701499489011</c:v>
                </c:pt>
                <c:pt idx="54">
                  <c:v>433.1378789253036</c:v>
                </c:pt>
                <c:pt idx="55">
                  <c:v>444.66215226871265</c:v>
                </c:pt>
                <c:pt idx="56">
                  <c:v>429.39887113927836</c:v>
                </c:pt>
                <c:pt idx="57">
                  <c:v>439.05655970073713</c:v>
                </c:pt>
                <c:pt idx="58">
                  <c:v>448.70969327309928</c:v>
                </c:pt>
                <c:pt idx="59">
                  <c:v>458.3583836921303</c:v>
                </c:pt>
                <c:pt idx="60">
                  <c:v>468.00273769986575</c:v>
                </c:pt>
                <c:pt idx="61">
                  <c:v>454.31269266448368</c:v>
                </c:pt>
                <c:pt idx="62">
                  <c:v>462.4033121825118</c:v>
                </c:pt>
                <c:pt idx="63">
                  <c:v>470.49091188062226</c:v>
                </c:pt>
                <c:pt idx="64">
                  <c:v>478.57555101045642</c:v>
                </c:pt>
                <c:pt idx="65">
                  <c:v>486.65728665769001</c:v>
                </c:pt>
                <c:pt idx="66">
                  <c:v>473.60073566758018</c:v>
                </c:pt>
                <c:pt idx="67">
                  <c:v>480.75168621261076</c:v>
                </c:pt>
                <c:pt idx="68">
                  <c:v>487.9003764315537</c:v>
                </c:pt>
                <c:pt idx="69">
                  <c:v>495.04684412923598</c:v>
                </c:pt>
                <c:pt idx="70">
                  <c:v>502.19112592946158</c:v>
                </c:pt>
                <c:pt idx="71">
                  <c:v>488.52189609916553</c:v>
                </c:pt>
                <c:pt idx="72">
                  <c:v>495.04684412923598</c:v>
                </c:pt>
                <c:pt idx="73">
                  <c:v>501.56996990242988</c:v>
                </c:pt>
                <c:pt idx="74">
                  <c:v>508.09130047272902</c:v>
                </c:pt>
                <c:pt idx="75">
                  <c:v>514.61086214265538</c:v>
                </c:pt>
                <c:pt idx="76">
                  <c:v>501.56996990242988</c:v>
                </c:pt>
                <c:pt idx="77">
                  <c:v>507.15979072537579</c:v>
                </c:pt>
                <c:pt idx="78">
                  <c:v>512.74830923215643</c:v>
                </c:pt>
                <c:pt idx="79">
                  <c:v>518.33554162748953</c:v>
                </c:pt>
                <c:pt idx="80">
                  <c:v>523.92150373805191</c:v>
                </c:pt>
                <c:pt idx="81">
                  <c:v>1.2800215959791691E-12</c:v>
                </c:pt>
                <c:pt idx="82">
                  <c:v>1.2800215959791691E-12</c:v>
                </c:pt>
                <c:pt idx="83">
                  <c:v>1.2800215959791691E-12</c:v>
                </c:pt>
                <c:pt idx="84">
                  <c:v>1.2800215959791691E-12</c:v>
                </c:pt>
                <c:pt idx="85">
                  <c:v>1.2800215959791691E-12</c:v>
                </c:pt>
                <c:pt idx="86">
                  <c:v>1.2800215959791691E-12</c:v>
                </c:pt>
                <c:pt idx="87">
                  <c:v>1.2800215959791691E-12</c:v>
                </c:pt>
                <c:pt idx="88">
                  <c:v>1.2800215959791691E-12</c:v>
                </c:pt>
                <c:pt idx="89">
                  <c:v>1.2800215959791691E-12</c:v>
                </c:pt>
                <c:pt idx="90">
                  <c:v>1.2800215959791691E-12</c:v>
                </c:pt>
                <c:pt idx="91">
                  <c:v>1.2800215959791691E-12</c:v>
                </c:pt>
                <c:pt idx="92">
                  <c:v>1.2800215959791691E-12</c:v>
                </c:pt>
                <c:pt idx="93">
                  <c:v>1.2800215959791691E-12</c:v>
                </c:pt>
                <c:pt idx="94">
                  <c:v>1.2800215959791691E-12</c:v>
                </c:pt>
                <c:pt idx="95">
                  <c:v>1.2800215959791691E-12</c:v>
                </c:pt>
                <c:pt idx="96">
                  <c:v>1.2800215959791691E-12</c:v>
                </c:pt>
                <c:pt idx="97">
                  <c:v>1.2800215959791691E-12</c:v>
                </c:pt>
                <c:pt idx="98">
                  <c:v>1.2800215959791691E-12</c:v>
                </c:pt>
                <c:pt idx="99">
                  <c:v>1.2800215959791691E-12</c:v>
                </c:pt>
                <c:pt idx="100">
                  <c:v>1.2800215959791691E-12</c:v>
                </c:pt>
                <c:pt idx="101">
                  <c:v>1.2800215959791691E-12</c:v>
                </c:pt>
                <c:pt idx="102">
                  <c:v>1.2800215959791691E-12</c:v>
                </c:pt>
                <c:pt idx="103">
                  <c:v>1.2800215959791691E-12</c:v>
                </c:pt>
                <c:pt idx="104">
                  <c:v>1.2800215959791691E-12</c:v>
                </c:pt>
                <c:pt idx="105">
                  <c:v>1.2800215959791691E-12</c:v>
                </c:pt>
                <c:pt idx="106">
                  <c:v>1.2800215959791691E-12</c:v>
                </c:pt>
                <c:pt idx="107">
                  <c:v>1.2800215959791691E-12</c:v>
                </c:pt>
                <c:pt idx="108">
                  <c:v>1.2800215959791691E-12</c:v>
                </c:pt>
                <c:pt idx="109">
                  <c:v>1.2800215959791691E-12</c:v>
                </c:pt>
                <c:pt idx="110">
                  <c:v>1.2800215959791691E-12</c:v>
                </c:pt>
                <c:pt idx="111">
                  <c:v>1.2800215959791691E-12</c:v>
                </c:pt>
                <c:pt idx="112">
                  <c:v>1.2800215959791691E-12</c:v>
                </c:pt>
                <c:pt idx="113">
                  <c:v>1.2800215959791691E-12</c:v>
                </c:pt>
                <c:pt idx="114">
                  <c:v>1.2800215959791691E-12</c:v>
                </c:pt>
                <c:pt idx="115">
                  <c:v>1.2800215959791691E-12</c:v>
                </c:pt>
                <c:pt idx="116">
                  <c:v>1.2800215959791691E-12</c:v>
                </c:pt>
                <c:pt idx="117">
                  <c:v>1.2800215959791691E-12</c:v>
                </c:pt>
                <c:pt idx="118">
                  <c:v>1.2800215959791691E-12</c:v>
                </c:pt>
                <c:pt idx="119">
                  <c:v>1.2800215959791691E-12</c:v>
                </c:pt>
                <c:pt idx="120">
                  <c:v>1.2800215959791691E-12</c:v>
                </c:pt>
                <c:pt idx="121">
                  <c:v>1.2800215959791691E-12</c:v>
                </c:pt>
                <c:pt idx="122">
                  <c:v>1.2800215959791691E-12</c:v>
                </c:pt>
                <c:pt idx="123">
                  <c:v>1.2800215959791691E-12</c:v>
                </c:pt>
                <c:pt idx="124">
                  <c:v>1.2800215959791691E-12</c:v>
                </c:pt>
                <c:pt idx="125">
                  <c:v>1.2800215959791691E-12</c:v>
                </c:pt>
                <c:pt idx="126">
                  <c:v>1.2800215959791691E-12</c:v>
                </c:pt>
                <c:pt idx="127">
                  <c:v>1.2800215959791691E-12</c:v>
                </c:pt>
                <c:pt idx="128">
                  <c:v>1.2800215959791691E-12</c:v>
                </c:pt>
                <c:pt idx="129">
                  <c:v>1.2800215959791691E-12</c:v>
                </c:pt>
                <c:pt idx="130">
                  <c:v>1.2800215959791691E-12</c:v>
                </c:pt>
                <c:pt idx="131">
                  <c:v>1.2800215959791691E-12</c:v>
                </c:pt>
                <c:pt idx="132">
                  <c:v>1.2800215959791691E-12</c:v>
                </c:pt>
                <c:pt idx="133">
                  <c:v>1.2800215959791691E-12</c:v>
                </c:pt>
                <c:pt idx="134">
                  <c:v>1.2800215959791691E-12</c:v>
                </c:pt>
                <c:pt idx="135">
                  <c:v>1.2800215959791691E-12</c:v>
                </c:pt>
                <c:pt idx="136">
                  <c:v>1.2800215959791691E-12</c:v>
                </c:pt>
                <c:pt idx="137">
                  <c:v>1.2800215959791691E-12</c:v>
                </c:pt>
                <c:pt idx="138">
                  <c:v>1.2800215959791691E-12</c:v>
                </c:pt>
                <c:pt idx="139">
                  <c:v>1.2800215959791691E-12</c:v>
                </c:pt>
                <c:pt idx="140">
                  <c:v>1.2800215959791691E-12</c:v>
                </c:pt>
                <c:pt idx="141">
                  <c:v>1.2800215959791691E-12</c:v>
                </c:pt>
                <c:pt idx="142">
                  <c:v>1.2800215959791691E-12</c:v>
                </c:pt>
                <c:pt idx="143">
                  <c:v>1.2800215959791691E-12</c:v>
                </c:pt>
                <c:pt idx="144">
                  <c:v>1.2800215959791691E-12</c:v>
                </c:pt>
                <c:pt idx="145">
                  <c:v>1.2800215959791691E-12</c:v>
                </c:pt>
                <c:pt idx="146">
                  <c:v>1.2800215959791691E-12</c:v>
                </c:pt>
                <c:pt idx="147">
                  <c:v>1.2800215959791691E-12</c:v>
                </c:pt>
                <c:pt idx="148">
                  <c:v>1.2800215959791691E-12</c:v>
                </c:pt>
                <c:pt idx="149">
                  <c:v>1.2800215959791691E-12</c:v>
                </c:pt>
                <c:pt idx="150">
                  <c:v>1.2800215959791691E-12</c:v>
                </c:pt>
                <c:pt idx="151">
                  <c:v>1.2800215959791691E-12</c:v>
                </c:pt>
                <c:pt idx="152">
                  <c:v>1.2800215959791691E-12</c:v>
                </c:pt>
                <c:pt idx="153">
                  <c:v>1.2800215959791691E-12</c:v>
                </c:pt>
                <c:pt idx="154">
                  <c:v>1.2800215959791691E-12</c:v>
                </c:pt>
                <c:pt idx="155">
                  <c:v>1.2800215959791691E-12</c:v>
                </c:pt>
                <c:pt idx="156">
                  <c:v>1.2800215959791691E-12</c:v>
                </c:pt>
                <c:pt idx="157">
                  <c:v>1.2800215959791691E-12</c:v>
                </c:pt>
                <c:pt idx="158">
                  <c:v>1.2800215959791691E-12</c:v>
                </c:pt>
                <c:pt idx="159">
                  <c:v>1.2800215959791691E-12</c:v>
                </c:pt>
                <c:pt idx="160">
                  <c:v>1.2800215959791691E-12</c:v>
                </c:pt>
                <c:pt idx="161">
                  <c:v>1.2800215959791691E-12</c:v>
                </c:pt>
                <c:pt idx="162">
                  <c:v>1.2800215959791691E-12</c:v>
                </c:pt>
                <c:pt idx="163">
                  <c:v>1.2800215959791691E-12</c:v>
                </c:pt>
                <c:pt idx="164">
                  <c:v>1.2800215959791691E-12</c:v>
                </c:pt>
                <c:pt idx="165">
                  <c:v>1.2800215959791691E-12</c:v>
                </c:pt>
                <c:pt idx="166">
                  <c:v>1.2800215959791691E-12</c:v>
                </c:pt>
                <c:pt idx="167">
                  <c:v>1.2800215959791691E-12</c:v>
                </c:pt>
                <c:pt idx="168">
                  <c:v>1.2800215959791691E-12</c:v>
                </c:pt>
                <c:pt idx="169">
                  <c:v>1.2800215959791691E-12</c:v>
                </c:pt>
                <c:pt idx="170">
                  <c:v>1.2800215959791691E-12</c:v>
                </c:pt>
                <c:pt idx="171">
                  <c:v>1.2800215959791691E-12</c:v>
                </c:pt>
                <c:pt idx="172">
                  <c:v>1.2800215959791691E-12</c:v>
                </c:pt>
                <c:pt idx="173">
                  <c:v>1.2800215959791691E-12</c:v>
                </c:pt>
                <c:pt idx="174">
                  <c:v>1.2800215959791691E-12</c:v>
                </c:pt>
                <c:pt idx="175">
                  <c:v>1.2800215959791691E-12</c:v>
                </c:pt>
                <c:pt idx="176">
                  <c:v>1.2800215959791691E-12</c:v>
                </c:pt>
                <c:pt idx="177">
                  <c:v>1.2800215959791691E-12</c:v>
                </c:pt>
                <c:pt idx="178">
                  <c:v>1.2800215959791691E-12</c:v>
                </c:pt>
                <c:pt idx="179">
                  <c:v>1.2800215959791691E-12</c:v>
                </c:pt>
                <c:pt idx="180">
                  <c:v>1.2800215959791691E-12</c:v>
                </c:pt>
                <c:pt idx="181">
                  <c:v>1.2800215959791691E-12</c:v>
                </c:pt>
                <c:pt idx="182">
                  <c:v>1.2800215959791691E-12</c:v>
                </c:pt>
                <c:pt idx="183">
                  <c:v>1.2800215959791691E-12</c:v>
                </c:pt>
                <c:pt idx="184">
                  <c:v>1.2800215959791691E-12</c:v>
                </c:pt>
                <c:pt idx="185">
                  <c:v>1.2800215959791691E-12</c:v>
                </c:pt>
                <c:pt idx="186">
                  <c:v>1.2800215959791691E-12</c:v>
                </c:pt>
                <c:pt idx="187">
                  <c:v>1.2800215959791691E-12</c:v>
                </c:pt>
                <c:pt idx="188">
                  <c:v>1.2800215959791691E-12</c:v>
                </c:pt>
                <c:pt idx="189">
                  <c:v>1.2800215959791691E-12</c:v>
                </c:pt>
                <c:pt idx="190">
                  <c:v>1.2800215959791691E-12</c:v>
                </c:pt>
                <c:pt idx="191">
                  <c:v>1.2800215959791691E-12</c:v>
                </c:pt>
                <c:pt idx="192">
                  <c:v>1.2800215959791691E-12</c:v>
                </c:pt>
                <c:pt idx="193">
                  <c:v>1.2800215959791691E-12</c:v>
                </c:pt>
                <c:pt idx="194">
                  <c:v>1.2800215959791691E-12</c:v>
                </c:pt>
                <c:pt idx="195">
                  <c:v>1.2800215959791691E-12</c:v>
                </c:pt>
                <c:pt idx="196">
                  <c:v>1.2800215959791691E-12</c:v>
                </c:pt>
                <c:pt idx="197">
                  <c:v>1.2800215959791691E-12</c:v>
                </c:pt>
                <c:pt idx="198">
                  <c:v>1.2800215959791691E-12</c:v>
                </c:pt>
                <c:pt idx="199">
                  <c:v>1.2800215959791691E-12</c:v>
                </c:pt>
                <c:pt idx="200">
                  <c:v>1.2800215959791691E-12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2.6202873647055487</c:v>
                </c:pt>
                <c:pt idx="2">
                  <c:v>3.3014890700969475</c:v>
                </c:pt>
                <c:pt idx="3">
                  <c:v>4.1604758697806128</c:v>
                </c:pt>
                <c:pt idx="4">
                  <c:v>5.2438175769854629</c:v>
                </c:pt>
                <c:pt idx="5">
                  <c:v>6.6103243965889789</c:v>
                </c:pt>
                <c:pt idx="6">
                  <c:v>8.3342743628219527</c:v>
                </c:pt>
                <c:pt idx="7">
                  <c:v>10.509494235432264</c:v>
                </c:pt>
                <c:pt idx="8">
                  <c:v>13.25452014211402</c:v>
                </c:pt>
                <c:pt idx="9">
                  <c:v>16.71912439869411</c:v>
                </c:pt>
                <c:pt idx="10">
                  <c:v>21.092571102519226</c:v>
                </c:pt>
                <c:pt idx="11">
                  <c:v>40.959654766376069</c:v>
                </c:pt>
                <c:pt idx="12">
                  <c:v>60.556368030357454</c:v>
                </c:pt>
                <c:pt idx="13">
                  <c:v>79.985715393823597</c:v>
                </c:pt>
                <c:pt idx="14">
                  <c:v>99.294672325256599</c:v>
                </c:pt>
                <c:pt idx="15">
                  <c:v>118.51011399861339</c:v>
                </c:pt>
                <c:pt idx="16">
                  <c:v>131.63146998500227</c:v>
                </c:pt>
                <c:pt idx="17">
                  <c:v>144.72123383801275</c:v>
                </c:pt>
                <c:pt idx="18">
                  <c:v>157.78266837642221</c:v>
                </c:pt>
                <c:pt idx="19">
                  <c:v>170.81845102541379</c:v>
                </c:pt>
                <c:pt idx="20">
                  <c:v>183.83081652024478</c:v>
                </c:pt>
                <c:pt idx="21">
                  <c:v>197.52328405894411</c:v>
                </c:pt>
                <c:pt idx="22">
                  <c:v>211.19372617566225</c:v>
                </c:pt>
                <c:pt idx="23">
                  <c:v>224.84376997057771</c:v>
                </c:pt>
                <c:pt idx="24">
                  <c:v>238.47482868961117</c:v>
                </c:pt>
                <c:pt idx="25">
                  <c:v>252.08814071355732</c:v>
                </c:pt>
                <c:pt idx="26">
                  <c:v>264.63947126038499</c:v>
                </c:pt>
                <c:pt idx="27">
                  <c:v>277.17738147431237</c:v>
                </c:pt>
                <c:pt idx="28">
                  <c:v>289.70256416160663</c:v>
                </c:pt>
                <c:pt idx="29">
                  <c:v>302.21564730396659</c:v>
                </c:pt>
                <c:pt idx="30">
                  <c:v>314.71720261424775</c:v>
                </c:pt>
                <c:pt idx="31">
                  <c:v>324.77987334309205</c:v>
                </c:pt>
                <c:pt idx="32">
                  <c:v>334.83565591359422</c:v>
                </c:pt>
                <c:pt idx="33">
                  <c:v>344.88478646657541</c:v>
                </c:pt>
                <c:pt idx="34">
                  <c:v>354.92748625123801</c:v>
                </c:pt>
                <c:pt idx="35">
                  <c:v>364.96396296815806</c:v>
                </c:pt>
                <c:pt idx="36">
                  <c:v>324.08611998804486</c:v>
                </c:pt>
                <c:pt idx="37">
                  <c:v>343.84552311327394</c:v>
                </c:pt>
                <c:pt idx="38">
                  <c:v>363.57998400071347</c:v>
                </c:pt>
                <c:pt idx="39">
                  <c:v>383.29104626329905</c:v>
                </c:pt>
                <c:pt idx="40">
                  <c:v>402.9800818512519</c:v>
                </c:pt>
                <c:pt idx="41">
                  <c:v>359.42735412725966</c:v>
                </c:pt>
                <c:pt idx="42">
                  <c:v>376.37745953930624</c:v>
                </c:pt>
                <c:pt idx="43">
                  <c:v>393.31094714884654</c:v>
                </c:pt>
                <c:pt idx="44">
                  <c:v>410.22863289640117</c:v>
                </c:pt>
                <c:pt idx="45">
                  <c:v>427.13125995293166</c:v>
                </c:pt>
                <c:pt idx="46">
                  <c:v>400.56327392899152</c:v>
                </c:pt>
                <c:pt idx="47">
                  <c:v>415.40447321133962</c:v>
                </c:pt>
                <c:pt idx="48">
                  <c:v>430.23424187074437</c:v>
                </c:pt>
                <c:pt idx="49">
                  <c:v>445.05302932092849</c:v>
                </c:pt>
                <c:pt idx="50">
                  <c:v>459.86125261266949</c:v>
                </c:pt>
                <c:pt idx="51">
                  <c:v>439.88490533840974</c:v>
                </c:pt>
                <c:pt idx="52">
                  <c:v>452.63062434570617</c:v>
                </c:pt>
                <c:pt idx="53">
                  <c:v>465.36867161386573</c:v>
                </c:pt>
                <c:pt idx="54">
                  <c:v>478.09928670594996</c:v>
                </c:pt>
                <c:pt idx="55">
                  <c:v>490.82269538774068</c:v>
                </c:pt>
                <c:pt idx="56">
                  <c:v>473.9712388205898</c:v>
                </c:pt>
                <c:pt idx="57">
                  <c:v>484.63381543198625</c:v>
                </c:pt>
                <c:pt idx="58">
                  <c:v>495.29141143690731</c:v>
                </c:pt>
                <c:pt idx="59">
                  <c:v>505.94414912103224</c:v>
                </c:pt>
                <c:pt idx="60">
                  <c:v>516.59214520035414</c:v>
                </c:pt>
                <c:pt idx="61">
                  <c:v>501.4774559101067</c:v>
                </c:pt>
                <c:pt idx="62">
                  <c:v>510.41000854334516</c:v>
                </c:pt>
                <c:pt idx="63">
                  <c:v>519.33925918522516</c:v>
                </c:pt>
                <c:pt idx="64">
                  <c:v>528.26527262385059</c:v>
                </c:pt>
                <c:pt idx="65">
                  <c:v>537.18811127897277</c:v>
                </c:pt>
                <c:pt idx="66">
                  <c:v>522.77272091773659</c:v>
                </c:pt>
                <c:pt idx="67">
                  <c:v>530.66788510705487</c:v>
                </c:pt>
                <c:pt idx="68">
                  <c:v>538.56057776581406</c:v>
                </c:pt>
                <c:pt idx="69">
                  <c:v>546.45084023131722</c:v>
                </c:pt>
                <c:pt idx="70">
                  <c:v>554.33871254949042</c:v>
                </c:pt>
                <c:pt idx="71">
                  <c:v>539.24678343342578</c:v>
                </c:pt>
                <c:pt idx="72">
                  <c:v>546.45084023131722</c:v>
                </c:pt>
                <c:pt idx="73">
                  <c:v>553.65290450097075</c:v>
                </c:pt>
                <c:pt idx="74">
                  <c:v>560.8530058242867</c:v>
                </c:pt>
                <c:pt idx="75">
                  <c:v>568.05117296149103</c:v>
                </c:pt>
                <c:pt idx="76">
                  <c:v>553.65290450097075</c:v>
                </c:pt>
                <c:pt idx="77">
                  <c:v>559.82453900261771</c:v>
                </c:pt>
                <c:pt idx="78">
                  <c:v>565.99474949990611</c:v>
                </c:pt>
                <c:pt idx="79">
                  <c:v>572.16355371172028</c:v>
                </c:pt>
                <c:pt idx="80">
                  <c:v>578.33096894357811</c:v>
                </c:pt>
                <c:pt idx="81">
                  <c:v>1.4005661123635408E-12</c:v>
                </c:pt>
                <c:pt idx="82">
                  <c:v>1.4005661123635408E-12</c:v>
                </c:pt>
                <c:pt idx="83">
                  <c:v>1.4005661123635408E-12</c:v>
                </c:pt>
                <c:pt idx="84">
                  <c:v>1.4005661123635408E-12</c:v>
                </c:pt>
                <c:pt idx="85">
                  <c:v>1.4005661123635408E-12</c:v>
                </c:pt>
                <c:pt idx="86">
                  <c:v>1.4005661123635408E-12</c:v>
                </c:pt>
                <c:pt idx="87">
                  <c:v>1.4005661123635408E-12</c:v>
                </c:pt>
                <c:pt idx="88">
                  <c:v>1.4005661123635408E-12</c:v>
                </c:pt>
                <c:pt idx="89">
                  <c:v>1.4005661123635408E-12</c:v>
                </c:pt>
                <c:pt idx="90">
                  <c:v>1.4005661123635408E-12</c:v>
                </c:pt>
                <c:pt idx="91">
                  <c:v>1.4005661123635408E-12</c:v>
                </c:pt>
                <c:pt idx="92">
                  <c:v>1.4005661123635408E-12</c:v>
                </c:pt>
                <c:pt idx="93">
                  <c:v>1.4005661123635408E-12</c:v>
                </c:pt>
                <c:pt idx="94">
                  <c:v>1.4005661123635408E-12</c:v>
                </c:pt>
                <c:pt idx="95">
                  <c:v>1.4005661123635408E-12</c:v>
                </c:pt>
                <c:pt idx="96">
                  <c:v>1.4005661123635408E-12</c:v>
                </c:pt>
                <c:pt idx="97">
                  <c:v>1.4005661123635408E-12</c:v>
                </c:pt>
                <c:pt idx="98">
                  <c:v>1.4005661123635408E-12</c:v>
                </c:pt>
                <c:pt idx="99">
                  <c:v>1.4005661123635408E-12</c:v>
                </c:pt>
                <c:pt idx="100">
                  <c:v>1.4005661123635408E-12</c:v>
                </c:pt>
                <c:pt idx="101">
                  <c:v>1.4005661123635408E-12</c:v>
                </c:pt>
                <c:pt idx="102">
                  <c:v>1.4005661123635408E-12</c:v>
                </c:pt>
                <c:pt idx="103">
                  <c:v>1.4005661123635408E-12</c:v>
                </c:pt>
                <c:pt idx="104">
                  <c:v>1.4005661123635408E-12</c:v>
                </c:pt>
                <c:pt idx="105">
                  <c:v>1.4005661123635408E-12</c:v>
                </c:pt>
                <c:pt idx="106">
                  <c:v>1.4005661123635408E-12</c:v>
                </c:pt>
                <c:pt idx="107">
                  <c:v>1.4005661123635408E-12</c:v>
                </c:pt>
                <c:pt idx="108">
                  <c:v>1.4005661123635408E-12</c:v>
                </c:pt>
                <c:pt idx="109">
                  <c:v>1.4005661123635408E-12</c:v>
                </c:pt>
                <c:pt idx="110">
                  <c:v>1.4005661123635408E-12</c:v>
                </c:pt>
                <c:pt idx="111">
                  <c:v>1.4005661123635408E-12</c:v>
                </c:pt>
                <c:pt idx="112">
                  <c:v>1.4005661123635408E-12</c:v>
                </c:pt>
                <c:pt idx="113">
                  <c:v>1.4005661123635408E-12</c:v>
                </c:pt>
                <c:pt idx="114">
                  <c:v>1.4005661123635408E-12</c:v>
                </c:pt>
                <c:pt idx="115">
                  <c:v>1.4005661123635408E-12</c:v>
                </c:pt>
                <c:pt idx="116">
                  <c:v>1.4005661123635408E-12</c:v>
                </c:pt>
                <c:pt idx="117">
                  <c:v>1.4005661123635408E-12</c:v>
                </c:pt>
                <c:pt idx="118">
                  <c:v>1.4005661123635408E-12</c:v>
                </c:pt>
                <c:pt idx="119">
                  <c:v>1.4005661123635408E-12</c:v>
                </c:pt>
                <c:pt idx="120">
                  <c:v>1.4005661123635408E-12</c:v>
                </c:pt>
                <c:pt idx="121">
                  <c:v>1.4005661123635408E-12</c:v>
                </c:pt>
                <c:pt idx="122">
                  <c:v>1.4005661123635408E-12</c:v>
                </c:pt>
                <c:pt idx="123">
                  <c:v>1.4005661123635408E-12</c:v>
                </c:pt>
                <c:pt idx="124">
                  <c:v>1.4005661123635408E-12</c:v>
                </c:pt>
                <c:pt idx="125">
                  <c:v>1.4005661123635408E-12</c:v>
                </c:pt>
                <c:pt idx="126">
                  <c:v>1.4005661123635408E-12</c:v>
                </c:pt>
                <c:pt idx="127">
                  <c:v>1.4005661123635408E-12</c:v>
                </c:pt>
                <c:pt idx="128">
                  <c:v>1.4005661123635408E-12</c:v>
                </c:pt>
                <c:pt idx="129">
                  <c:v>1.4005661123635408E-12</c:v>
                </c:pt>
                <c:pt idx="130">
                  <c:v>1.4005661123635408E-12</c:v>
                </c:pt>
                <c:pt idx="131">
                  <c:v>1.4005661123635408E-12</c:v>
                </c:pt>
                <c:pt idx="132">
                  <c:v>1.4005661123635408E-12</c:v>
                </c:pt>
                <c:pt idx="133">
                  <c:v>1.4005661123635408E-12</c:v>
                </c:pt>
                <c:pt idx="134">
                  <c:v>1.4005661123635408E-12</c:v>
                </c:pt>
                <c:pt idx="135">
                  <c:v>1.4005661123635408E-12</c:v>
                </c:pt>
                <c:pt idx="136">
                  <c:v>1.4005661123635408E-12</c:v>
                </c:pt>
                <c:pt idx="137">
                  <c:v>1.4005661123635408E-12</c:v>
                </c:pt>
                <c:pt idx="138">
                  <c:v>1.4005661123635408E-12</c:v>
                </c:pt>
                <c:pt idx="139">
                  <c:v>1.4005661123635408E-12</c:v>
                </c:pt>
                <c:pt idx="140">
                  <c:v>1.4005661123635408E-12</c:v>
                </c:pt>
                <c:pt idx="141">
                  <c:v>1.4005661123635408E-12</c:v>
                </c:pt>
                <c:pt idx="142">
                  <c:v>1.4005661123635408E-12</c:v>
                </c:pt>
                <c:pt idx="143">
                  <c:v>1.4005661123635408E-12</c:v>
                </c:pt>
                <c:pt idx="144">
                  <c:v>1.4005661123635408E-12</c:v>
                </c:pt>
                <c:pt idx="145">
                  <c:v>1.4005661123635408E-12</c:v>
                </c:pt>
                <c:pt idx="146">
                  <c:v>1.4005661123635408E-12</c:v>
                </c:pt>
                <c:pt idx="147">
                  <c:v>1.4005661123635408E-12</c:v>
                </c:pt>
                <c:pt idx="148">
                  <c:v>1.4005661123635408E-12</c:v>
                </c:pt>
                <c:pt idx="149">
                  <c:v>1.4005661123635408E-12</c:v>
                </c:pt>
                <c:pt idx="150">
                  <c:v>1.4005661123635408E-12</c:v>
                </c:pt>
                <c:pt idx="151">
                  <c:v>1.4005661123635408E-12</c:v>
                </c:pt>
                <c:pt idx="152">
                  <c:v>1.4005661123635408E-12</c:v>
                </c:pt>
                <c:pt idx="153">
                  <c:v>1.4005661123635408E-12</c:v>
                </c:pt>
                <c:pt idx="154">
                  <c:v>1.4005661123635408E-12</c:v>
                </c:pt>
                <c:pt idx="155">
                  <c:v>1.4005661123635408E-12</c:v>
                </c:pt>
                <c:pt idx="156">
                  <c:v>1.4005661123635408E-12</c:v>
                </c:pt>
                <c:pt idx="157">
                  <c:v>1.4005661123635408E-12</c:v>
                </c:pt>
                <c:pt idx="158">
                  <c:v>1.4005661123635408E-12</c:v>
                </c:pt>
                <c:pt idx="159">
                  <c:v>1.4005661123635408E-12</c:v>
                </c:pt>
                <c:pt idx="160">
                  <c:v>1.4005661123635408E-12</c:v>
                </c:pt>
                <c:pt idx="161">
                  <c:v>1.4005661123635408E-12</c:v>
                </c:pt>
                <c:pt idx="162">
                  <c:v>1.4005661123635408E-12</c:v>
                </c:pt>
                <c:pt idx="163">
                  <c:v>1.4005661123635408E-12</c:v>
                </c:pt>
                <c:pt idx="164">
                  <c:v>1.4005661123635408E-12</c:v>
                </c:pt>
                <c:pt idx="165">
                  <c:v>1.4005661123635408E-12</c:v>
                </c:pt>
                <c:pt idx="166">
                  <c:v>1.4005661123635408E-12</c:v>
                </c:pt>
                <c:pt idx="167">
                  <c:v>1.4005661123635408E-12</c:v>
                </c:pt>
                <c:pt idx="168">
                  <c:v>1.4005661123635408E-12</c:v>
                </c:pt>
                <c:pt idx="169">
                  <c:v>1.4005661123635408E-12</c:v>
                </c:pt>
                <c:pt idx="170">
                  <c:v>1.4005661123635408E-12</c:v>
                </c:pt>
                <c:pt idx="171">
                  <c:v>1.4005661123635408E-12</c:v>
                </c:pt>
                <c:pt idx="172">
                  <c:v>1.4005661123635408E-12</c:v>
                </c:pt>
                <c:pt idx="173">
                  <c:v>1.4005661123635408E-12</c:v>
                </c:pt>
                <c:pt idx="174">
                  <c:v>1.4005661123635408E-12</c:v>
                </c:pt>
                <c:pt idx="175">
                  <c:v>1.4005661123635408E-12</c:v>
                </c:pt>
                <c:pt idx="176">
                  <c:v>1.4005661123635408E-12</c:v>
                </c:pt>
                <c:pt idx="177">
                  <c:v>1.4005661123635408E-12</c:v>
                </c:pt>
                <c:pt idx="178">
                  <c:v>1.4005661123635408E-12</c:v>
                </c:pt>
                <c:pt idx="179">
                  <c:v>1.4005661123635408E-12</c:v>
                </c:pt>
                <c:pt idx="180">
                  <c:v>1.4005661123635408E-12</c:v>
                </c:pt>
                <c:pt idx="181">
                  <c:v>1.4005661123635408E-12</c:v>
                </c:pt>
                <c:pt idx="182">
                  <c:v>1.4005661123635408E-12</c:v>
                </c:pt>
                <c:pt idx="183">
                  <c:v>1.4005661123635408E-12</c:v>
                </c:pt>
                <c:pt idx="184">
                  <c:v>1.4005661123635408E-12</c:v>
                </c:pt>
                <c:pt idx="185">
                  <c:v>1.4005661123635408E-12</c:v>
                </c:pt>
                <c:pt idx="186">
                  <c:v>1.4005661123635408E-12</c:v>
                </c:pt>
                <c:pt idx="187">
                  <c:v>1.4005661123635408E-12</c:v>
                </c:pt>
                <c:pt idx="188">
                  <c:v>1.4005661123635408E-12</c:v>
                </c:pt>
                <c:pt idx="189">
                  <c:v>1.4005661123635408E-12</c:v>
                </c:pt>
                <c:pt idx="190">
                  <c:v>1.4005661123635408E-12</c:v>
                </c:pt>
                <c:pt idx="191">
                  <c:v>1.4005661123635408E-12</c:v>
                </c:pt>
                <c:pt idx="192">
                  <c:v>1.4005661123635408E-12</c:v>
                </c:pt>
                <c:pt idx="193">
                  <c:v>1.4005661123635408E-12</c:v>
                </c:pt>
                <c:pt idx="194">
                  <c:v>1.4005661123635408E-12</c:v>
                </c:pt>
                <c:pt idx="195">
                  <c:v>1.4005661123635408E-12</c:v>
                </c:pt>
                <c:pt idx="196">
                  <c:v>1.4005661123635408E-12</c:v>
                </c:pt>
                <c:pt idx="197">
                  <c:v>1.4005661123635408E-12</c:v>
                </c:pt>
                <c:pt idx="198">
                  <c:v>1.4005661123635408E-12</c:v>
                </c:pt>
                <c:pt idx="199">
                  <c:v>1.4005661123635408E-12</c:v>
                </c:pt>
                <c:pt idx="200">
                  <c:v>1.4005661123635408E-12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7.9924378844848141</c:v>
                </c:pt>
                <c:pt idx="2">
                  <c:v>15.629973383626925</c:v>
                </c:pt>
                <c:pt idx="3">
                  <c:v>23.152893227288654</c:v>
                </c:pt>
                <c:pt idx="4">
                  <c:v>30.605161314100155</c:v>
                </c:pt>
                <c:pt idx="5">
                  <c:v>38.006703524152499</c:v>
                </c:pt>
                <c:pt idx="6">
                  <c:v>45.368886411378377</c:v>
                </c:pt>
                <c:pt idx="7">
                  <c:v>52.699037553603965</c:v>
                </c:pt>
                <c:pt idx="8">
                  <c:v>60.002260898077814</c:v>
                </c:pt>
                <c:pt idx="9">
                  <c:v>67.282307910955041</c:v>
                </c:pt>
                <c:pt idx="10">
                  <c:v>74.542047492522656</c:v>
                </c:pt>
                <c:pt idx="11">
                  <c:v>81.783741559891993</c:v>
                </c:pt>
                <c:pt idx="12">
                  <c:v>89.00921718413133</c:v>
                </c:pt>
                <c:pt idx="13">
                  <c:v>96.219979559914179</c:v>
                </c:pt>
                <c:pt idx="14">
                  <c:v>103.41728915892681</c:v>
                </c:pt>
                <c:pt idx="15">
                  <c:v>110.6022161820046</c:v>
                </c:pt>
                <c:pt idx="16">
                  <c:v>117.77568006371125</c:v>
                </c:pt>
                <c:pt idx="17">
                  <c:v>124.93847881346382</c:v>
                </c:pt>
                <c:pt idx="18">
                  <c:v>132.09131125367352</c:v>
                </c:pt>
                <c:pt idx="19">
                  <c:v>139.23479417439984</c:v>
                </c:pt>
                <c:pt idx="20">
                  <c:v>146.36947577347073</c:v>
                </c:pt>
                <c:pt idx="21">
                  <c:v>153.49584633218961</c:v>
                </c:pt>
                <c:pt idx="22">
                  <c:v>160.61434679995904</c:v>
                </c:pt>
                <c:pt idx="23">
                  <c:v>167.7253757739426</c:v>
                </c:pt>
                <c:pt idx="24">
                  <c:v>174.82929523062128</c:v>
                </c:pt>
                <c:pt idx="25">
                  <c:v>181.92643527517296</c:v>
                </c:pt>
                <c:pt idx="26">
                  <c:v>189.01709810956049</c:v>
                </c:pt>
                <c:pt idx="27">
                  <c:v>196.10156137297454</c:v>
                </c:pt>
                <c:pt idx="28">
                  <c:v>203.18008097348309</c:v>
                </c:pt>
                <c:pt idx="29">
                  <c:v>210.25289350379282</c:v>
                </c:pt>
                <c:pt idx="30">
                  <c:v>217.3202183144405</c:v>
                </c:pt>
                <c:pt idx="31">
                  <c:v>224.38225930279336</c:v>
                </c:pt>
                <c:pt idx="32">
                  <c:v>231.43920646472677</c:v>
                </c:pt>
                <c:pt idx="33">
                  <c:v>238.49123724689275</c:v>
                </c:pt>
                <c:pt idx="34">
                  <c:v>245.53851773047276</c:v>
                </c:pt>
                <c:pt idx="35">
                  <c:v>252.58120367175096</c:v>
                </c:pt>
                <c:pt idx="36">
                  <c:v>259.61944142042358</c:v>
                </c:pt>
                <c:pt idx="37">
                  <c:v>266.65336873300402</c:v>
                </c:pt>
                <c:pt idx="38">
                  <c:v>273.68311549581978</c:v>
                </c:pt>
                <c:pt idx="39">
                  <c:v>280.70880436976489</c:v>
                </c:pt>
                <c:pt idx="40">
                  <c:v>287.73055136706051</c:v>
                </c:pt>
                <c:pt idx="41">
                  <c:v>294.74846636871888</c:v>
                </c:pt>
                <c:pt idx="42">
                  <c:v>301.76265359009881</c:v>
                </c:pt>
                <c:pt idx="43">
                  <c:v>240.56854772583256</c:v>
                </c:pt>
                <c:pt idx="44">
                  <c:v>257.54735275399173</c:v>
                </c:pt>
                <c:pt idx="45">
                  <c:v>274.50085537239397</c:v>
                </c:pt>
                <c:pt idx="46">
                  <c:v>291.43083811249011</c:v>
                </c:pt>
                <c:pt idx="47">
                  <c:v>308.33885945053788</c:v>
                </c:pt>
                <c:pt idx="48">
                  <c:v>325.2262929715169</c:v>
                </c:pt>
                <c:pt idx="49">
                  <c:v>342.09435796714598</c:v>
                </c:pt>
                <c:pt idx="50">
                  <c:v>358.94414368005658</c:v>
                </c:pt>
                <c:pt idx="51">
                  <c:v>312.1023696796243</c:v>
                </c:pt>
                <c:pt idx="52">
                  <c:v>329.31398234414667</c:v>
                </c:pt>
                <c:pt idx="53">
                  <c:v>346.50575011825748</c:v>
                </c:pt>
                <c:pt idx="54">
                  <c:v>363.67879592591447</c:v>
                </c:pt>
                <c:pt idx="55">
                  <c:v>380.83412800361629</c:v>
                </c:pt>
                <c:pt idx="56">
                  <c:v>397.972656359773</c:v>
                </c:pt>
                <c:pt idx="57">
                  <c:v>415.09520625038732</c:v>
                </c:pt>
                <c:pt idx="58">
                  <c:v>432.20252931513443</c:v>
                </c:pt>
                <c:pt idx="59">
                  <c:v>368.23698374708738</c:v>
                </c:pt>
                <c:pt idx="60">
                  <c:v>384.84722461591849</c:v>
                </c:pt>
                <c:pt idx="61">
                  <c:v>401.441893052799</c:v>
                </c:pt>
                <c:pt idx="62">
                  <c:v>418.02172321149618</c:v>
                </c:pt>
                <c:pt idx="63">
                  <c:v>434.587386274236</c:v>
                </c:pt>
                <c:pt idx="64">
                  <c:v>451.13949809721424</c:v>
                </c:pt>
                <c:pt idx="65">
                  <c:v>467.67862567570342</c:v>
                </c:pt>
                <c:pt idx="66">
                  <c:v>484.20529264713076</c:v>
                </c:pt>
                <c:pt idx="67">
                  <c:v>410.79530650463397</c:v>
                </c:pt>
                <c:pt idx="68">
                  <c:v>426.6755516238598</c:v>
                </c:pt>
                <c:pt idx="69">
                  <c:v>442.54308940679402</c:v>
                </c:pt>
                <c:pt idx="70">
                  <c:v>458.3984394915546</c:v>
                </c:pt>
                <c:pt idx="71">
                  <c:v>474.24208264871459</c:v>
                </c:pt>
                <c:pt idx="72">
                  <c:v>490.07446491676569</c:v>
                </c:pt>
                <c:pt idx="73">
                  <c:v>505.89600117547621</c:v>
                </c:pt>
                <c:pt idx="74">
                  <c:v>521.70707824908243</c:v>
                </c:pt>
                <c:pt idx="75">
                  <c:v>452.5736038636926</c:v>
                </c:pt>
                <c:pt idx="76">
                  <c:v>468.0833430713248</c:v>
                </c:pt>
                <c:pt idx="77">
                  <c:v>483.58213472100368</c:v>
                </c:pt>
                <c:pt idx="78">
                  <c:v>499.07037896776484</c:v>
                </c:pt>
                <c:pt idx="79">
                  <c:v>514.54844911354769</c:v>
                </c:pt>
                <c:pt idx="80">
                  <c:v>530.01669417950643</c:v>
                </c:pt>
                <c:pt idx="81">
                  <c:v>545.47544116250788</c:v>
                </c:pt>
                <c:pt idx="82">
                  <c:v>560.92499702262251</c:v>
                </c:pt>
                <c:pt idx="83">
                  <c:v>576.36565044034694</c:v>
                </c:pt>
                <c:pt idx="84">
                  <c:v>591.79767337581677</c:v>
                </c:pt>
                <c:pt idx="85">
                  <c:v>497.07713799835079</c:v>
                </c:pt>
                <c:pt idx="86">
                  <c:v>511.86810422775801</c:v>
                </c:pt>
                <c:pt idx="87">
                  <c:v>526.6500465248198</c:v>
                </c:pt>
                <c:pt idx="88">
                  <c:v>541.42325375224198</c:v>
                </c:pt>
                <c:pt idx="89">
                  <c:v>556.18799772994441</c:v>
                </c:pt>
                <c:pt idx="90">
                  <c:v>570.94453467569519</c:v>
                </c:pt>
                <c:pt idx="91">
                  <c:v>585.69310648912392</c:v>
                </c:pt>
                <c:pt idx="92">
                  <c:v>600.43394189973117</c:v>
                </c:pt>
                <c:pt idx="93">
                  <c:v>615.16725749635543</c:v>
                </c:pt>
                <c:pt idx="94">
                  <c:v>629.89325865293824</c:v>
                </c:pt>
                <c:pt idx="95">
                  <c:v>534.19541658014123</c:v>
                </c:pt>
                <c:pt idx="96">
                  <c:v>548.52974915789878</c:v>
                </c:pt>
                <c:pt idx="97">
                  <c:v>562.85622727201314</c:v>
                </c:pt>
                <c:pt idx="98">
                  <c:v>577.1750789249121</c:v>
                </c:pt>
                <c:pt idx="99">
                  <c:v>591.4865198887544</c:v>
                </c:pt>
                <c:pt idx="100">
                  <c:v>605.79075464766549</c:v>
                </c:pt>
                <c:pt idx="101">
                  <c:v>620.08797724639373</c:v>
                </c:pt>
                <c:pt idx="102">
                  <c:v>634.37837205666608</c:v>
                </c:pt>
                <c:pt idx="103">
                  <c:v>648.66211447093985</c:v>
                </c:pt>
                <c:pt idx="104">
                  <c:v>662.93937153190393</c:v>
                </c:pt>
                <c:pt idx="105">
                  <c:v>570.10645226543568</c:v>
                </c:pt>
                <c:pt idx="106">
                  <c:v>584.22233594541558</c:v>
                </c:pt>
                <c:pt idx="107">
                  <c:v>598.33111302702525</c:v>
                </c:pt>
                <c:pt idx="108">
                  <c:v>612.43297461671352</c:v>
                </c:pt>
                <c:pt idx="109">
                  <c:v>626.52810230683519</c:v>
                </c:pt>
                <c:pt idx="110">
                  <c:v>640.61666885713123</c:v>
                </c:pt>
                <c:pt idx="111">
                  <c:v>654.69883881317605</c:v>
                </c:pt>
                <c:pt idx="112">
                  <c:v>668.77476906887966</c:v>
                </c:pt>
                <c:pt idx="113">
                  <c:v>682.84460937919937</c:v>
                </c:pt>
                <c:pt idx="114">
                  <c:v>696.9085028284253</c:v>
                </c:pt>
                <c:pt idx="115">
                  <c:v>611.60144661983577</c:v>
                </c:pt>
                <c:pt idx="116">
                  <c:v>625.79819588181374</c:v>
                </c:pt>
                <c:pt idx="117">
                  <c:v>639.98828052575846</c:v>
                </c:pt>
                <c:pt idx="118">
                  <c:v>654.1718690607247</c:v>
                </c:pt>
                <c:pt idx="119">
                  <c:v>668.34912209705237</c:v>
                </c:pt>
                <c:pt idx="120">
                  <c:v>682.52019287977851</c:v>
                </c:pt>
                <c:pt idx="121">
                  <c:v>696.68522777547548</c:v>
                </c:pt>
                <c:pt idx="122">
                  <c:v>710.84436671746278</c:v>
                </c:pt>
                <c:pt idx="123">
                  <c:v>724.99774361372829</c:v>
                </c:pt>
                <c:pt idx="124">
                  <c:v>739.14548672136289</c:v>
                </c:pt>
                <c:pt idx="125">
                  <c:v>660.3672047228556</c:v>
                </c:pt>
                <c:pt idx="126">
                  <c:v>674.68004772689903</c:v>
                </c:pt>
                <c:pt idx="127">
                  <c:v>688.98665470536037</c:v>
                </c:pt>
                <c:pt idx="128">
                  <c:v>703.28717330800021</c:v>
                </c:pt>
                <c:pt idx="129">
                  <c:v>717.58174469448932</c:v>
                </c:pt>
                <c:pt idx="130">
                  <c:v>731.87050394596361</c:v>
                </c:pt>
                <c:pt idx="131">
                  <c:v>746.15358044278616</c:v>
                </c:pt>
                <c:pt idx="132">
                  <c:v>760.43109821191001</c:v>
                </c:pt>
                <c:pt idx="133">
                  <c:v>774.70317624681275</c:v>
                </c:pt>
                <c:pt idx="134">
                  <c:v>788.96992880265259</c:v>
                </c:pt>
                <c:pt idx="135">
                  <c:v>706.17313205884875</c:v>
                </c:pt>
                <c:pt idx="136">
                  <c:v>720.62412165959506</c:v>
                </c:pt>
                <c:pt idx="137">
                  <c:v>735.06919883956846</c:v>
                </c:pt>
                <c:pt idx="138">
                  <c:v>749.50849607019029</c:v>
                </c:pt>
                <c:pt idx="139">
                  <c:v>763.94214030650789</c:v>
                </c:pt>
                <c:pt idx="140">
                  <c:v>778.37025331894165</c:v>
                </c:pt>
                <c:pt idx="141">
                  <c:v>792.79295199917215</c:v>
                </c:pt>
                <c:pt idx="142">
                  <c:v>807.21034864263572</c:v>
                </c:pt>
                <c:pt idx="143">
                  <c:v>821.62255120980205</c:v>
                </c:pt>
                <c:pt idx="144">
                  <c:v>836.02966356818786</c:v>
                </c:pt>
                <c:pt idx="145">
                  <c:v>751.7537832226094</c:v>
                </c:pt>
                <c:pt idx="146">
                  <c:v>766.480145604668</c:v>
                </c:pt>
                <c:pt idx="147">
                  <c:v>781.20077114690582</c:v>
                </c:pt>
                <c:pt idx="148">
                  <c:v>795.91578309294766</c:v>
                </c:pt>
                <c:pt idx="149">
                  <c:v>810.62529976170902</c:v>
                </c:pt>
                <c:pt idx="150">
                  <c:v>825.32943483180895</c:v>
                </c:pt>
                <c:pt idx="151">
                  <c:v>840.02829760468319</c:v>
                </c:pt>
                <c:pt idx="152">
                  <c:v>854.72199324834116</c:v>
                </c:pt>
                <c:pt idx="153">
                  <c:v>869.41062302350792</c:v>
                </c:pt>
                <c:pt idx="154">
                  <c:v>884.0942844937025</c:v>
                </c:pt>
                <c:pt idx="155">
                  <c:v>801.68185531072083</c:v>
                </c:pt>
                <c:pt idx="156">
                  <c:v>816.59767588950933</c:v>
                </c:pt>
                <c:pt idx="157">
                  <c:v>831.50800740434863</c:v>
                </c:pt>
                <c:pt idx="158">
                  <c:v>846.4129620601301</c:v>
                </c:pt>
                <c:pt idx="159">
                  <c:v>861.31264779157425</c:v>
                </c:pt>
                <c:pt idx="160">
                  <c:v>876.20716849831194</c:v>
                </c:pt>
                <c:pt idx="161">
                  <c:v>891.09662426316618</c:v>
                </c:pt>
                <c:pt idx="162">
                  <c:v>905.98111155509935</c:v>
                </c:pt>
                <c:pt idx="163">
                  <c:v>920.86072341815054</c:v>
                </c:pt>
                <c:pt idx="164">
                  <c:v>935.73554964753441</c:v>
                </c:pt>
                <c:pt idx="165">
                  <c:v>845.74929868432253</c:v>
                </c:pt>
                <c:pt idx="166">
                  <c:v>860.83095558024922</c:v>
                </c:pt>
                <c:pt idx="167">
                  <c:v>875.90731727411992</c:v>
                </c:pt>
                <c:pt idx="168">
                  <c:v>890.97848765822562</c:v>
                </c:pt>
                <c:pt idx="169">
                  <c:v>906.04456682719672</c:v>
                </c:pt>
                <c:pt idx="170">
                  <c:v>921.10565127895234</c:v>
                </c:pt>
                <c:pt idx="171">
                  <c:v>936.16183410183737</c:v>
                </c:pt>
                <c:pt idx="172">
                  <c:v>951.21320514911383</c:v>
                </c:pt>
                <c:pt idx="173">
                  <c:v>966.25985120184021</c:v>
                </c:pt>
                <c:pt idx="174">
                  <c:v>981.30185612109562</c:v>
                </c:pt>
                <c:pt idx="175">
                  <c:v>611.20107292388502</c:v>
                </c:pt>
                <c:pt idx="176">
                  <c:v>620.77065563567135</c:v>
                </c:pt>
                <c:pt idx="177">
                  <c:v>630.33718286185297</c:v>
                </c:pt>
                <c:pt idx="178">
                  <c:v>430.83621757402602</c:v>
                </c:pt>
                <c:pt idx="179">
                  <c:v>436.66477180231544</c:v>
                </c:pt>
                <c:pt idx="180">
                  <c:v>442.49165676181798</c:v>
                </c:pt>
                <c:pt idx="181">
                  <c:v>306.44019148450315</c:v>
                </c:pt>
                <c:pt idx="182">
                  <c:v>309.9623262690568</c:v>
                </c:pt>
                <c:pt idx="183">
                  <c:v>313.48357246422574</c:v>
                </c:pt>
                <c:pt idx="184">
                  <c:v>9.7531990238560927E-12</c:v>
                </c:pt>
                <c:pt idx="185">
                  <c:v>9.7531990238560927E-12</c:v>
                </c:pt>
                <c:pt idx="186">
                  <c:v>9.7531990238560927E-12</c:v>
                </c:pt>
                <c:pt idx="187">
                  <c:v>9.7531990238560927E-12</c:v>
                </c:pt>
                <c:pt idx="188">
                  <c:v>9.7531990238560927E-12</c:v>
                </c:pt>
                <c:pt idx="189">
                  <c:v>9.7531990238560927E-12</c:v>
                </c:pt>
                <c:pt idx="190">
                  <c:v>9.7531990238560927E-12</c:v>
                </c:pt>
                <c:pt idx="191">
                  <c:v>9.7531990238560927E-12</c:v>
                </c:pt>
                <c:pt idx="192">
                  <c:v>9.7531990238560927E-12</c:v>
                </c:pt>
                <c:pt idx="193">
                  <c:v>9.7531990238560927E-12</c:v>
                </c:pt>
                <c:pt idx="194">
                  <c:v>9.7531990238560927E-12</c:v>
                </c:pt>
                <c:pt idx="195">
                  <c:v>9.7531990238560927E-12</c:v>
                </c:pt>
                <c:pt idx="196">
                  <c:v>9.7531990238560927E-12</c:v>
                </c:pt>
                <c:pt idx="197">
                  <c:v>9.7531990238560927E-12</c:v>
                </c:pt>
                <c:pt idx="198">
                  <c:v>9.7531990238560927E-12</c:v>
                </c:pt>
                <c:pt idx="199">
                  <c:v>9.7531990238560927E-12</c:v>
                </c:pt>
                <c:pt idx="200">
                  <c:v>9.7531990238560927E-12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8.5641026373908407</c:v>
                </c:pt>
                <c:pt idx="2">
                  <c:v>16.750171356925268</c:v>
                </c:pt>
                <c:pt idx="3">
                  <c:v>24.814154097107675</c:v>
                </c:pt>
                <c:pt idx="4">
                  <c:v>32.802880198990124</c:v>
                </c:pt>
                <c:pt idx="5">
                  <c:v>40.737574255104683</c:v>
                </c:pt>
                <c:pt idx="6">
                  <c:v>48.630343659183183</c:v>
                </c:pt>
                <c:pt idx="7">
                  <c:v>56.488993579825284</c:v>
                </c:pt>
                <c:pt idx="8">
                  <c:v>64.318960625108559</c:v>
                </c:pt>
                <c:pt idx="9">
                  <c:v>72.124240771129223</c:v>
                </c:pt>
                <c:pt idx="10">
                  <c:v>79.90788990497127</c:v>
                </c:pt>
                <c:pt idx="11">
                  <c:v>87.672317369098337</c:v>
                </c:pt>
                <c:pt idx="12">
                  <c:v>95.419469317897367</c:v>
                </c:pt>
                <c:pt idx="13">
                  <c:v>103.1509490503684</c:v>
                </c:pt>
                <c:pt idx="14">
                  <c:v>110.86809919217301</c:v>
                </c:pt>
                <c:pt idx="15">
                  <c:v>118.57205969680662</c:v>
                </c:pt>
                <c:pt idx="16">
                  <c:v>126.26380992497417</c:v>
                </c:pt>
                <c:pt idx="17">
                  <c:v>133.94419989808699</c:v>
                </c:pt>
                <c:pt idx="18">
                  <c:v>141.61397398582207</c:v>
                </c:pt>
                <c:pt idx="19">
                  <c:v>149.27378917886855</c:v>
                </c:pt>
                <c:pt idx="20">
                  <c:v>156.92422940503644</c:v>
                </c:pt>
                <c:pt idx="21">
                  <c:v>164.56581690077618</c:v>
                </c:pt>
                <c:pt idx="22">
                  <c:v>172.19902135532388</c:v>
                </c:pt>
                <c:pt idx="23">
                  <c:v>179.82426734527743</c:v>
                </c:pt>
                <c:pt idx="24">
                  <c:v>187.44194043971996</c:v>
                </c:pt>
                <c:pt idx="25">
                  <c:v>195.05239225914997</c:v>
                </c:pt>
                <c:pt idx="26">
                  <c:v>202.65594470219867</c:v>
                </c:pt>
                <c:pt idx="27">
                  <c:v>210.25289350379276</c:v>
                </c:pt>
                <c:pt idx="28">
                  <c:v>217.84351125136371</c:v>
                </c:pt>
                <c:pt idx="29">
                  <c:v>225.4280499580608</c:v>
                </c:pt>
                <c:pt idx="30">
                  <c:v>233.00674327106756</c:v>
                </c:pt>
                <c:pt idx="31">
                  <c:v>240.57980837720436</c:v>
                </c:pt>
                <c:pt idx="32">
                  <c:v>248.14744765573963</c:v>
                </c:pt>
                <c:pt idx="33">
                  <c:v>255.70985011879577</c:v>
                </c:pt>
                <c:pt idx="34">
                  <c:v>263.26719267225525</c:v>
                </c:pt>
                <c:pt idx="35">
                  <c:v>270.81964122415599</c:v>
                </c:pt>
                <c:pt idx="36">
                  <c:v>278.36735166285297</c:v>
                </c:pt>
                <c:pt idx="37">
                  <c:v>285.91047072343866</c:v>
                </c:pt>
                <c:pt idx="38">
                  <c:v>293.44913675786432</c:v>
                </c:pt>
                <c:pt idx="39">
                  <c:v>300.98348042171295</c:v>
                </c:pt>
                <c:pt idx="40">
                  <c:v>308.51362528855435</c:v>
                </c:pt>
                <c:pt idx="41">
                  <c:v>316.03968840113345</c:v>
                </c:pt>
                <c:pt idx="42">
                  <c:v>323.56178076727167</c:v>
                </c:pt>
                <c:pt idx="43">
                  <c:v>257.93750690505584</c:v>
                </c:pt>
                <c:pt idx="44">
                  <c:v>276.14526868684135</c:v>
                </c:pt>
                <c:pt idx="45">
                  <c:v>294.3260789194498</c:v>
                </c:pt>
                <c:pt idx="46">
                  <c:v>312.48183631468436</c:v>
                </c:pt>
                <c:pt idx="47">
                  <c:v>330.61420092587235</c:v>
                </c:pt>
                <c:pt idx="48">
                  <c:v>348.72463586437283</c:v>
                </c:pt>
                <c:pt idx="49">
                  <c:v>366.81443989188602</c:v>
                </c:pt>
                <c:pt idx="50">
                  <c:v>384.88477324479385</c:v>
                </c:pt>
                <c:pt idx="51">
                  <c:v>334.65025498820768</c:v>
                </c:pt>
                <c:pt idx="52">
                  <c:v>353.10838038745561</c:v>
                </c:pt>
                <c:pt idx="53">
                  <c:v>371.54536746252899</c:v>
                </c:pt>
                <c:pt idx="54">
                  <c:v>389.96241232638954</c:v>
                </c:pt>
                <c:pt idx="55">
                  <c:v>408.3605889295356</c:v>
                </c:pt>
                <c:pt idx="56">
                  <c:v>426.74086659214868</c:v>
                </c:pt>
                <c:pt idx="57">
                  <c:v>445.10412435808092</c:v>
                </c:pt>
                <c:pt idx="58">
                  <c:v>463.45116285675294</c:v>
                </c:pt>
                <c:pt idx="59">
                  <c:v>394.85081282897653</c:v>
                </c:pt>
                <c:pt idx="60">
                  <c:v>412.6644383964213</c:v>
                </c:pt>
                <c:pt idx="61">
                  <c:v>430.46147656489694</c:v>
                </c:pt>
                <c:pt idx="62">
                  <c:v>448.24270933823431</c:v>
                </c:pt>
                <c:pt idx="63">
                  <c:v>466.0088516444161</c:v>
                </c:pt>
                <c:pt idx="64">
                  <c:v>483.76055947940108</c:v>
                </c:pt>
                <c:pt idx="65">
                  <c:v>501.49843679360833</c:v>
                </c:pt>
                <c:pt idx="66">
                  <c:v>519.22304135366949</c:v>
                </c:pt>
                <c:pt idx="67">
                  <c:v>440.49264125358167</c:v>
                </c:pt>
                <c:pt idx="68">
                  <c:v>457.5236501544295</c:v>
                </c:pt>
                <c:pt idx="69">
                  <c:v>474.54112349078923</c:v>
                </c:pt>
                <c:pt idx="70">
                  <c:v>491.54561476931968</c:v>
                </c:pt>
                <c:pt idx="71">
                  <c:v>508.53763609585832</c:v>
                </c:pt>
                <c:pt idx="72">
                  <c:v>525.51766258042323</c:v>
                </c:pt>
                <c:pt idx="73">
                  <c:v>542.48613614347107</c:v>
                </c:pt>
                <c:pt idx="74">
                  <c:v>559.4434688213463</c:v>
                </c:pt>
                <c:pt idx="75">
                  <c:v>485.29860499528695</c:v>
                </c:pt>
                <c:pt idx="76">
                  <c:v>501.93248910958238</c:v>
                </c:pt>
                <c:pt idx="77">
                  <c:v>518.55471213509702</c:v>
                </c:pt>
                <c:pt idx="78">
                  <c:v>535.16570030783839</c:v>
                </c:pt>
                <c:pt idx="79">
                  <c:v>551.76585126050918</c:v>
                </c:pt>
                <c:pt idx="80">
                  <c:v>568.35553676247412</c:v>
                </c:pt>
                <c:pt idx="81">
                  <c:v>584.93510512333023</c:v>
                </c:pt>
                <c:pt idx="82">
                  <c:v>601.50488330993562</c:v>
                </c:pt>
                <c:pt idx="83">
                  <c:v>618.06517881816455</c:v>
                </c:pt>
                <c:pt idx="84">
                  <c:v>634.61628133374438</c:v>
                </c:pt>
                <c:pt idx="85">
                  <c:v>533.02796493069138</c:v>
                </c:pt>
                <c:pt idx="86">
                  <c:v>548.89118988157031</c:v>
                </c:pt>
                <c:pt idx="87">
                  <c:v>564.74480274574603</c:v>
                </c:pt>
                <c:pt idx="88">
                  <c:v>580.58911121317794</c:v>
                </c:pt>
                <c:pt idx="89">
                  <c:v>596.42440482023801</c:v>
                </c:pt>
                <c:pt idx="90">
                  <c:v>612.2509564842436</c:v>
                </c:pt>
                <c:pt idx="91">
                  <c:v>628.0690238711569</c:v>
                </c:pt>
                <c:pt idx="92">
                  <c:v>643.87885061841985</c:v>
                </c:pt>
                <c:pt idx="93">
                  <c:v>659.68066743151769</c:v>
                </c:pt>
                <c:pt idx="94">
                  <c:v>675.47469307008441</c:v>
                </c:pt>
                <c:pt idx="95">
                  <c:v>572.83722659071452</c:v>
                </c:pt>
                <c:pt idx="96">
                  <c:v>588.21087078119456</c:v>
                </c:pt>
                <c:pt idx="97">
                  <c:v>603.57614857633223</c:v>
                </c:pt>
                <c:pt idx="98">
                  <c:v>618.93330283910791</c:v>
                </c:pt>
                <c:pt idx="99">
                  <c:v>634.28256340509904</c:v>
                </c:pt>
                <c:pt idx="100">
                  <c:v>649.62414808612709</c:v>
                </c:pt>
                <c:pt idx="101">
                  <c:v>664.95826357422709</c:v>
                </c:pt>
                <c:pt idx="102">
                  <c:v>680.28510625795423</c:v>
                </c:pt>
                <c:pt idx="103">
                  <c:v>695.60486296134877</c:v>
                </c:pt>
                <c:pt idx="104">
                  <c:v>710.91771161446911</c:v>
                </c:pt>
                <c:pt idx="105">
                  <c:v>611.3521021020731</c:v>
                </c:pt>
                <c:pt idx="106">
                  <c:v>626.49159753762979</c:v>
                </c:pt>
                <c:pt idx="107">
                  <c:v>641.62352318685794</c:v>
                </c:pt>
                <c:pt idx="108">
                  <c:v>656.74808261198393</c:v>
                </c:pt>
                <c:pt idx="109">
                  <c:v>671.86546924103743</c:v>
                </c:pt>
                <c:pt idx="110">
                  <c:v>686.97586709375025</c:v>
                </c:pt>
                <c:pt idx="111">
                  <c:v>702.07945144031191</c:v>
                </c:pt>
                <c:pt idx="112">
                  <c:v>717.17638940053257</c:v>
                </c:pt>
                <c:pt idx="113">
                  <c:v>732.26684048997402</c:v>
                </c:pt>
                <c:pt idx="114">
                  <c:v>747.35095711875499</c:v>
                </c:pt>
                <c:pt idx="115">
                  <c:v>655.85624900138566</c:v>
                </c:pt>
                <c:pt idx="116">
                  <c:v>671.08262465023415</c:v>
                </c:pt>
                <c:pt idx="117">
                  <c:v>686.30190130011806</c:v>
                </c:pt>
                <c:pt idx="118">
                  <c:v>701.51425844303503</c:v>
                </c:pt>
                <c:pt idx="119">
                  <c:v>716.71986715745197</c:v>
                </c:pt>
                <c:pt idx="120">
                  <c:v>731.9188906764839</c:v>
                </c:pt>
                <c:pt idx="121">
                  <c:v>747.11148490646144</c:v>
                </c:pt>
                <c:pt idx="122">
                  <c:v>762.29779890116197</c:v>
                </c:pt>
                <c:pt idx="123">
                  <c:v>777.4779752963168</c:v>
                </c:pt>
                <c:pt idx="124">
                  <c:v>792.65215070845068</c:v>
                </c:pt>
                <c:pt idx="125">
                  <c:v>708.15897088118447</c:v>
                </c:pt>
                <c:pt idx="126">
                  <c:v>723.51002509571629</c:v>
                </c:pt>
                <c:pt idx="127">
                  <c:v>738.85443683817709</c:v>
                </c:pt>
                <c:pt idx="128">
                  <c:v>754.19236338172016</c:v>
                </c:pt>
                <c:pt idx="129">
                  <c:v>769.52395508640473</c:v>
                </c:pt>
                <c:pt idx="130">
                  <c:v>784.84935583757169</c:v>
                </c:pt>
                <c:pt idx="131">
                  <c:v>800.16870344823099</c:v>
                </c:pt>
                <c:pt idx="132">
                  <c:v>815.48213002906016</c:v>
                </c:pt>
                <c:pt idx="133">
                  <c:v>830.78976232919547</c:v>
                </c:pt>
                <c:pt idx="134">
                  <c:v>846.09172205062214</c:v>
                </c:pt>
                <c:pt idx="135">
                  <c:v>757.28768467884549</c:v>
                </c:pt>
                <c:pt idx="136">
                  <c:v>772.78705124330099</c:v>
                </c:pt>
                <c:pt idx="137">
                  <c:v>788.28012003213962</c:v>
                </c:pt>
                <c:pt idx="138">
                  <c:v>803.76703215089447</c:v>
                </c:pt>
                <c:pt idx="139">
                  <c:v>819.24792282918395</c:v>
                </c:pt>
                <c:pt idx="140">
                  <c:v>834.72292177407928</c:v>
                </c:pt>
                <c:pt idx="141">
                  <c:v>850.19215349593026</c:v>
                </c:pt>
                <c:pt idx="142">
                  <c:v>865.655737609271</c:v>
                </c:pt>
                <c:pt idx="143">
                  <c:v>881.11378911112968</c:v>
                </c:pt>
                <c:pt idx="144">
                  <c:v>896.56641863881293</c:v>
                </c:pt>
                <c:pt idx="145">
                  <c:v>806.17522547859323</c:v>
                </c:pt>
                <c:pt idx="146">
                  <c:v>821.97007970060247</c:v>
                </c:pt>
                <c:pt idx="147">
                  <c:v>837.75882317181595</c:v>
                </c:pt>
                <c:pt idx="148">
                  <c:v>853.54158716852999</c:v>
                </c:pt>
                <c:pt idx="149">
                  <c:v>869.31849772135058</c:v>
                </c:pt>
                <c:pt idx="150">
                  <c:v>885.0896759181478</c:v>
                </c:pt>
                <c:pt idx="151">
                  <c:v>900.85523818431557</c:v>
                </c:pt>
                <c:pt idx="152">
                  <c:v>916.61529654241701</c:v>
                </c:pt>
                <c:pt idx="153">
                  <c:v>932.36995885306271</c:v>
                </c:pt>
                <c:pt idx="154">
                  <c:v>948.11932903868717</c:v>
                </c:pt>
                <c:pt idx="155">
                  <c:v>859.72606876661303</c:v>
                </c:pt>
                <c:pt idx="156">
                  <c:v>875.72426983086791</c:v>
                </c:pt>
                <c:pt idx="157">
                  <c:v>891.71662406952885</c:v>
                </c:pt>
                <c:pt idx="158">
                  <c:v>907.70325100068385</c:v>
                </c:pt>
                <c:pt idx="159">
                  <c:v>923.68426559393322</c:v>
                </c:pt>
                <c:pt idx="160">
                  <c:v>939.65977852079175</c:v>
                </c:pt>
                <c:pt idx="161">
                  <c:v>955.62989638719603</c:v>
                </c:pt>
                <c:pt idx="162">
                  <c:v>971.59472194968396</c:v>
                </c:pt>
                <c:pt idx="163">
                  <c:v>987.5543543166408</c:v>
                </c:pt>
                <c:pt idx="164">
                  <c:v>1003.5088891358791</c:v>
                </c:pt>
                <c:pt idx="165">
                  <c:v>906.99142386114011</c:v>
                </c:pt>
                <c:pt idx="166">
                  <c:v>923.16761448039449</c:v>
                </c:pt>
                <c:pt idx="167">
                  <c:v>939.33816477131688</c:v>
                </c:pt>
                <c:pt idx="168">
                  <c:v>955.50318539760417</c:v>
                </c:pt>
                <c:pt idx="169">
                  <c:v>971.66278297777069</c:v>
                </c:pt>
                <c:pt idx="170">
                  <c:v>987.81706029919678</c:v>
                </c:pt>
                <c:pt idx="171">
                  <c:v>1003.9661165174626</c:v>
                </c:pt>
                <c:pt idx="172">
                  <c:v>1020.110047342211</c:v>
                </c:pt>
                <c:pt idx="173">
                  <c:v>1036.2489452106438</c:v>
                </c:pt>
                <c:pt idx="174">
                  <c:v>1052.3828994496685</c:v>
                </c:pt>
                <c:pt idx="175">
                  <c:v>655.42683872404962</c:v>
                </c:pt>
                <c:pt idx="176">
                  <c:v>665.6904538499931</c:v>
                </c:pt>
                <c:pt idx="177">
                  <c:v>675.95081434243241</c:v>
                </c:pt>
                <c:pt idx="178">
                  <c:v>461.98583471884461</c:v>
                </c:pt>
                <c:pt idx="179">
                  <c:v>468.23678805666754</c:v>
                </c:pt>
                <c:pt idx="180">
                  <c:v>474.48596332749122</c:v>
                </c:pt>
                <c:pt idx="181">
                  <c:v>328.57803905562486</c:v>
                </c:pt>
                <c:pt idx="182">
                  <c:v>332.35523417935661</c:v>
                </c:pt>
                <c:pt idx="183">
                  <c:v>336.13148279796388</c:v>
                </c:pt>
                <c:pt idx="184">
                  <c:v>1.039519189921296E-11</c:v>
                </c:pt>
                <c:pt idx="185">
                  <c:v>1.039519189921296E-11</c:v>
                </c:pt>
                <c:pt idx="186">
                  <c:v>1.039519189921296E-11</c:v>
                </c:pt>
                <c:pt idx="187">
                  <c:v>1.039519189921296E-11</c:v>
                </c:pt>
                <c:pt idx="188">
                  <c:v>1.039519189921296E-11</c:v>
                </c:pt>
                <c:pt idx="189">
                  <c:v>1.039519189921296E-11</c:v>
                </c:pt>
                <c:pt idx="190">
                  <c:v>1.039519189921296E-11</c:v>
                </c:pt>
                <c:pt idx="191">
                  <c:v>1.039519189921296E-11</c:v>
                </c:pt>
                <c:pt idx="192">
                  <c:v>1.039519189921296E-11</c:v>
                </c:pt>
                <c:pt idx="193">
                  <c:v>1.039519189921296E-11</c:v>
                </c:pt>
                <c:pt idx="194">
                  <c:v>1.039519189921296E-11</c:v>
                </c:pt>
                <c:pt idx="195">
                  <c:v>1.039519189921296E-11</c:v>
                </c:pt>
                <c:pt idx="196">
                  <c:v>1.039519189921296E-11</c:v>
                </c:pt>
                <c:pt idx="197">
                  <c:v>1.039519189921296E-11</c:v>
                </c:pt>
                <c:pt idx="198">
                  <c:v>1.039519189921296E-11</c:v>
                </c:pt>
                <c:pt idx="199">
                  <c:v>1.039519189921296E-11</c:v>
                </c:pt>
                <c:pt idx="200">
                  <c:v>1.039519189921296E-11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9.5616949382660383</c:v>
                </c:pt>
                <c:pt idx="2">
                  <c:v>18.705313109464633</c:v>
                </c:pt>
                <c:pt idx="3">
                  <c:v>27.713913471041348</c:v>
                </c:pt>
                <c:pt idx="4">
                  <c:v>36.63928571324923</c:v>
                </c:pt>
                <c:pt idx="5">
                  <c:v>45.504902621489315</c:v>
                </c:pt>
                <c:pt idx="6">
                  <c:v>54.324154052570456</c:v>
                </c:pt>
                <c:pt idx="7">
                  <c:v>63.105671929451027</c:v>
                </c:pt>
                <c:pt idx="8">
                  <c:v>71.855468727259591</c:v>
                </c:pt>
                <c:pt idx="9">
                  <c:v>80.577963691700518</c:v>
                </c:pt>
                <c:pt idx="10">
                  <c:v>89.276536401515969</c:v>
                </c:pt>
                <c:pt idx="11">
                  <c:v>97.953851406261848</c:v>
                </c:pt>
                <c:pt idx="12">
                  <c:v>106.6120610047026</c:v>
                </c:pt>
                <c:pt idx="13">
                  <c:v>115.25293832361577</c:v>
                </c:pt>
                <c:pt idx="14">
                  <c:v>123.87796820488852</c:v>
                </c:pt>
                <c:pt idx="15">
                  <c:v>132.4884113504034</c:v>
                </c:pt>
                <c:pt idx="16">
                  <c:v>141.08535085862869</c:v>
                </c:pt>
                <c:pt idx="17">
                  <c:v>149.66972678860873</c:v>
                </c:pt>
                <c:pt idx="18">
                  <c:v>158.24236235660359</c:v>
                </c:pt>
                <c:pt idx="19">
                  <c:v>166.80398414435732</c:v>
                </c:pt>
                <c:pt idx="20">
                  <c:v>175.35523793162534</c:v>
                </c:pt>
                <c:pt idx="21">
                  <c:v>183.89670127221041</c:v>
                </c:pt>
                <c:pt idx="22">
                  <c:v>192.42889360669196</c:v>
                </c:pt>
                <c:pt idx="23">
                  <c:v>200.95228448450212</c:v>
                </c:pt>
                <c:pt idx="24">
                  <c:v>209.4673003157277</c:v>
                </c:pt>
                <c:pt idx="25">
                  <c:v>217.97432996590248</c:v>
                </c:pt>
                <c:pt idx="26">
                  <c:v>226.47372943043516</c:v>
                </c:pt>
                <c:pt idx="27">
                  <c:v>234.96582576966659</c:v>
                </c:pt>
                <c:pt idx="28">
                  <c:v>243.45092044456825</c:v>
                </c:pt>
                <c:pt idx="29">
                  <c:v>251.92929216251972</c:v>
                </c:pt>
                <c:pt idx="30">
                  <c:v>260.40119931953944</c:v>
                </c:pt>
                <c:pt idx="31">
                  <c:v>268.86688210773553</c:v>
                </c:pt>
                <c:pt idx="32">
                  <c:v>277.32656434318966</c:v>
                </c:pt>
                <c:pt idx="33">
                  <c:v>285.78045505893664</c:v>
                </c:pt>
                <c:pt idx="34">
                  <c:v>294.2287498994304</c:v>
                </c:pt>
                <c:pt idx="35">
                  <c:v>302.67163234634512</c:v>
                </c:pt>
                <c:pt idx="36">
                  <c:v>311.10927480034724</c:v>
                </c:pt>
                <c:pt idx="37">
                  <c:v>319.5418395392914</c:v>
                </c:pt>
                <c:pt idx="38">
                  <c:v>327.96947956991511</c:v>
                </c:pt>
                <c:pt idx="39">
                  <c:v>336.39233938735816</c:v>
                </c:pt>
                <c:pt idx="40">
                  <c:v>344.81055565459184</c:v>
                </c:pt>
                <c:pt idx="41">
                  <c:v>353.2242578119924</c:v>
                </c:pt>
                <c:pt idx="42">
                  <c:v>361.6335686257687</c:v>
                </c:pt>
                <c:pt idx="43">
                  <c:v>288.27072916376034</c:v>
                </c:pt>
                <c:pt idx="44">
                  <c:v>308.62518568141826</c:v>
                </c:pt>
                <c:pt idx="45">
                  <c:v>328.94983583510964</c:v>
                </c:pt>
                <c:pt idx="46">
                  <c:v>349.24677945570858</c:v>
                </c:pt>
                <c:pt idx="47">
                  <c:v>369.51785243596299</c:v>
                </c:pt>
                <c:pt idx="48">
                  <c:v>389.76467286577935</c:v>
                </c:pt>
                <c:pt idx="49">
                  <c:v>409.98867707683922</c:v>
                </c:pt>
                <c:pt idx="50">
                  <c:v>430.19114820235546</c:v>
                </c:pt>
                <c:pt idx="51">
                  <c:v>374.0299946718726</c:v>
                </c:pt>
                <c:pt idx="52">
                  <c:v>394.66558084481431</c:v>
                </c:pt>
                <c:pt idx="53">
                  <c:v>415.27778963859856</c:v>
                </c:pt>
                <c:pt idx="54">
                  <c:v>435.8679438632073</c:v>
                </c:pt>
                <c:pt idx="55">
                  <c:v>456.43723122622731</c:v>
                </c:pt>
                <c:pt idx="56">
                  <c:v>476.98672372207147</c:v>
                </c:pt>
                <c:pt idx="57">
                  <c:v>497.51739350639696</c:v>
                </c:pt>
                <c:pt idx="58">
                  <c:v>518.0301260144621</c:v>
                </c:pt>
                <c:pt idx="59">
                  <c:v>441.33318735024449</c:v>
                </c:pt>
                <c:pt idx="60">
                  <c:v>461.24899603079712</c:v>
                </c:pt>
                <c:pt idx="61">
                  <c:v>481.14646030941248</c:v>
                </c:pt>
                <c:pt idx="62">
                  <c:v>501.02644502286307</c:v>
                </c:pt>
                <c:pt idx="63">
                  <c:v>520.88974082713423</c:v>
                </c:pt>
                <c:pt idx="64">
                  <c:v>540.73707320387359</c:v>
                </c:pt>
                <c:pt idx="65">
                  <c:v>560.56911007631913</c:v>
                </c:pt>
                <c:pt idx="66">
                  <c:v>580.38646829195295</c:v>
                </c:pt>
                <c:pt idx="67">
                  <c:v>492.36159904668904</c:v>
                </c:pt>
                <c:pt idx="68">
                  <c:v>511.40290568116535</c:v>
                </c:pt>
                <c:pt idx="69">
                  <c:v>530.42924301057599</c:v>
                </c:pt>
                <c:pt idx="70">
                  <c:v>549.44122317119627</c:v>
                </c:pt>
                <c:pt idx="71">
                  <c:v>568.43941251314141</c:v>
                </c:pt>
                <c:pt idx="72">
                  <c:v>587.42433647196356</c:v>
                </c:pt>
                <c:pt idx="73">
                  <c:v>606.39648377808339</c:v>
                </c:pt>
                <c:pt idx="74">
                  <c:v>625.35631011236683</c:v>
                </c:pt>
                <c:pt idx="75">
                  <c:v>542.45669606323679</c:v>
                </c:pt>
                <c:pt idx="76">
                  <c:v>561.05440928576149</c:v>
                </c:pt>
                <c:pt idx="77">
                  <c:v>579.63922623081567</c:v>
                </c:pt>
                <c:pt idx="78">
                  <c:v>598.21161828301217</c:v>
                </c:pt>
                <c:pt idx="79">
                  <c:v>616.77202519388391</c:v>
                </c:pt>
                <c:pt idx="80">
                  <c:v>635.3208581120781</c:v>
                </c:pt>
                <c:pt idx="81">
                  <c:v>653.85850224152387</c:v>
                </c:pt>
                <c:pt idx="82">
                  <c:v>672.38531918270314</c:v>
                </c:pt>
                <c:pt idx="83">
                  <c:v>690.90164900267018</c:v>
                </c:pt>
                <c:pt idx="84">
                  <c:v>709.40781207181215</c:v>
                </c:pt>
                <c:pt idx="85">
                  <c:v>595.82145440707143</c:v>
                </c:pt>
                <c:pt idx="86">
                  <c:v>613.55789548994426</c:v>
                </c:pt>
                <c:pt idx="87">
                  <c:v>631.2837063358362</c:v>
                </c:pt>
                <c:pt idx="88">
                  <c:v>648.99922722644521</c:v>
                </c:pt>
                <c:pt idx="89">
                  <c:v>666.70477836698205</c:v>
                </c:pt>
                <c:pt idx="90">
                  <c:v>684.40066158324714</c:v>
                </c:pt>
                <c:pt idx="91">
                  <c:v>702.08716183420108</c:v>
                </c:pt>
                <c:pt idx="92">
                  <c:v>719.76454856432804</c:v>
                </c:pt>
                <c:pt idx="93">
                  <c:v>737.43307691635209</c:v>
                </c:pt>
                <c:pt idx="94">
                  <c:v>755.09298882179371</c:v>
                </c:pt>
                <c:pt idx="95">
                  <c:v>640.33183130100645</c:v>
                </c:pt>
                <c:pt idx="96">
                  <c:v>657.52115573561741</c:v>
                </c:pt>
                <c:pt idx="97">
                  <c:v>674.70122757316892</c:v>
                </c:pt>
                <c:pt idx="98">
                  <c:v>691.87231540164976</c:v>
                </c:pt>
                <c:pt idx="99">
                  <c:v>709.0346734017312</c:v>
                </c:pt>
                <c:pt idx="100">
                  <c:v>726.18854245672571</c:v>
                </c:pt>
                <c:pt idx="101">
                  <c:v>743.33415115230719</c:v>
                </c:pt>
                <c:pt idx="102">
                  <c:v>760.4717166792833</c:v>
                </c:pt>
                <c:pt idx="103">
                  <c:v>777.60144565083658</c:v>
                </c:pt>
                <c:pt idx="104">
                  <c:v>794.72353484408177</c:v>
                </c:pt>
                <c:pt idx="105">
                  <c:v>683.39563744279849</c:v>
                </c:pt>
                <c:pt idx="106">
                  <c:v>700.32340506833361</c:v>
                </c:pt>
                <c:pt idx="107">
                  <c:v>717.24280108580388</c:v>
                </c:pt>
                <c:pt idx="108">
                  <c:v>734.15405061955198</c:v>
                </c:pt>
                <c:pt idx="109">
                  <c:v>751.05736758627074</c:v>
                </c:pt>
                <c:pt idx="110">
                  <c:v>767.95295549779041</c:v>
                </c:pt>
                <c:pt idx="111">
                  <c:v>784.84100818961235</c:v>
                </c:pt>
                <c:pt idx="112">
                  <c:v>801.7217104835396</c:v>
                </c:pt>
                <c:pt idx="113">
                  <c:v>818.59523879165329</c:v>
                </c:pt>
                <c:pt idx="114">
                  <c:v>835.46176166795476</c:v>
                </c:pt>
                <c:pt idx="115">
                  <c:v>733.15686072460585</c:v>
                </c:pt>
                <c:pt idx="116">
                  <c:v>750.18203757377194</c:v>
                </c:pt>
                <c:pt idx="117">
                  <c:v>767.199363469898</c:v>
                </c:pt>
                <c:pt idx="118">
                  <c:v>784.20903691748515</c:v>
                </c:pt>
                <c:pt idx="119">
                  <c:v>801.21124711630875</c:v>
                </c:pt>
                <c:pt idx="120">
                  <c:v>818.20617458978086</c:v>
                </c:pt>
                <c:pt idx="121">
                  <c:v>835.19399175844899</c:v>
                </c:pt>
                <c:pt idx="122">
                  <c:v>852.17486346445639</c:v>
                </c:pt>
                <c:pt idx="123">
                  <c:v>869.14894745207482</c:v>
                </c:pt>
                <c:pt idx="124">
                  <c:v>886.1163948087933</c:v>
                </c:pt>
                <c:pt idx="125">
                  <c:v>791.63883779902199</c:v>
                </c:pt>
                <c:pt idx="126">
                  <c:v>808.80371461740867</c:v>
                </c:pt>
                <c:pt idx="127">
                  <c:v>825.96124536678508</c:v>
                </c:pt>
                <c:pt idx="128">
                  <c:v>843.1116039792995</c:v>
                </c:pt>
                <c:pt idx="129">
                  <c:v>860.25495674174408</c:v>
                </c:pt>
                <c:pt idx="130">
                  <c:v>877.39146278036435</c:v>
                </c:pt>
                <c:pt idx="131">
                  <c:v>894.52127450587011</c:v>
                </c:pt>
                <c:pt idx="132">
                  <c:v>911.64453802262517</c:v>
                </c:pt>
                <c:pt idx="133">
                  <c:v>928.76139350553524</c:v>
                </c:pt>
                <c:pt idx="134">
                  <c:v>945.87197554774275</c:v>
                </c:pt>
                <c:pt idx="135">
                  <c:v>846.57269862596866</c:v>
                </c:pt>
                <c:pt idx="136">
                  <c:v>863.90366853717831</c:v>
                </c:pt>
                <c:pt idx="137">
                  <c:v>881.22767358744534</c:v>
                </c:pt>
                <c:pt idx="138">
                  <c:v>898.54486982875926</c:v>
                </c:pt>
                <c:pt idx="139">
                  <c:v>915.85540681479506</c:v>
                </c:pt>
                <c:pt idx="140">
                  <c:v>933.15942799170989</c:v>
                </c:pt>
                <c:pt idx="141">
                  <c:v>950.45707105848317</c:v>
                </c:pt>
                <c:pt idx="142">
                  <c:v>967.74846829969408</c:v>
                </c:pt>
                <c:pt idx="143">
                  <c:v>985.03374689331122</c:v>
                </c:pt>
                <c:pt idx="144">
                  <c:v>1002.3130291957826</c:v>
                </c:pt>
                <c:pt idx="145">
                  <c:v>901.23767646995248</c:v>
                </c:pt>
                <c:pt idx="146">
                  <c:v>918.89929586045457</c:v>
                </c:pt>
                <c:pt idx="147">
                  <c:v>936.55415722524458</c:v>
                </c:pt>
                <c:pt idx="148">
                  <c:v>954.20240574592299</c:v>
                </c:pt>
                <c:pt idx="149">
                  <c:v>971.84418080275736</c:v>
                </c:pt>
                <c:pt idx="150">
                  <c:v>989.47961630972395</c:v>
                </c:pt>
                <c:pt idx="151">
                  <c:v>1007.108841024456</c:v>
                </c:pt>
                <c:pt idx="152">
                  <c:v>1024.7319788353882</c:v>
                </c:pt>
                <c:pt idx="153">
                  <c:v>1042.349149028156</c:v>
                </c:pt>
                <c:pt idx="154">
                  <c:v>1059.9604665330687</c:v>
                </c:pt>
                <c:pt idx="155">
                  <c:v>961.1178977893378</c:v>
                </c:pt>
                <c:pt idx="156">
                  <c:v>979.00714902772279</c:v>
                </c:pt>
                <c:pt idx="157">
                  <c:v>996.88993412159937</c:v>
                </c:pt>
                <c:pt idx="158">
                  <c:v>1014.7663852488846</c:v>
                </c:pt>
                <c:pt idx="159">
                  <c:v>1032.6366295572141</c:v>
                </c:pt>
                <c:pt idx="160">
                  <c:v>1050.5007894408673</c:v>
                </c:pt>
                <c:pt idx="161">
                  <c:v>1068.3589827979044</c:v>
                </c:pt>
                <c:pt idx="162">
                  <c:v>1086.211323269242</c:v>
                </c:pt>
                <c:pt idx="163">
                  <c:v>1104.0579204612179</c:v>
                </c:pt>
                <c:pt idx="164">
                  <c:v>1121.8988801530404</c:v>
                </c:pt>
                <c:pt idx="165">
                  <c:v>1013.9704095406892</c:v>
                </c:pt>
                <c:pt idx="166">
                  <c:v>1032.0589003654065</c:v>
                </c:pt>
                <c:pt idx="167">
                  <c:v>1050.1411534158851</c:v>
                </c:pt>
                <c:pt idx="168">
                  <c:v>1068.2172910777583</c:v>
                </c:pt>
                <c:pt idx="169">
                  <c:v>1086.2874312629961</c:v>
                </c:pt>
                <c:pt idx="170">
                  <c:v>1104.3516876466244</c:v>
                </c:pt>
                <c:pt idx="171">
                  <c:v>1122.4101698871759</c:v>
                </c:pt>
                <c:pt idx="172">
                  <c:v>1140.4629838322371</c:v>
                </c:pt>
                <c:pt idx="173">
                  <c:v>1158.510231710324</c:v>
                </c:pt>
                <c:pt idx="174">
                  <c:v>1176.5520123102044</c:v>
                </c:pt>
                <c:pt idx="175">
                  <c:v>732.67672240369313</c:v>
                </c:pt>
                <c:pt idx="176">
                  <c:v>744.15284084631367</c:v>
                </c:pt>
                <c:pt idx="177">
                  <c:v>755.62535991176446</c:v>
                </c:pt>
                <c:pt idx="178">
                  <c:v>516.39182276754491</c:v>
                </c:pt>
                <c:pt idx="179">
                  <c:v>523.38068013229065</c:v>
                </c:pt>
                <c:pt idx="180">
                  <c:v>530.36757109014115</c:v>
                </c:pt>
                <c:pt idx="181">
                  <c:v>367.24151226883578</c:v>
                </c:pt>
                <c:pt idx="182">
                  <c:v>371.46425432265534</c:v>
                </c:pt>
                <c:pt idx="183">
                  <c:v>375.68594961378062</c:v>
                </c:pt>
                <c:pt idx="184">
                  <c:v>1.1507534481029384E-11</c:v>
                </c:pt>
                <c:pt idx="185">
                  <c:v>1.1507534481029384E-11</c:v>
                </c:pt>
                <c:pt idx="186">
                  <c:v>1.1507534481029384E-11</c:v>
                </c:pt>
                <c:pt idx="187">
                  <c:v>1.1507534481029384E-11</c:v>
                </c:pt>
                <c:pt idx="188">
                  <c:v>1.1507534481029384E-11</c:v>
                </c:pt>
                <c:pt idx="189">
                  <c:v>1.1507534481029384E-11</c:v>
                </c:pt>
                <c:pt idx="190">
                  <c:v>1.1507534481029384E-11</c:v>
                </c:pt>
                <c:pt idx="191">
                  <c:v>1.1507534481029384E-11</c:v>
                </c:pt>
                <c:pt idx="192">
                  <c:v>1.1507534481029384E-11</c:v>
                </c:pt>
                <c:pt idx="193">
                  <c:v>1.1507534481029384E-11</c:v>
                </c:pt>
                <c:pt idx="194">
                  <c:v>1.1507534481029384E-11</c:v>
                </c:pt>
                <c:pt idx="195">
                  <c:v>1.1507534481029384E-11</c:v>
                </c:pt>
                <c:pt idx="196">
                  <c:v>1.1507534481029384E-11</c:v>
                </c:pt>
                <c:pt idx="197">
                  <c:v>1.1507534481029384E-11</c:v>
                </c:pt>
                <c:pt idx="198">
                  <c:v>1.1507534481029384E-11</c:v>
                </c:pt>
                <c:pt idx="199">
                  <c:v>1.1507534481029384E-11</c:v>
                </c:pt>
                <c:pt idx="200">
                  <c:v>1.1507534481029384E-11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6.4133292260059553</c:v>
                </c:pt>
                <c:pt idx="2">
                  <c:v>12.536457709380189</c:v>
                </c:pt>
                <c:pt idx="3">
                  <c:v>18.565865920050392</c:v>
                </c:pt>
                <c:pt idx="4">
                  <c:v>24.53750277399563</c:v>
                </c:pt>
                <c:pt idx="5">
                  <c:v>30.46766149842102</c:v>
                </c:pt>
                <c:pt idx="6">
                  <c:v>36.365636430385564</c:v>
                </c:pt>
                <c:pt idx="7">
                  <c:v>42.237419269620467</c:v>
                </c:pt>
                <c:pt idx="8">
                  <c:v>48.087183471540634</c:v>
                </c:pt>
                <c:pt idx="9">
                  <c:v>53.917996578966665</c:v>
                </c:pt>
                <c:pt idx="10">
                  <c:v>59.732204467914677</c:v>
                </c:pt>
                <c:pt idx="11">
                  <c:v>65.531656689282556</c:v>
                </c:pt>
                <c:pt idx="12">
                  <c:v>71.317847223958452</c:v>
                </c:pt>
                <c:pt idx="13">
                  <c:v>77.09200685716695</c:v>
                </c:pt>
                <c:pt idx="14">
                  <c:v>82.855166266171821</c:v>
                </c:pt>
                <c:pt idx="15">
                  <c:v>88.60820054533707</c:v>
                </c:pt>
                <c:pt idx="16">
                  <c:v>94.351861508694356</c:v>
                </c:pt>
                <c:pt idx="17">
                  <c:v>100.08680168193827</c:v>
                </c:pt>
                <c:pt idx="18">
                  <c:v>105.8135924863695</c:v>
                </c:pt>
                <c:pt idx="19">
                  <c:v>111.53273826611404</c:v>
                </c:pt>
                <c:pt idx="20">
                  <c:v>117.2446872779978</c:v>
                </c:pt>
                <c:pt idx="21">
                  <c:v>122.94984042098405</c:v>
                </c:pt>
                <c:pt idx="22">
                  <c:v>128.64855825574909</c:v>
                </c:pt>
                <c:pt idx="23">
                  <c:v>134.34116671189412</c:v>
                </c:pt>
                <c:pt idx="24">
                  <c:v>140.02796177459118</c:v>
                </c:pt>
                <c:pt idx="25">
                  <c:v>145.70921336811145</c:v>
                </c:pt>
                <c:pt idx="26">
                  <c:v>151.38516860049864</c:v>
                </c:pt>
                <c:pt idx="27">
                  <c:v>157.05605449502048</c:v>
                </c:pt>
                <c:pt idx="28">
                  <c:v>162.72208030558576</c:v>
                </c:pt>
                <c:pt idx="29">
                  <c:v>168.38343949209244</c:v>
                </c:pt>
                <c:pt idx="30">
                  <c:v>174.04031141565838</c:v>
                </c:pt>
                <c:pt idx="31">
                  <c:v>179.69286280147318</c:v>
                </c:pt>
                <c:pt idx="32">
                  <c:v>185.34124900759105</c:v>
                </c:pt>
                <c:pt idx="33">
                  <c:v>190.98561513067068</c:v>
                </c:pt>
                <c:pt idx="34">
                  <c:v>196.62609697391926</c:v>
                </c:pt>
                <c:pt idx="35">
                  <c:v>202.26282189796117</c:v>
                </c:pt>
                <c:pt idx="36">
                  <c:v>207.89590957173127</c:v>
                </c:pt>
                <c:pt idx="37">
                  <c:v>213.52547263759024</c:v>
                </c:pt>
                <c:pt idx="38">
                  <c:v>219.1516173025133</c:v>
                </c:pt>
                <c:pt idx="39">
                  <c:v>224.7744438652976</c:v>
                </c:pt>
                <c:pt idx="40">
                  <c:v>230.3940471881763</c:v>
                </c:pt>
                <c:pt idx="41">
                  <c:v>236.01051711994342</c:v>
                </c:pt>
                <c:pt idx="42">
                  <c:v>241.62393887663529</c:v>
                </c:pt>
                <c:pt idx="43">
                  <c:v>192.6482552696863</c:v>
                </c:pt>
                <c:pt idx="44">
                  <c:v>206.23751123795182</c:v>
                </c:pt>
                <c:pt idx="45">
                  <c:v>219.8060776352111</c:v>
                </c:pt>
                <c:pt idx="46">
                  <c:v>233.35541202267584</c:v>
                </c:pt>
                <c:pt idx="47">
                  <c:v>246.8867887534808</c:v>
                </c:pt>
                <c:pt idx="48">
                  <c:v>260.40133099669362</c:v>
                </c:pt>
                <c:pt idx="49">
                  <c:v>273.9000357570593</c:v>
                </c:pt>
                <c:pt idx="50">
                  <c:v>287.38379369926105</c:v>
                </c:pt>
                <c:pt idx="51">
                  <c:v>249.89865132482677</c:v>
                </c:pt>
                <c:pt idx="52">
                  <c:v>263.67254332348824</c:v>
                </c:pt>
                <c:pt idx="53">
                  <c:v>277.43020831953498</c:v>
                </c:pt>
                <c:pt idx="54">
                  <c:v>291.17256451859203</c:v>
                </c:pt>
                <c:pt idx="55">
                  <c:v>304.9004363472979</c:v>
                </c:pt>
                <c:pt idx="56">
                  <c:v>318.61456791199669</c:v>
                </c:pt>
                <c:pt idx="57">
                  <c:v>332.31563401769057</c:v>
                </c:pt>
                <c:pt idx="58">
                  <c:v>346.00424927391936</c:v>
                </c:pt>
                <c:pt idx="59">
                  <c:v>294.82010245534542</c:v>
                </c:pt>
                <c:pt idx="60">
                  <c:v>308.11171423569823</c:v>
                </c:pt>
                <c:pt idx="61">
                  <c:v>321.39059256735288</c:v>
                </c:pt>
                <c:pt idx="62">
                  <c:v>334.65733776176751</c:v>
                </c:pt>
                <c:pt idx="63">
                  <c:v>347.91249863909246</c:v>
                </c:pt>
                <c:pt idx="64">
                  <c:v>361.15657877984057</c:v>
                </c:pt>
                <c:pt idx="65">
                  <c:v>374.39004181135289</c:v>
                </c:pt>
                <c:pt idx="66">
                  <c:v>387.61331590761893</c:v>
                </c:pt>
                <c:pt idx="67">
                  <c:v>328.87497984775797</c:v>
                </c:pt>
                <c:pt idx="68">
                  <c:v>341.58180489739397</c:v>
                </c:pt>
                <c:pt idx="69">
                  <c:v>354.27823926333485</c:v>
                </c:pt>
                <c:pt idx="70">
                  <c:v>366.96470784936855</c:v>
                </c:pt>
                <c:pt idx="71">
                  <c:v>379.64160377761226</c:v>
                </c:pt>
                <c:pt idx="72">
                  <c:v>392.30929177004873</c:v>
                </c:pt>
                <c:pt idx="73">
                  <c:v>404.96811107043033</c:v>
                </c:pt>
                <c:pt idx="74">
                  <c:v>417.61837798173246</c:v>
                </c:pt>
                <c:pt idx="75">
                  <c:v>362.3040596591477</c:v>
                </c:pt>
                <c:pt idx="76">
                  <c:v>374.71386582744088</c:v>
                </c:pt>
                <c:pt idx="77">
                  <c:v>387.11472026821906</c:v>
                </c:pt>
                <c:pt idx="78">
                  <c:v>399.5069501849423</c:v>
                </c:pt>
                <c:pt idx="79">
                  <c:v>411.89086082351611</c:v>
                </c:pt>
                <c:pt idx="80">
                  <c:v>424.2667375756493</c:v>
                </c:pt>
                <c:pt idx="81">
                  <c:v>436.6348478239729</c:v>
                </c:pt>
                <c:pt idx="82">
                  <c:v>448.9954425671956</c:v>
                </c:pt>
                <c:pt idx="83">
                  <c:v>461.3487578569696</c:v>
                </c:pt>
                <c:pt idx="84">
                  <c:v>473.69501607284701</c:v>
                </c:pt>
                <c:pt idx="85">
                  <c:v>397.91215722502608</c:v>
                </c:pt>
                <c:pt idx="86">
                  <c:v>409.74634558212347</c:v>
                </c:pt>
                <c:pt idx="87">
                  <c:v>421.5731551444415</c:v>
                </c:pt>
                <c:pt idx="88">
                  <c:v>433.39282211262383</c:v>
                </c:pt>
                <c:pt idx="89">
                  <c:v>445.20556875156836</c:v>
                </c:pt>
                <c:pt idx="90">
                  <c:v>457.01160456842371</c:v>
                </c:pt>
                <c:pt idx="91">
                  <c:v>468.81112736251407</c:v>
                </c:pt>
                <c:pt idx="92">
                  <c:v>480.60432416405894</c:v>
                </c:pt>
                <c:pt idx="93">
                  <c:v>492.39137207595832</c:v>
                </c:pt>
                <c:pt idx="94">
                  <c:v>504.17243903078469</c:v>
                </c:pt>
                <c:pt idx="95">
                  <c:v>427.61003253531982</c:v>
                </c:pt>
                <c:pt idx="96">
                  <c:v>439.07849472499817</c:v>
                </c:pt>
                <c:pt idx="97">
                  <c:v>450.54053438477428</c:v>
                </c:pt>
                <c:pt idx="98">
                  <c:v>461.99633795034606</c:v>
                </c:pt>
                <c:pt idx="99">
                  <c:v>473.44608185682137</c:v>
                </c:pt>
                <c:pt idx="100">
                  <c:v>484.88993330917737</c:v>
                </c:pt>
                <c:pt idx="101">
                  <c:v>496.32805097619757</c:v>
                </c:pt>
                <c:pt idx="102">
                  <c:v>507.7605856171179</c:v>
                </c:pt>
                <c:pt idx="103">
                  <c:v>519.18768064889844</c:v>
                </c:pt>
                <c:pt idx="104">
                  <c:v>530.60947266096275</c:v>
                </c:pt>
                <c:pt idx="105">
                  <c:v>456.34109665225498</c:v>
                </c:pt>
                <c:pt idx="106">
                  <c:v>467.63445077189402</c:v>
                </c:pt>
                <c:pt idx="107">
                  <c:v>478.92199388487393</c:v>
                </c:pt>
                <c:pt idx="108">
                  <c:v>490.20388225735604</c:v>
                </c:pt>
                <c:pt idx="109">
                  <c:v>501.48026437590511</c:v>
                </c:pt>
                <c:pt idx="110">
                  <c:v>512.75128150473165</c:v>
                </c:pt>
                <c:pt idx="111">
                  <c:v>524.01706819138963</c:v>
                </c:pt>
                <c:pt idx="112">
                  <c:v>535.27775272673057</c:v>
                </c:pt>
                <c:pt idx="113">
                  <c:v>546.5334575641433</c:v>
                </c:pt>
                <c:pt idx="114">
                  <c:v>557.78429970246725</c:v>
                </c:pt>
                <c:pt idx="115">
                  <c:v>489.53863965793022</c:v>
                </c:pt>
                <c:pt idx="116">
                  <c:v>500.89632761094487</c:v>
                </c:pt>
                <c:pt idx="117">
                  <c:v>512.24856596096311</c:v>
                </c:pt>
                <c:pt idx="118">
                  <c:v>523.59549249644408</c:v>
                </c:pt>
                <c:pt idx="119">
                  <c:v>534.93723854713335</c:v>
                </c:pt>
                <c:pt idx="120">
                  <c:v>546.27392942022868</c:v>
                </c:pt>
                <c:pt idx="121">
                  <c:v>557.60568479846518</c:v>
                </c:pt>
                <c:pt idx="122">
                  <c:v>568.93261910415981</c:v>
                </c:pt>
                <c:pt idx="123">
                  <c:v>580.25484183276569</c:v>
                </c:pt>
                <c:pt idx="124">
                  <c:v>591.57245785904422</c:v>
                </c:pt>
                <c:pt idx="125">
                  <c:v>528.55175001756891</c:v>
                </c:pt>
                <c:pt idx="126">
                  <c:v>540.00191836907311</c:v>
                </c:pt>
                <c:pt idx="127">
                  <c:v>551.44698757408059</c:v>
                </c:pt>
                <c:pt idx="128">
                  <c:v>562.88707836457763</c:v>
                </c:pt>
                <c:pt idx="129">
                  <c:v>574.32230616565948</c:v>
                </c:pt>
                <c:pt idx="130">
                  <c:v>585.75278143205185</c:v>
                </c:pt>
                <c:pt idx="131">
                  <c:v>597.17860995700732</c:v>
                </c:pt>
                <c:pt idx="132">
                  <c:v>608.59989315633834</c:v>
                </c:pt>
                <c:pt idx="133">
                  <c:v>620.01672833002647</c:v>
                </c:pt>
                <c:pt idx="134">
                  <c:v>631.42920890356925</c:v>
                </c:pt>
                <c:pt idx="135">
                  <c:v>565.19576710283252</c:v>
                </c:pt>
                <c:pt idx="136">
                  <c:v>576.75610298916263</c:v>
                </c:pt>
                <c:pt idx="137">
                  <c:v>588.31160433796992</c:v>
                </c:pt>
                <c:pt idx="138">
                  <c:v>599.86237947003792</c:v>
                </c:pt>
                <c:pt idx="139">
                  <c:v>611.40853219545909</c:v>
                </c:pt>
                <c:pt idx="140">
                  <c:v>622.95016208489699</c:v>
                </c:pt>
                <c:pt idx="141">
                  <c:v>634.48736471971256</c:v>
                </c:pt>
                <c:pt idx="142">
                  <c:v>646.02023192295337</c:v>
                </c:pt>
                <c:pt idx="143">
                  <c:v>657.54885197300246</c:v>
                </c:pt>
                <c:pt idx="144">
                  <c:v>669.07330980146787</c:v>
                </c:pt>
                <c:pt idx="145">
                  <c:v>601.65849708437679</c:v>
                </c:pt>
                <c:pt idx="146">
                  <c:v>613.43879211829812</c:v>
                </c:pt>
                <c:pt idx="147">
                  <c:v>625.21439618578745</c:v>
                </c:pt>
                <c:pt idx="148">
                  <c:v>636.98541006213668</c:v>
                </c:pt>
                <c:pt idx="149">
                  <c:v>648.7519304957433</c:v>
                </c:pt>
                <c:pt idx="150">
                  <c:v>660.51405044067269</c:v>
                </c:pt>
                <c:pt idx="151">
                  <c:v>672.27185927180437</c:v>
                </c:pt>
                <c:pt idx="152">
                  <c:v>684.02544298414944</c:v>
                </c:pt>
                <c:pt idx="153">
                  <c:v>695.7748843777639</c:v>
                </c:pt>
                <c:pt idx="154">
                  <c:v>707.52026322953031</c:v>
                </c:pt>
                <c:pt idx="155">
                  <c:v>641.59785094366441</c:v>
                </c:pt>
                <c:pt idx="156">
                  <c:v>653.52936024571716</c:v>
                </c:pt>
                <c:pt idx="157">
                  <c:v>665.45638118561703</c:v>
                </c:pt>
                <c:pt idx="158">
                  <c:v>677.37900551237442</c:v>
                </c:pt>
                <c:pt idx="159">
                  <c:v>689.29732148331743</c:v>
                </c:pt>
                <c:pt idx="160">
                  <c:v>701.21141405631386</c:v>
                </c:pt>
                <c:pt idx="161">
                  <c:v>713.1213650682588</c:v>
                </c:pt>
                <c:pt idx="162">
                  <c:v>725.02725340102563</c:v>
                </c:pt>
                <c:pt idx="163">
                  <c:v>736.92915513595392</c:v>
                </c:pt>
                <c:pt idx="164">
                  <c:v>748.82714369784742</c:v>
                </c:pt>
                <c:pt idx="165">
                  <c:v>676.84813645747329</c:v>
                </c:pt>
                <c:pt idx="166">
                  <c:v>688.91201547636729</c:v>
                </c:pt>
                <c:pt idx="167">
                  <c:v>700.97156465237379</c:v>
                </c:pt>
                <c:pt idx="168">
                  <c:v>713.0268689373587</c:v>
                </c:pt>
                <c:pt idx="169">
                  <c:v>725.0780101778729</c:v>
                </c:pt>
                <c:pt idx="170">
                  <c:v>737.1250672794655</c:v>
                </c:pt>
                <c:pt idx="171">
                  <c:v>749.1681163597068</c:v>
                </c:pt>
                <c:pt idx="172">
                  <c:v>761.20723089086403</c:v>
                </c:pt>
                <c:pt idx="173">
                  <c:v>773.24248183309089</c:v>
                </c:pt>
                <c:pt idx="174">
                  <c:v>785.27393775889823</c:v>
                </c:pt>
                <c:pt idx="175">
                  <c:v>489.21833082634186</c:v>
                </c:pt>
                <c:pt idx="176">
                  <c:v>496.87420685903498</c:v>
                </c:pt>
                <c:pt idx="177">
                  <c:v>504.52758444644269</c:v>
                </c:pt>
                <c:pt idx="178">
                  <c:v>344.91098922491921</c:v>
                </c:pt>
                <c:pt idx="179">
                  <c:v>349.57471993851476</c:v>
                </c:pt>
                <c:pt idx="180">
                  <c:v>354.2370857048416</c:v>
                </c:pt>
                <c:pt idx="181">
                  <c:v>245.36731571943736</c:v>
                </c:pt>
                <c:pt idx="182">
                  <c:v>248.18601920576737</c:v>
                </c:pt>
                <c:pt idx="183">
                  <c:v>251.00399609991334</c:v>
                </c:pt>
                <c:pt idx="184">
                  <c:v>7.9599429739955953E-12</c:v>
                </c:pt>
                <c:pt idx="185">
                  <c:v>7.9599429739955953E-12</c:v>
                </c:pt>
                <c:pt idx="186">
                  <c:v>7.9599429739955953E-12</c:v>
                </c:pt>
                <c:pt idx="187">
                  <c:v>7.9599429739955953E-12</c:v>
                </c:pt>
                <c:pt idx="188">
                  <c:v>7.9599429739955953E-12</c:v>
                </c:pt>
                <c:pt idx="189">
                  <c:v>7.9599429739955953E-12</c:v>
                </c:pt>
                <c:pt idx="190">
                  <c:v>7.9599429739955953E-12</c:v>
                </c:pt>
                <c:pt idx="191">
                  <c:v>7.9599429739955953E-12</c:v>
                </c:pt>
                <c:pt idx="192">
                  <c:v>7.9599429739955953E-12</c:v>
                </c:pt>
                <c:pt idx="193">
                  <c:v>7.9599429739955953E-12</c:v>
                </c:pt>
                <c:pt idx="194">
                  <c:v>7.9599429739955953E-12</c:v>
                </c:pt>
                <c:pt idx="195">
                  <c:v>7.9599429739955953E-12</c:v>
                </c:pt>
                <c:pt idx="196">
                  <c:v>7.9599429739955953E-12</c:v>
                </c:pt>
                <c:pt idx="197">
                  <c:v>7.9599429739955953E-12</c:v>
                </c:pt>
                <c:pt idx="198">
                  <c:v>7.9599429739955953E-12</c:v>
                </c:pt>
                <c:pt idx="199">
                  <c:v>7.9599429739955953E-12</c:v>
                </c:pt>
                <c:pt idx="200">
                  <c:v>7.9599429739955953E-12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87" t="s">
        <v>291</v>
      </c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</row>
    <row r="13" spans="2:13" ht="15" customHeight="1" x14ac:dyDescent="0.2">
      <c r="B13" s="287"/>
      <c r="C13" s="287"/>
      <c r="D13" s="287"/>
      <c r="E13" s="287"/>
      <c r="F13" s="287"/>
      <c r="G13" s="287"/>
      <c r="H13" s="287"/>
      <c r="I13" s="287"/>
      <c r="J13" s="287"/>
      <c r="K13" s="287"/>
      <c r="L13" s="287"/>
      <c r="M13" s="287"/>
    </row>
    <row r="14" spans="2:13" ht="15" customHeight="1" x14ac:dyDescent="0.2"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</row>
    <row r="15" spans="2:13" ht="18.75" customHeight="1" x14ac:dyDescent="0.2">
      <c r="B15" s="287"/>
      <c r="C15" s="287"/>
      <c r="D15" s="287"/>
      <c r="E15" s="287"/>
      <c r="F15" s="287"/>
      <c r="G15" s="287"/>
      <c r="H15" s="287"/>
      <c r="I15" s="287"/>
      <c r="J15" s="287"/>
      <c r="K15" s="287"/>
      <c r="L15" s="287"/>
      <c r="M15" s="287"/>
    </row>
    <row r="16" spans="2:13" ht="18.75" customHeight="1" x14ac:dyDescent="0.2">
      <c r="B16" s="287"/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</row>
    <row r="18" spans="2:13" ht="12" customHeight="1" x14ac:dyDescent="0.2">
      <c r="B18" s="287" t="s">
        <v>292</v>
      </c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</row>
    <row r="19" spans="2:13" ht="12" customHeight="1" x14ac:dyDescent="0.2">
      <c r="B19" s="287"/>
      <c r="C19" s="287"/>
      <c r="D19" s="287"/>
      <c r="E19" s="287"/>
      <c r="F19" s="287"/>
      <c r="G19" s="287"/>
      <c r="H19" s="287"/>
      <c r="I19" s="287"/>
      <c r="J19" s="287"/>
      <c r="K19" s="287"/>
      <c r="L19" s="287"/>
      <c r="M19" s="287"/>
    </row>
    <row r="20" spans="2:13" ht="12" customHeight="1" x14ac:dyDescent="0.2">
      <c r="B20" s="287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</row>
    <row r="21" spans="2:13" ht="12" customHeight="1" x14ac:dyDescent="0.2">
      <c r="B21" s="287"/>
      <c r="C21" s="287"/>
      <c r="D21" s="287"/>
      <c r="E21" s="287"/>
      <c r="F21" s="287"/>
      <c r="G21" s="287"/>
      <c r="H21" s="287"/>
      <c r="I21" s="287"/>
      <c r="J21" s="287"/>
      <c r="K21" s="287"/>
      <c r="L21" s="287"/>
      <c r="M21" s="287"/>
    </row>
    <row r="22" spans="2:13" ht="12" customHeight="1" x14ac:dyDescent="0.2">
      <c r="B22" s="287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87"/>
    </row>
    <row r="23" spans="2:13" ht="12" customHeight="1" x14ac:dyDescent="0.2">
      <c r="B23" s="287"/>
      <c r="C23" s="287"/>
      <c r="D23" s="287"/>
      <c r="E23" s="287"/>
      <c r="F23" s="287"/>
      <c r="G23" s="287"/>
      <c r="H23" s="287"/>
      <c r="I23" s="287"/>
      <c r="J23" s="287"/>
      <c r="K23" s="287"/>
      <c r="L23" s="287"/>
      <c r="M23" s="287"/>
    </row>
    <row r="24" spans="2:13" ht="12" customHeight="1" x14ac:dyDescent="0.2">
      <c r="B24" s="287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</row>
    <row r="25" spans="2:13" ht="12" customHeight="1" x14ac:dyDescent="0.2">
      <c r="B25" s="287"/>
      <c r="C25" s="287"/>
      <c r="D25" s="287"/>
      <c r="E25" s="287"/>
      <c r="F25" s="287"/>
      <c r="G25" s="287"/>
      <c r="H25" s="287"/>
      <c r="I25" s="287"/>
      <c r="J25" s="287"/>
      <c r="K25" s="287"/>
      <c r="L25" s="287"/>
      <c r="M25" s="287"/>
    </row>
    <row r="26" spans="2:13" ht="12" customHeight="1" x14ac:dyDescent="0.2">
      <c r="B26" s="287"/>
      <c r="C26" s="287"/>
      <c r="D26" s="287"/>
      <c r="E26" s="287"/>
      <c r="F26" s="287"/>
      <c r="G26" s="287"/>
      <c r="H26" s="287"/>
      <c r="I26" s="287"/>
      <c r="J26" s="287"/>
      <c r="K26" s="287"/>
      <c r="L26" s="287"/>
      <c r="M26" s="287"/>
    </row>
    <row r="27" spans="2:13" ht="12" customHeight="1" x14ac:dyDescent="0.2">
      <c r="B27" s="287"/>
      <c r="C27" s="287"/>
      <c r="D27" s="287"/>
      <c r="E27" s="287"/>
      <c r="F27" s="287"/>
      <c r="G27" s="287"/>
      <c r="H27" s="287"/>
      <c r="I27" s="287"/>
      <c r="J27" s="287"/>
      <c r="K27" s="287"/>
      <c r="L27" s="287"/>
      <c r="M27" s="287"/>
    </row>
    <row r="28" spans="2:13" ht="12" customHeight="1" x14ac:dyDescent="0.2">
      <c r="B28" s="287"/>
      <c r="C28" s="287"/>
      <c r="D28" s="287"/>
      <c r="E28" s="287"/>
      <c r="F28" s="287"/>
      <c r="G28" s="287"/>
      <c r="H28" s="287"/>
      <c r="I28" s="287"/>
      <c r="J28" s="287"/>
      <c r="K28" s="287"/>
      <c r="L28" s="287"/>
      <c r="M28" s="287"/>
    </row>
    <row r="29" spans="2:13" ht="12" customHeight="1" x14ac:dyDescent="0.2">
      <c r="B29" s="287"/>
      <c r="C29" s="287"/>
      <c r="D29" s="287"/>
      <c r="E29" s="287"/>
      <c r="F29" s="287"/>
      <c r="G29" s="287"/>
      <c r="H29" s="287"/>
      <c r="I29" s="287"/>
      <c r="J29" s="287"/>
      <c r="K29" s="287"/>
      <c r="L29" s="287"/>
      <c r="M29" s="287"/>
    </row>
    <row r="30" spans="2:13" ht="12" customHeight="1" x14ac:dyDescent="0.2">
      <c r="B30" s="287"/>
      <c r="C30" s="287"/>
      <c r="D30" s="287"/>
      <c r="E30" s="287"/>
      <c r="F30" s="287"/>
      <c r="G30" s="287"/>
      <c r="H30" s="287"/>
      <c r="I30" s="287"/>
      <c r="J30" s="287"/>
      <c r="K30" s="287"/>
      <c r="L30" s="287"/>
      <c r="M30" s="287"/>
    </row>
    <row r="31" spans="2:13" ht="12" customHeight="1" x14ac:dyDescent="0.2">
      <c r="B31" s="287"/>
      <c r="C31" s="287"/>
      <c r="D31" s="287"/>
      <c r="E31" s="287"/>
      <c r="F31" s="287"/>
      <c r="G31" s="287"/>
      <c r="H31" s="287"/>
      <c r="I31" s="287"/>
      <c r="J31" s="287"/>
      <c r="K31" s="287"/>
      <c r="L31" s="287"/>
      <c r="M31" s="28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Normal="80" workbookViewId="0">
      <selection activeCell="F18" sqref="F18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88" t="s">
        <v>190</v>
      </c>
      <c r="D1" s="288"/>
      <c r="E1" s="28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3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3" t="s">
        <v>192</v>
      </c>
      <c r="C3" s="294"/>
      <c r="D3" s="294"/>
      <c r="E3" s="294"/>
      <c r="F3" s="295"/>
      <c r="G3" s="91"/>
      <c r="I3" s="223" t="s">
        <v>304</v>
      </c>
      <c r="J3" s="9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3"/>
      <c r="B4" s="93"/>
      <c r="C4" s="93"/>
      <c r="D4" s="93"/>
      <c r="E4" s="93"/>
      <c r="F4" s="93"/>
      <c r="G4" s="233"/>
      <c r="I4" s="223" t="s">
        <v>305</v>
      </c>
      <c r="J4" s="9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299" t="s">
        <v>231</v>
      </c>
      <c r="B5" s="299"/>
      <c r="C5" s="26">
        <v>3.6669999999999998</v>
      </c>
      <c r="D5" s="300" t="s">
        <v>229</v>
      </c>
      <c r="E5" s="301"/>
      <c r="F5" s="93"/>
      <c r="G5" s="233"/>
      <c r="H5" s="234"/>
      <c r="I5" s="234"/>
      <c r="J5" s="242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4"/>
      <c r="B6" s="94"/>
      <c r="C6" s="95"/>
      <c r="D6" s="89"/>
      <c r="E6" s="89"/>
      <c r="F6" s="29"/>
      <c r="G6" s="235"/>
      <c r="H6" s="236"/>
      <c r="I6" s="236"/>
      <c r="J6" s="243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38" ht="26" x14ac:dyDescent="0.2">
      <c r="A7" s="297" t="s">
        <v>226</v>
      </c>
      <c r="B7" s="297"/>
      <c r="C7" s="93"/>
      <c r="D7" s="93"/>
      <c r="E7" s="5"/>
      <c r="F7" s="93"/>
      <c r="G7" s="233"/>
      <c r="H7" s="234"/>
      <c r="I7" s="234"/>
      <c r="J7" s="242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48"/>
      <c r="J8" s="242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25</v>
      </c>
      <c r="C9" s="35">
        <v>0.11363636000000001</v>
      </c>
      <c r="D9" s="36">
        <f t="shared" ref="D9:D18" si="0">C9*$C$5</f>
        <v>0.41670453212000003</v>
      </c>
      <c r="E9" s="37">
        <v>90</v>
      </c>
      <c r="F9" s="38" t="str">
        <f t="array" ref="F9">IF(E9="","",IF(INDEX(A:A,MAX(IF(ISNUMBER($A$36:$A$55),ROW($A$36:$A$55),"")))&lt;&gt;E9,"Corrigez : révolution incorrecte","OK"))</f>
        <v>OK</v>
      </c>
      <c r="G9" s="253" t="s">
        <v>306</v>
      </c>
      <c r="H9" s="25" t="s">
        <v>324</v>
      </c>
      <c r="I9" s="249"/>
      <c r="J9" s="242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21</v>
      </c>
      <c r="C10" s="35">
        <v>6.8181820000000004E-2</v>
      </c>
      <c r="D10" s="36">
        <f t="shared" si="0"/>
        <v>0.25002273394000002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H10" s="25" t="s">
        <v>326</v>
      </c>
      <c r="I10" s="249"/>
      <c r="J10" s="242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 t="s">
        <v>23</v>
      </c>
      <c r="C11" s="35">
        <v>2.2727270000000001E-2</v>
      </c>
      <c r="D11" s="36">
        <f t="shared" si="0"/>
        <v>8.3340899090000004E-2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26" t="s">
        <v>325</v>
      </c>
      <c r="I11" s="249"/>
      <c r="J11" s="242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 t="s">
        <v>8</v>
      </c>
      <c r="C12" s="35">
        <v>3.4090910000000002E-2</v>
      </c>
      <c r="D12" s="36">
        <f t="shared" si="0"/>
        <v>0.12501136697000001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26" t="s">
        <v>327</v>
      </c>
      <c r="I12" s="249"/>
      <c r="J12" s="242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 t="s">
        <v>5</v>
      </c>
      <c r="C13" s="35">
        <v>0.11363636000000001</v>
      </c>
      <c r="D13" s="36">
        <f t="shared" si="0"/>
        <v>0.41670453212000003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H13" s="226" t="s">
        <v>328</v>
      </c>
      <c r="I13" s="249"/>
      <c r="J13" s="242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 t="s">
        <v>11</v>
      </c>
      <c r="C14" s="35">
        <v>4.5454550000000003E-2</v>
      </c>
      <c r="D14" s="36">
        <f t="shared" si="0"/>
        <v>0.16668183485000002</v>
      </c>
      <c r="E14" s="37">
        <v>183</v>
      </c>
      <c r="F14" s="38" t="str">
        <f t="array" ref="F14">IF(E14="","",IF(INDEX(A:A,MAX(IF(ISNUMBER($A$166:$A$185),ROW($A$166:$A$185),"")))&lt;&gt;E14,"Corrigez : révolution incorrecte","OK"))</f>
        <v>OK</v>
      </c>
      <c r="H14" s="226" t="s">
        <v>329</v>
      </c>
      <c r="I14" s="249"/>
      <c r="J14" s="242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 t="s">
        <v>14</v>
      </c>
      <c r="C15" s="35">
        <v>4.5454550000000003E-2</v>
      </c>
      <c r="D15" s="36">
        <f t="shared" si="0"/>
        <v>0.16668183485000002</v>
      </c>
      <c r="E15" s="37">
        <v>183</v>
      </c>
      <c r="F15" s="38" t="str">
        <f t="array" ref="F15">IF(E15="","",IF(INDEX(A:A,MAX(IF(ISNUMBER($A$192:$A$211),ROW($A$192:$A$211),"")))&lt;&gt;E15,"Corrigez : révolution incorrecte","OK"))</f>
        <v>OK</v>
      </c>
      <c r="H15" s="226" t="s">
        <v>329</v>
      </c>
      <c r="I15" s="249"/>
      <c r="J15" s="242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 t="s">
        <v>12</v>
      </c>
      <c r="C16" s="35">
        <v>4.5454550000000003E-2</v>
      </c>
      <c r="D16" s="36">
        <f t="shared" si="0"/>
        <v>0.16668183485000002</v>
      </c>
      <c r="E16" s="37">
        <v>183</v>
      </c>
      <c r="F16" s="38" t="str">
        <f t="array" ref="F16">IF(E16="","",IF(INDEX(A:A,MAX(IF(ISNUMBER($A$218:$A$237),ROW($A$218:$A$237),"")))&lt;&gt;E16,"Corrigez : révolution incorrecte","OK"))</f>
        <v>OK</v>
      </c>
      <c r="H16" s="226" t="s">
        <v>329</v>
      </c>
      <c r="I16" s="249"/>
      <c r="J16" s="242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 t="s">
        <v>50</v>
      </c>
      <c r="C17" s="35">
        <v>4.5454550000000003E-2</v>
      </c>
      <c r="D17" s="36">
        <f t="shared" si="0"/>
        <v>0.16668183485000002</v>
      </c>
      <c r="E17" s="37">
        <v>183</v>
      </c>
      <c r="F17" s="38" t="str">
        <f t="array" ref="F17">IF(E17="","",IF(INDEX(A:A,MAX(IF(ISNUMBER($A$244:$A$263),ROW($A$244:$A$263),"")))&lt;&gt;E17,"Corrigez : révolution incorrecte","OK"))</f>
        <v>OK</v>
      </c>
      <c r="H17" s="226" t="s">
        <v>330</v>
      </c>
      <c r="I17" s="249"/>
      <c r="J17" s="242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 t="s">
        <v>6</v>
      </c>
      <c r="C18" s="35">
        <v>0.15909091</v>
      </c>
      <c r="D18" s="36">
        <f t="shared" si="0"/>
        <v>0.58338636697000001</v>
      </c>
      <c r="E18" s="37">
        <v>125</v>
      </c>
      <c r="F18" s="38" t="str">
        <f t="array" ref="F18">IF(E18="","",IF(INDEX(A:A,MAX(IF(ISNUMBER($A$270:$A$289),ROW($A$270:$A$289),"")))&lt;&gt;E18,"Corrigez : révolution incorrecte","OK"))</f>
        <v>OK</v>
      </c>
      <c r="H18" s="226"/>
      <c r="I18" s="249"/>
      <c r="J18" s="242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96"/>
      <c r="B19" s="39" t="s">
        <v>175</v>
      </c>
      <c r="C19" s="40">
        <f>SUM(C9:C18)</f>
        <v>0.69318182999999989</v>
      </c>
      <c r="D19" s="41">
        <f>SUM(D9:D18)</f>
        <v>2.5418977706100008</v>
      </c>
      <c r="E19" s="5"/>
      <c r="F19" s="97"/>
      <c r="G19" s="237"/>
      <c r="H19" s="238"/>
      <c r="I19" s="237"/>
      <c r="J19" s="242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96"/>
      <c r="B20" s="42" t="s">
        <v>230</v>
      </c>
      <c r="C20" s="43" t="str">
        <f>IF(C19&gt;100%,"Erreur : corrigez","OK")</f>
        <v>OK</v>
      </c>
      <c r="D20" s="244"/>
      <c r="F20" s="236"/>
      <c r="G20" s="236"/>
      <c r="H20" s="238"/>
      <c r="I20" s="237"/>
      <c r="J20" s="242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39"/>
      <c r="I21" s="250"/>
      <c r="J21" s="242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296" t="s">
        <v>232</v>
      </c>
      <c r="B22" s="296"/>
      <c r="C22" s="95"/>
      <c r="H22" s="225"/>
      <c r="I22" s="243"/>
      <c r="J22" s="243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</row>
    <row r="23" spans="1:45" x14ac:dyDescent="0.2">
      <c r="A23" s="5"/>
      <c r="B23" s="5"/>
      <c r="C23" s="5"/>
      <c r="H23" s="216"/>
      <c r="I23" s="242"/>
      <c r="J23" s="242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</v>
      </c>
      <c r="D24" s="47" t="s">
        <v>233</v>
      </c>
      <c r="E24" s="98"/>
      <c r="F24" s="98"/>
      <c r="G24" s="240"/>
      <c r="H24" s="226"/>
      <c r="I24" s="240"/>
      <c r="J24" s="241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99"/>
      <c r="E25" s="5"/>
      <c r="F25" s="99"/>
      <c r="G25" s="241"/>
      <c r="H25" s="226"/>
      <c r="I25" s="241"/>
      <c r="J25" s="241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</v>
      </c>
      <c r="D26" s="47" t="s">
        <v>234</v>
      </c>
      <c r="E26" s="98"/>
      <c r="F26" s="98"/>
      <c r="G26" s="240"/>
      <c r="I26" s="240"/>
      <c r="J26" s="240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98"/>
      <c r="F27" s="98"/>
      <c r="G27" s="240"/>
      <c r="I27" s="240"/>
      <c r="J27" s="240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2"/>
      <c r="I28" s="242"/>
      <c r="J28" s="242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2"/>
      <c r="I29" s="242"/>
      <c r="J29" s="242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298" t="s">
        <v>227</v>
      </c>
      <c r="B30" s="298"/>
      <c r="D30" s="245"/>
      <c r="H30" s="243"/>
      <c r="I30" s="243"/>
      <c r="J30" s="243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</row>
    <row r="31" spans="1:45" x14ac:dyDescent="0.2">
      <c r="A31" s="5"/>
      <c r="B31" s="5"/>
      <c r="H31" s="242"/>
      <c r="I31" s="242"/>
      <c r="J31" s="242"/>
      <c r="K31" s="24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Hêtre</v>
      </c>
      <c r="D32" s="254" t="s">
        <v>307</v>
      </c>
      <c r="K32" s="24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4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88" t="s">
        <v>185</v>
      </c>
      <c r="C34" s="289" t="s">
        <v>186</v>
      </c>
      <c r="D34" s="289"/>
      <c r="E34" s="290" t="s">
        <v>187</v>
      </c>
      <c r="F34" s="291"/>
      <c r="G34" s="291"/>
      <c r="H34" s="292"/>
      <c r="I34" s="100"/>
      <c r="J34" s="246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7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18</v>
      </c>
      <c r="B36" s="63">
        <v>53</v>
      </c>
      <c r="C36" s="63">
        <v>1</v>
      </c>
      <c r="D36" s="63">
        <v>2</v>
      </c>
      <c r="E36" s="54">
        <v>0</v>
      </c>
      <c r="F36" s="54"/>
      <c r="G36" s="54"/>
      <c r="H36" s="54">
        <v>1</v>
      </c>
      <c r="I36" s="52">
        <f>IFERROR(B36/A36,"")</f>
        <v>2.9444444444444446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21</v>
      </c>
      <c r="B37" s="63">
        <v>111</v>
      </c>
      <c r="C37" s="63">
        <v>2</v>
      </c>
      <c r="D37" s="63">
        <v>8</v>
      </c>
      <c r="E37" s="54">
        <v>0</v>
      </c>
      <c r="F37" s="54"/>
      <c r="G37" s="54"/>
      <c r="H37" s="54">
        <v>1</v>
      </c>
      <c r="I37" s="56">
        <f t="shared" ref="I37:I55" si="1">IF(A37&lt;&gt;0,(B37-(B36-D36))/(A37-A36),"")</f>
        <v>20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24</v>
      </c>
      <c r="B38" s="63">
        <v>173</v>
      </c>
      <c r="C38" s="63">
        <v>3</v>
      </c>
      <c r="D38" s="63">
        <v>47</v>
      </c>
      <c r="E38" s="54">
        <v>0</v>
      </c>
      <c r="F38" s="54"/>
      <c r="G38" s="54"/>
      <c r="H38" s="54">
        <v>1</v>
      </c>
      <c r="I38" s="56">
        <f t="shared" si="1"/>
        <v>23.333333333333332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27</v>
      </c>
      <c r="B39" s="63">
        <v>198</v>
      </c>
      <c r="C39" s="63">
        <v>4</v>
      </c>
      <c r="D39" s="63">
        <v>43</v>
      </c>
      <c r="E39" s="54">
        <v>0</v>
      </c>
      <c r="F39" s="54"/>
      <c r="G39" s="54"/>
      <c r="H39" s="54">
        <v>1</v>
      </c>
      <c r="I39" s="52">
        <f t="shared" si="1"/>
        <v>24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30</v>
      </c>
      <c r="B40" s="63">
        <v>228</v>
      </c>
      <c r="C40" s="63">
        <v>5</v>
      </c>
      <c r="D40" s="63">
        <v>48</v>
      </c>
      <c r="E40" s="54">
        <v>0.3</v>
      </c>
      <c r="F40" s="54"/>
      <c r="G40" s="54"/>
      <c r="H40" s="54">
        <v>0.7</v>
      </c>
      <c r="I40" s="52">
        <f t="shared" si="1"/>
        <v>24.333333333333332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36</v>
      </c>
      <c r="B41" s="63">
        <v>326</v>
      </c>
      <c r="C41" s="63">
        <v>6</v>
      </c>
      <c r="D41" s="63">
        <v>92</v>
      </c>
      <c r="E41" s="54">
        <v>0.4</v>
      </c>
      <c r="F41" s="54"/>
      <c r="G41" s="54"/>
      <c r="H41" s="54">
        <v>0.6</v>
      </c>
      <c r="I41" s="56">
        <f t="shared" si="1"/>
        <v>24.333333333333332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42</v>
      </c>
      <c r="B42" s="63">
        <v>367</v>
      </c>
      <c r="C42" s="63">
        <v>7</v>
      </c>
      <c r="D42" s="63">
        <v>90</v>
      </c>
      <c r="E42" s="54">
        <v>0.5</v>
      </c>
      <c r="F42" s="54"/>
      <c r="G42" s="54"/>
      <c r="H42" s="54">
        <v>0.5</v>
      </c>
      <c r="I42" s="56">
        <f t="shared" si="1"/>
        <v>22.166666666666668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78">
        <v>51</v>
      </c>
      <c r="B43" s="63">
        <v>455</v>
      </c>
      <c r="C43" s="63">
        <v>8</v>
      </c>
      <c r="D43" s="63">
        <v>119</v>
      </c>
      <c r="E43" s="54">
        <v>0.6</v>
      </c>
      <c r="F43" s="54"/>
      <c r="G43" s="54"/>
      <c r="H43" s="54">
        <v>0.4</v>
      </c>
      <c r="I43" s="52">
        <f t="shared" si="1"/>
        <v>19.777777777777779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78">
        <v>63</v>
      </c>
      <c r="B44" s="63">
        <v>525</v>
      </c>
      <c r="C44" s="63">
        <v>9</v>
      </c>
      <c r="D44" s="63">
        <v>124</v>
      </c>
      <c r="E44" s="54">
        <v>0.7</v>
      </c>
      <c r="F44" s="54"/>
      <c r="G44" s="54"/>
      <c r="H44" s="54">
        <v>0.3</v>
      </c>
      <c r="I44" s="52">
        <f t="shared" si="1"/>
        <v>15.75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78">
        <v>90</v>
      </c>
      <c r="B45" s="63">
        <v>705</v>
      </c>
      <c r="C45" s="63">
        <v>10</v>
      </c>
      <c r="D45" s="63">
        <v>705</v>
      </c>
      <c r="E45" s="54">
        <v>0.8</v>
      </c>
      <c r="F45" s="54"/>
      <c r="G45" s="54"/>
      <c r="H45" s="54">
        <v>0.2</v>
      </c>
      <c r="I45" s="52">
        <f t="shared" si="1"/>
        <v>11.25925925925926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78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78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78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78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78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78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78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78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78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78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Erable champêtre</v>
      </c>
      <c r="D58" s="254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1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88" t="s">
        <v>185</v>
      </c>
      <c r="C60" s="289" t="s">
        <v>186</v>
      </c>
      <c r="D60" s="289"/>
      <c r="E60" s="290" t="s">
        <v>187</v>
      </c>
      <c r="F60" s="291"/>
      <c r="G60" s="291"/>
      <c r="H60" s="292"/>
      <c r="I60" s="100"/>
      <c r="J60" s="246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7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>
        <v>10</v>
      </c>
      <c r="B62" s="63">
        <v>11</v>
      </c>
      <c r="C62" s="63">
        <v>1</v>
      </c>
      <c r="D62" s="63">
        <v>0</v>
      </c>
      <c r="E62" s="54">
        <v>0</v>
      </c>
      <c r="F62" s="54"/>
      <c r="G62" s="54"/>
      <c r="H62" s="54">
        <v>1</v>
      </c>
      <c r="I62" s="56">
        <f>IFERROR(B62/A62,"")</f>
        <v>1.1000000000000001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>
        <v>15</v>
      </c>
      <c r="B63" s="63">
        <v>65</v>
      </c>
      <c r="C63" s="63">
        <v>2</v>
      </c>
      <c r="D63" s="63">
        <v>0</v>
      </c>
      <c r="E63" s="54">
        <v>0.2</v>
      </c>
      <c r="F63" s="54"/>
      <c r="G63" s="54"/>
      <c r="H63" s="54">
        <v>0.8</v>
      </c>
      <c r="I63" s="52">
        <f>IF(A63&lt;&gt;0,(B63-(B62-D62))/(A63-A62),"")</f>
        <v>10.8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>
        <v>20</v>
      </c>
      <c r="B64" s="63">
        <v>102</v>
      </c>
      <c r="C64" s="63">
        <v>3</v>
      </c>
      <c r="D64" s="63">
        <v>0</v>
      </c>
      <c r="E64" s="54">
        <v>0.2</v>
      </c>
      <c r="F64" s="54"/>
      <c r="G64" s="54"/>
      <c r="H64" s="54">
        <v>0.8</v>
      </c>
      <c r="I64" s="52">
        <f>IF(A64&lt;&gt;0,(B64-(B63-D63))/(A64-A63),"")</f>
        <v>7.4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>
        <v>25</v>
      </c>
      <c r="B65" s="63">
        <v>141</v>
      </c>
      <c r="C65" s="63">
        <v>4</v>
      </c>
      <c r="D65" s="63">
        <v>0</v>
      </c>
      <c r="E65" s="54">
        <v>0.3</v>
      </c>
      <c r="F65" s="54"/>
      <c r="G65" s="54"/>
      <c r="H65" s="54">
        <v>0.7</v>
      </c>
      <c r="I65" s="52">
        <f>IF(A65&lt;&gt;0,(B65-(B64-D64))/(A65-A64),"")</f>
        <v>7.8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>
        <v>30</v>
      </c>
      <c r="B66" s="63">
        <v>177</v>
      </c>
      <c r="C66" s="63">
        <v>5</v>
      </c>
      <c r="D66" s="63">
        <v>0</v>
      </c>
      <c r="E66" s="54">
        <v>0.3</v>
      </c>
      <c r="F66" s="54"/>
      <c r="G66" s="54"/>
      <c r="H66" s="54">
        <v>0.7</v>
      </c>
      <c r="I66" s="52">
        <f t="shared" ref="I66:I81" si="2">IF(A66&lt;&gt;0,(B66-(B65-D65))/(A66-A65),"")</f>
        <v>7.2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>
        <v>35</v>
      </c>
      <c r="B67" s="63">
        <v>206</v>
      </c>
      <c r="C67" s="63">
        <v>6</v>
      </c>
      <c r="D67" s="63">
        <v>35</v>
      </c>
      <c r="E67" s="54">
        <v>0.4</v>
      </c>
      <c r="F67" s="54"/>
      <c r="G67" s="54"/>
      <c r="H67" s="54">
        <v>0.6</v>
      </c>
      <c r="I67" s="52">
        <f t="shared" si="2"/>
        <v>5.8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>
        <v>40</v>
      </c>
      <c r="B68" s="63">
        <v>228</v>
      </c>
      <c r="C68" s="63">
        <v>7</v>
      </c>
      <c r="D68" s="63">
        <v>35</v>
      </c>
      <c r="E68" s="54">
        <v>0.4</v>
      </c>
      <c r="F68" s="54"/>
      <c r="G68" s="54"/>
      <c r="H68" s="54">
        <v>0.6</v>
      </c>
      <c r="I68" s="52">
        <f t="shared" si="2"/>
        <v>11.4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>
        <v>45</v>
      </c>
      <c r="B69" s="53">
        <v>242</v>
      </c>
      <c r="C69" s="53">
        <v>8</v>
      </c>
      <c r="D69" s="53">
        <v>24</v>
      </c>
      <c r="E69" s="54">
        <v>0.5</v>
      </c>
      <c r="F69" s="54"/>
      <c r="G69" s="54"/>
      <c r="H69" s="54">
        <v>0.5</v>
      </c>
      <c r="I69" s="52">
        <f t="shared" si="2"/>
        <v>9.8000000000000007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>
        <v>50</v>
      </c>
      <c r="B70" s="53">
        <v>261</v>
      </c>
      <c r="C70" s="53">
        <v>9</v>
      </c>
      <c r="D70" s="53">
        <v>19</v>
      </c>
      <c r="E70" s="54">
        <v>0.5</v>
      </c>
      <c r="F70" s="54"/>
      <c r="G70" s="54"/>
      <c r="H70" s="54">
        <v>0.5</v>
      </c>
      <c r="I70" s="52">
        <f t="shared" si="2"/>
        <v>8.6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>
        <v>55</v>
      </c>
      <c r="B71" s="53">
        <v>279</v>
      </c>
      <c r="C71" s="53">
        <v>10</v>
      </c>
      <c r="D71" s="53">
        <v>16</v>
      </c>
      <c r="E71" s="54">
        <v>0.6</v>
      </c>
      <c r="F71" s="54"/>
      <c r="G71" s="54"/>
      <c r="H71" s="54">
        <v>0.4</v>
      </c>
      <c r="I71" s="52">
        <f t="shared" si="2"/>
        <v>7.4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>
        <v>60</v>
      </c>
      <c r="B72" s="53">
        <v>294</v>
      </c>
      <c r="C72" s="53">
        <v>11</v>
      </c>
      <c r="D72" s="53">
        <v>14</v>
      </c>
      <c r="E72" s="54">
        <v>0.6</v>
      </c>
      <c r="F72" s="54"/>
      <c r="G72" s="54"/>
      <c r="H72" s="54">
        <v>0.4</v>
      </c>
      <c r="I72" s="52">
        <f t="shared" si="2"/>
        <v>6.2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>
        <v>65</v>
      </c>
      <c r="B73" s="53">
        <v>306</v>
      </c>
      <c r="C73" s="53">
        <v>12</v>
      </c>
      <c r="D73" s="53">
        <v>13</v>
      </c>
      <c r="E73" s="54">
        <v>0.7</v>
      </c>
      <c r="F73" s="54"/>
      <c r="G73" s="54"/>
      <c r="H73" s="54">
        <v>0.3</v>
      </c>
      <c r="I73" s="52">
        <f t="shared" si="2"/>
        <v>5.2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>
        <v>70</v>
      </c>
      <c r="B74" s="53">
        <v>316</v>
      </c>
      <c r="C74" s="53">
        <v>13</v>
      </c>
      <c r="D74" s="53">
        <v>13</v>
      </c>
      <c r="E74" s="54">
        <v>0.7</v>
      </c>
      <c r="F74" s="54"/>
      <c r="G74" s="54"/>
      <c r="H74" s="54">
        <v>0.3</v>
      </c>
      <c r="I74" s="52">
        <f t="shared" si="2"/>
        <v>4.5999999999999996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>
        <v>75</v>
      </c>
      <c r="B75" s="53">
        <v>324</v>
      </c>
      <c r="C75" s="53">
        <v>14</v>
      </c>
      <c r="D75" s="53">
        <v>12</v>
      </c>
      <c r="E75" s="54">
        <v>0.8</v>
      </c>
      <c r="F75" s="54"/>
      <c r="G75" s="54"/>
      <c r="H75" s="54">
        <v>0.2</v>
      </c>
      <c r="I75" s="52">
        <f t="shared" si="2"/>
        <v>4.2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>
        <v>80</v>
      </c>
      <c r="B76" s="53">
        <v>330</v>
      </c>
      <c r="C76" s="53">
        <v>15</v>
      </c>
      <c r="D76" s="53">
        <v>330</v>
      </c>
      <c r="E76" s="54">
        <v>0.8</v>
      </c>
      <c r="F76" s="54"/>
      <c r="G76" s="54"/>
      <c r="H76" s="54">
        <v>0.2</v>
      </c>
      <c r="I76" s="52">
        <f t="shared" si="2"/>
        <v>3.6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>Erable sycomore</v>
      </c>
      <c r="D84" s="254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1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88" t="s">
        <v>185</v>
      </c>
      <c r="C86" s="289" t="s">
        <v>186</v>
      </c>
      <c r="D86" s="289"/>
      <c r="E86" s="290" t="s">
        <v>187</v>
      </c>
      <c r="F86" s="291"/>
      <c r="G86" s="291"/>
      <c r="H86" s="292"/>
      <c r="I86" s="100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>
        <v>10</v>
      </c>
      <c r="B88" s="63">
        <v>11</v>
      </c>
      <c r="C88" s="63">
        <v>1</v>
      </c>
      <c r="D88" s="63">
        <v>0</v>
      </c>
      <c r="E88" s="54">
        <v>0</v>
      </c>
      <c r="F88" s="54"/>
      <c r="G88" s="54"/>
      <c r="H88" s="54">
        <v>1</v>
      </c>
      <c r="I88" s="56">
        <f>IFERROR(B88/A88,"")</f>
        <v>1.1000000000000001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>
        <v>15</v>
      </c>
      <c r="B89" s="63">
        <v>65</v>
      </c>
      <c r="C89" s="63">
        <v>2</v>
      </c>
      <c r="D89" s="63">
        <v>0</v>
      </c>
      <c r="E89" s="54">
        <v>0.2</v>
      </c>
      <c r="F89" s="54"/>
      <c r="G89" s="54"/>
      <c r="H89" s="54">
        <v>0.8</v>
      </c>
      <c r="I89" s="56">
        <f t="shared" ref="I89:I107" si="3">IF(A89&lt;&gt;0,(B89-(B88-D88))/(A89-A88),"")</f>
        <v>10.8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>
        <v>20</v>
      </c>
      <c r="B90" s="63">
        <v>102</v>
      </c>
      <c r="C90" s="63">
        <v>3</v>
      </c>
      <c r="D90" s="63">
        <v>0</v>
      </c>
      <c r="E90" s="54">
        <v>0.2</v>
      </c>
      <c r="F90" s="54"/>
      <c r="G90" s="54"/>
      <c r="H90" s="54">
        <v>0.8</v>
      </c>
      <c r="I90" s="56">
        <f t="shared" si="3"/>
        <v>7.4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>
        <v>25</v>
      </c>
      <c r="B91" s="63">
        <v>141</v>
      </c>
      <c r="C91" s="63">
        <v>4</v>
      </c>
      <c r="D91" s="63">
        <v>0</v>
      </c>
      <c r="E91" s="54">
        <v>0.3</v>
      </c>
      <c r="F91" s="54"/>
      <c r="G91" s="54"/>
      <c r="H91" s="54">
        <v>0.7</v>
      </c>
      <c r="I91" s="56">
        <f t="shared" si="3"/>
        <v>7.8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>
        <v>30</v>
      </c>
      <c r="B92" s="63">
        <v>177</v>
      </c>
      <c r="C92" s="63">
        <v>5</v>
      </c>
      <c r="D92" s="63">
        <v>0</v>
      </c>
      <c r="E92" s="54">
        <v>0.3</v>
      </c>
      <c r="F92" s="54"/>
      <c r="G92" s="54"/>
      <c r="H92" s="54">
        <v>0.7</v>
      </c>
      <c r="I92" s="56">
        <f t="shared" si="3"/>
        <v>7.2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>
        <v>35</v>
      </c>
      <c r="B93" s="63">
        <v>206</v>
      </c>
      <c r="C93" s="63">
        <v>6</v>
      </c>
      <c r="D93" s="63">
        <v>35</v>
      </c>
      <c r="E93" s="54">
        <v>0.4</v>
      </c>
      <c r="F93" s="54"/>
      <c r="G93" s="54"/>
      <c r="H93" s="54">
        <v>0.6</v>
      </c>
      <c r="I93" s="56">
        <f t="shared" si="3"/>
        <v>5.8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>
        <v>40</v>
      </c>
      <c r="B94" s="63">
        <v>228</v>
      </c>
      <c r="C94" s="63">
        <v>7</v>
      </c>
      <c r="D94" s="63">
        <v>35</v>
      </c>
      <c r="E94" s="54">
        <v>0.4</v>
      </c>
      <c r="F94" s="54"/>
      <c r="G94" s="54"/>
      <c r="H94" s="54">
        <v>0.6</v>
      </c>
      <c r="I94" s="56">
        <f t="shared" si="3"/>
        <v>11.4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53">
        <v>45</v>
      </c>
      <c r="B95" s="53">
        <v>242</v>
      </c>
      <c r="C95" s="53">
        <v>8</v>
      </c>
      <c r="D95" s="53">
        <v>24</v>
      </c>
      <c r="E95" s="54">
        <v>0.5</v>
      </c>
      <c r="F95" s="54"/>
      <c r="G95" s="54"/>
      <c r="H95" s="54">
        <v>0.5</v>
      </c>
      <c r="I95" s="56">
        <f t="shared" si="3"/>
        <v>9.8000000000000007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53">
        <v>50</v>
      </c>
      <c r="B96" s="53">
        <v>261</v>
      </c>
      <c r="C96" s="53">
        <v>9</v>
      </c>
      <c r="D96" s="53">
        <v>19</v>
      </c>
      <c r="E96" s="54">
        <v>0.5</v>
      </c>
      <c r="F96" s="54"/>
      <c r="G96" s="54"/>
      <c r="H96" s="54">
        <v>0.5</v>
      </c>
      <c r="I96" s="56">
        <f t="shared" si="3"/>
        <v>8.6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53">
        <v>55</v>
      </c>
      <c r="B97" s="53">
        <v>279</v>
      </c>
      <c r="C97" s="53">
        <v>10</v>
      </c>
      <c r="D97" s="53">
        <v>16</v>
      </c>
      <c r="E97" s="54">
        <v>0.6</v>
      </c>
      <c r="F97" s="54"/>
      <c r="G97" s="54"/>
      <c r="H97" s="54">
        <v>0.4</v>
      </c>
      <c r="I97" s="56">
        <f t="shared" si="3"/>
        <v>7.4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53">
        <v>60</v>
      </c>
      <c r="B98" s="53">
        <v>294</v>
      </c>
      <c r="C98" s="53">
        <v>11</v>
      </c>
      <c r="D98" s="53">
        <v>14</v>
      </c>
      <c r="E98" s="54">
        <v>0.6</v>
      </c>
      <c r="F98" s="54"/>
      <c r="G98" s="54"/>
      <c r="H98" s="54">
        <v>0.4</v>
      </c>
      <c r="I98" s="56">
        <f t="shared" si="3"/>
        <v>6.2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53">
        <v>65</v>
      </c>
      <c r="B99" s="53">
        <v>306</v>
      </c>
      <c r="C99" s="53">
        <v>12</v>
      </c>
      <c r="D99" s="53">
        <v>13</v>
      </c>
      <c r="E99" s="54">
        <v>0.7</v>
      </c>
      <c r="F99" s="54"/>
      <c r="G99" s="54"/>
      <c r="H99" s="54">
        <v>0.3</v>
      </c>
      <c r="I99" s="56">
        <f t="shared" si="3"/>
        <v>5.2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53">
        <v>70</v>
      </c>
      <c r="B100" s="53">
        <v>316</v>
      </c>
      <c r="C100" s="53">
        <v>13</v>
      </c>
      <c r="D100" s="53">
        <v>13</v>
      </c>
      <c r="E100" s="54">
        <v>0.7</v>
      </c>
      <c r="F100" s="54"/>
      <c r="G100" s="54"/>
      <c r="H100" s="54">
        <v>0.3</v>
      </c>
      <c r="I100" s="56">
        <f t="shared" si="3"/>
        <v>4.5999999999999996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53">
        <v>75</v>
      </c>
      <c r="B101" s="53">
        <v>324</v>
      </c>
      <c r="C101" s="53">
        <v>14</v>
      </c>
      <c r="D101" s="53">
        <v>12</v>
      </c>
      <c r="E101" s="54">
        <v>0.8</v>
      </c>
      <c r="F101" s="54"/>
      <c r="G101" s="54"/>
      <c r="H101" s="54">
        <v>0.2</v>
      </c>
      <c r="I101" s="56">
        <f t="shared" si="3"/>
        <v>4.2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53">
        <v>80</v>
      </c>
      <c r="B102" s="53">
        <v>330</v>
      </c>
      <c r="C102" s="53">
        <v>15</v>
      </c>
      <c r="D102" s="53">
        <v>330</v>
      </c>
      <c r="E102" s="54">
        <v>0.8</v>
      </c>
      <c r="F102" s="54"/>
      <c r="G102" s="54"/>
      <c r="H102" s="54">
        <v>0.2</v>
      </c>
      <c r="I102" s="56">
        <f t="shared" si="3"/>
        <v>3.6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>Châtaignier</v>
      </c>
      <c r="D110" s="254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1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88" t="s">
        <v>185</v>
      </c>
      <c r="C112" s="289" t="s">
        <v>186</v>
      </c>
      <c r="D112" s="289"/>
      <c r="E112" s="290" t="s">
        <v>187</v>
      </c>
      <c r="F112" s="291"/>
      <c r="G112" s="291"/>
      <c r="H112" s="292"/>
      <c r="I112" s="100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>
        <v>10</v>
      </c>
      <c r="B114" s="63">
        <v>11</v>
      </c>
      <c r="C114" s="63">
        <v>1</v>
      </c>
      <c r="D114" s="63">
        <v>0</v>
      </c>
      <c r="E114" s="54">
        <v>0</v>
      </c>
      <c r="F114" s="54"/>
      <c r="G114" s="54"/>
      <c r="H114" s="54">
        <v>1</v>
      </c>
      <c r="I114" s="56">
        <f>IFERROR(B114/A114,"")</f>
        <v>1.1000000000000001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>
        <v>15</v>
      </c>
      <c r="B115" s="63">
        <v>65</v>
      </c>
      <c r="C115" s="63">
        <v>2</v>
      </c>
      <c r="D115" s="63">
        <v>0</v>
      </c>
      <c r="E115" s="54">
        <v>0.2</v>
      </c>
      <c r="F115" s="54"/>
      <c r="G115" s="54"/>
      <c r="H115" s="54">
        <v>0.8</v>
      </c>
      <c r="I115" s="56">
        <f t="shared" ref="I115:I133" si="4">IF(A115&lt;&gt;0,(B115-(B114-D114))/(A115-A114),"")</f>
        <v>10.8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>
        <v>20</v>
      </c>
      <c r="B116" s="63">
        <v>102</v>
      </c>
      <c r="C116" s="63">
        <v>3</v>
      </c>
      <c r="D116" s="63">
        <v>0</v>
      </c>
      <c r="E116" s="54">
        <v>0.2</v>
      </c>
      <c r="F116" s="54"/>
      <c r="G116" s="54"/>
      <c r="H116" s="54">
        <v>0.8</v>
      </c>
      <c r="I116" s="56">
        <f t="shared" si="4"/>
        <v>7.4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>
        <v>25</v>
      </c>
      <c r="B117" s="63">
        <v>141</v>
      </c>
      <c r="C117" s="63">
        <v>4</v>
      </c>
      <c r="D117" s="63">
        <v>0</v>
      </c>
      <c r="E117" s="54">
        <v>0.3</v>
      </c>
      <c r="F117" s="54"/>
      <c r="G117" s="54"/>
      <c r="H117" s="54">
        <v>0.7</v>
      </c>
      <c r="I117" s="56">
        <f t="shared" si="4"/>
        <v>7.8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>
        <v>30</v>
      </c>
      <c r="B118" s="63">
        <v>177</v>
      </c>
      <c r="C118" s="63">
        <v>5</v>
      </c>
      <c r="D118" s="63">
        <v>0</v>
      </c>
      <c r="E118" s="54">
        <v>0.3</v>
      </c>
      <c r="F118" s="54"/>
      <c r="G118" s="54"/>
      <c r="H118" s="54">
        <v>0.7</v>
      </c>
      <c r="I118" s="56">
        <f t="shared" si="4"/>
        <v>7.2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>
        <v>35</v>
      </c>
      <c r="B119" s="63">
        <v>206</v>
      </c>
      <c r="C119" s="63">
        <v>6</v>
      </c>
      <c r="D119" s="63">
        <v>35</v>
      </c>
      <c r="E119" s="54">
        <v>0.4</v>
      </c>
      <c r="F119" s="54"/>
      <c r="G119" s="54"/>
      <c r="H119" s="54">
        <v>0.6</v>
      </c>
      <c r="I119" s="56">
        <f t="shared" si="4"/>
        <v>5.8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53">
        <v>40</v>
      </c>
      <c r="B120" s="63">
        <v>228</v>
      </c>
      <c r="C120" s="63">
        <v>7</v>
      </c>
      <c r="D120" s="63">
        <v>35</v>
      </c>
      <c r="E120" s="54">
        <v>0.4</v>
      </c>
      <c r="F120" s="54"/>
      <c r="G120" s="54"/>
      <c r="H120" s="54">
        <v>0.6</v>
      </c>
      <c r="I120" s="56">
        <f t="shared" si="4"/>
        <v>11.4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53">
        <v>45</v>
      </c>
      <c r="B121" s="53">
        <v>242</v>
      </c>
      <c r="C121" s="53">
        <v>8</v>
      </c>
      <c r="D121" s="53">
        <v>24</v>
      </c>
      <c r="E121" s="54">
        <v>0.5</v>
      </c>
      <c r="F121" s="54"/>
      <c r="G121" s="54"/>
      <c r="H121" s="54">
        <v>0.5</v>
      </c>
      <c r="I121" s="56">
        <f t="shared" si="4"/>
        <v>9.8000000000000007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53">
        <v>50</v>
      </c>
      <c r="B122" s="53">
        <v>261</v>
      </c>
      <c r="C122" s="53">
        <v>9</v>
      </c>
      <c r="D122" s="53">
        <v>19</v>
      </c>
      <c r="E122" s="54">
        <v>0.5</v>
      </c>
      <c r="F122" s="54"/>
      <c r="G122" s="54"/>
      <c r="H122" s="54">
        <v>0.5</v>
      </c>
      <c r="I122" s="56">
        <f t="shared" si="4"/>
        <v>8.6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53">
        <v>55</v>
      </c>
      <c r="B123" s="53">
        <v>279</v>
      </c>
      <c r="C123" s="53">
        <v>10</v>
      </c>
      <c r="D123" s="53">
        <v>16</v>
      </c>
      <c r="E123" s="54">
        <v>0.6</v>
      </c>
      <c r="F123" s="54"/>
      <c r="G123" s="54"/>
      <c r="H123" s="54">
        <v>0.4</v>
      </c>
      <c r="I123" s="56">
        <f t="shared" si="4"/>
        <v>7.4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53">
        <v>60</v>
      </c>
      <c r="B124" s="53">
        <v>294</v>
      </c>
      <c r="C124" s="53">
        <v>11</v>
      </c>
      <c r="D124" s="53">
        <v>14</v>
      </c>
      <c r="E124" s="54">
        <v>0.6</v>
      </c>
      <c r="F124" s="54"/>
      <c r="G124" s="54"/>
      <c r="H124" s="54">
        <v>0.4</v>
      </c>
      <c r="I124" s="56">
        <f t="shared" si="4"/>
        <v>6.2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53">
        <v>65</v>
      </c>
      <c r="B125" s="53">
        <v>306</v>
      </c>
      <c r="C125" s="53">
        <v>12</v>
      </c>
      <c r="D125" s="53">
        <v>13</v>
      </c>
      <c r="E125" s="54">
        <v>0.7</v>
      </c>
      <c r="F125" s="54"/>
      <c r="G125" s="54"/>
      <c r="H125" s="54">
        <v>0.3</v>
      </c>
      <c r="I125" s="56">
        <f t="shared" si="4"/>
        <v>5.2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53">
        <v>70</v>
      </c>
      <c r="B126" s="53">
        <v>316</v>
      </c>
      <c r="C126" s="53">
        <v>13</v>
      </c>
      <c r="D126" s="53">
        <v>13</v>
      </c>
      <c r="E126" s="54">
        <v>0.7</v>
      </c>
      <c r="F126" s="54"/>
      <c r="G126" s="54"/>
      <c r="H126" s="54">
        <v>0.3</v>
      </c>
      <c r="I126" s="56">
        <f t="shared" si="4"/>
        <v>4.5999999999999996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53">
        <v>75</v>
      </c>
      <c r="B127" s="53">
        <v>324</v>
      </c>
      <c r="C127" s="53">
        <v>14</v>
      </c>
      <c r="D127" s="53">
        <v>12</v>
      </c>
      <c r="E127" s="54">
        <v>0.8</v>
      </c>
      <c r="F127" s="54"/>
      <c r="G127" s="54"/>
      <c r="H127" s="54">
        <v>0.2</v>
      </c>
      <c r="I127" s="56">
        <f t="shared" si="4"/>
        <v>4.2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>
        <v>80</v>
      </c>
      <c r="B128" s="53">
        <v>330</v>
      </c>
      <c r="C128" s="53">
        <v>15</v>
      </c>
      <c r="D128" s="53">
        <v>330</v>
      </c>
      <c r="E128" s="54">
        <v>0.8</v>
      </c>
      <c r="F128" s="54"/>
      <c r="G128" s="54"/>
      <c r="H128" s="54">
        <v>0.2</v>
      </c>
      <c r="I128" s="56">
        <f t="shared" si="4"/>
        <v>3.6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>Bouleau verruqueux</v>
      </c>
      <c r="D136" s="254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1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88" t="s">
        <v>185</v>
      </c>
      <c r="C138" s="289" t="s">
        <v>186</v>
      </c>
      <c r="D138" s="289"/>
      <c r="E138" s="290" t="s">
        <v>187</v>
      </c>
      <c r="F138" s="291"/>
      <c r="G138" s="291"/>
      <c r="H138" s="292"/>
      <c r="I138" s="100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>
        <v>10</v>
      </c>
      <c r="B140" s="63">
        <v>11</v>
      </c>
      <c r="C140" s="63">
        <v>1</v>
      </c>
      <c r="D140" s="63">
        <v>0</v>
      </c>
      <c r="E140" s="54">
        <v>0</v>
      </c>
      <c r="F140" s="54"/>
      <c r="G140" s="54"/>
      <c r="H140" s="54">
        <v>1</v>
      </c>
      <c r="I140" s="60">
        <f>IFERROR(B140/A140,"")</f>
        <v>1.1000000000000001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>
        <v>15</v>
      </c>
      <c r="B141" s="63">
        <v>65</v>
      </c>
      <c r="C141" s="63">
        <v>2</v>
      </c>
      <c r="D141" s="63">
        <v>0</v>
      </c>
      <c r="E141" s="54">
        <v>0.2</v>
      </c>
      <c r="F141" s="54"/>
      <c r="G141" s="54"/>
      <c r="H141" s="54">
        <v>0.8</v>
      </c>
      <c r="I141" s="60">
        <f t="shared" ref="I141:I159" si="5">IF(A141&lt;&gt;0,(B141-(B140-D140))/(A141-A140),"")</f>
        <v>10.8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>
        <v>20</v>
      </c>
      <c r="B142" s="63">
        <v>102</v>
      </c>
      <c r="C142" s="63">
        <v>3</v>
      </c>
      <c r="D142" s="63">
        <v>0</v>
      </c>
      <c r="E142" s="54">
        <v>0.2</v>
      </c>
      <c r="F142" s="54"/>
      <c r="G142" s="54"/>
      <c r="H142" s="54">
        <v>0.8</v>
      </c>
      <c r="I142" s="60">
        <f t="shared" si="5"/>
        <v>7.4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>
        <v>25</v>
      </c>
      <c r="B143" s="63">
        <v>141</v>
      </c>
      <c r="C143" s="63">
        <v>4</v>
      </c>
      <c r="D143" s="63">
        <v>0</v>
      </c>
      <c r="E143" s="54">
        <v>0.3</v>
      </c>
      <c r="F143" s="54"/>
      <c r="G143" s="54"/>
      <c r="H143" s="54">
        <v>0.7</v>
      </c>
      <c r="I143" s="60">
        <f t="shared" si="5"/>
        <v>7.8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>
        <v>30</v>
      </c>
      <c r="B144" s="63">
        <v>177</v>
      </c>
      <c r="C144" s="63">
        <v>5</v>
      </c>
      <c r="D144" s="63">
        <v>0</v>
      </c>
      <c r="E144" s="54">
        <v>0.3</v>
      </c>
      <c r="F144" s="54"/>
      <c r="G144" s="54"/>
      <c r="H144" s="54">
        <v>0.7</v>
      </c>
      <c r="I144" s="60">
        <f t="shared" si="5"/>
        <v>7.2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>
        <v>35</v>
      </c>
      <c r="B145" s="63">
        <v>206</v>
      </c>
      <c r="C145" s="63">
        <v>6</v>
      </c>
      <c r="D145" s="63">
        <v>35</v>
      </c>
      <c r="E145" s="54">
        <v>0.4</v>
      </c>
      <c r="F145" s="54"/>
      <c r="G145" s="54"/>
      <c r="H145" s="54">
        <v>0.6</v>
      </c>
      <c r="I145" s="60">
        <f t="shared" si="5"/>
        <v>5.8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>
        <v>40</v>
      </c>
      <c r="B146" s="63">
        <v>228</v>
      </c>
      <c r="C146" s="63">
        <v>7</v>
      </c>
      <c r="D146" s="63">
        <v>35</v>
      </c>
      <c r="E146" s="54">
        <v>0.4</v>
      </c>
      <c r="F146" s="54"/>
      <c r="G146" s="54"/>
      <c r="H146" s="54">
        <v>0.6</v>
      </c>
      <c r="I146" s="60">
        <f t="shared" si="5"/>
        <v>11.4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>
        <v>45</v>
      </c>
      <c r="B147" s="53">
        <v>242</v>
      </c>
      <c r="C147" s="53">
        <v>8</v>
      </c>
      <c r="D147" s="53">
        <v>24</v>
      </c>
      <c r="E147" s="54">
        <v>0.5</v>
      </c>
      <c r="F147" s="54"/>
      <c r="G147" s="54"/>
      <c r="H147" s="54">
        <v>0.5</v>
      </c>
      <c r="I147" s="60">
        <f>IF(A147&lt;&gt;0,(B147-(B146-D146))/(A147-A146),"")</f>
        <v>9.8000000000000007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>
        <v>50</v>
      </c>
      <c r="B148" s="53">
        <v>261</v>
      </c>
      <c r="C148" s="53">
        <v>9</v>
      </c>
      <c r="D148" s="53">
        <v>19</v>
      </c>
      <c r="E148" s="54">
        <v>0.5</v>
      </c>
      <c r="F148" s="54"/>
      <c r="G148" s="54"/>
      <c r="H148" s="54">
        <v>0.5</v>
      </c>
      <c r="I148" s="60">
        <f t="shared" si="5"/>
        <v>8.6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>
        <v>55</v>
      </c>
      <c r="B149" s="53">
        <v>279</v>
      </c>
      <c r="C149" s="53">
        <v>10</v>
      </c>
      <c r="D149" s="53">
        <v>16</v>
      </c>
      <c r="E149" s="54">
        <v>0.6</v>
      </c>
      <c r="F149" s="54"/>
      <c r="G149" s="54"/>
      <c r="H149" s="54">
        <v>0.4</v>
      </c>
      <c r="I149" s="60">
        <f t="shared" si="5"/>
        <v>7.4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>
        <v>60</v>
      </c>
      <c r="B150" s="53">
        <v>294</v>
      </c>
      <c r="C150" s="53">
        <v>11</v>
      </c>
      <c r="D150" s="53">
        <v>14</v>
      </c>
      <c r="E150" s="54">
        <v>0.6</v>
      </c>
      <c r="F150" s="54"/>
      <c r="G150" s="54"/>
      <c r="H150" s="54">
        <v>0.4</v>
      </c>
      <c r="I150" s="60">
        <f t="shared" si="5"/>
        <v>6.2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>
        <v>65</v>
      </c>
      <c r="B151" s="53">
        <v>306</v>
      </c>
      <c r="C151" s="53">
        <v>12</v>
      </c>
      <c r="D151" s="53">
        <v>13</v>
      </c>
      <c r="E151" s="54">
        <v>0.7</v>
      </c>
      <c r="F151" s="54"/>
      <c r="G151" s="54"/>
      <c r="H151" s="54">
        <v>0.3</v>
      </c>
      <c r="I151" s="60">
        <f t="shared" si="5"/>
        <v>5.2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>
        <v>70</v>
      </c>
      <c r="B152" s="53">
        <v>316</v>
      </c>
      <c r="C152" s="53">
        <v>13</v>
      </c>
      <c r="D152" s="53">
        <v>13</v>
      </c>
      <c r="E152" s="54">
        <v>0.7</v>
      </c>
      <c r="F152" s="54"/>
      <c r="G152" s="54"/>
      <c r="H152" s="54">
        <v>0.3</v>
      </c>
      <c r="I152" s="60">
        <f t="shared" si="5"/>
        <v>4.5999999999999996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>
        <v>75</v>
      </c>
      <c r="B153" s="53">
        <v>324</v>
      </c>
      <c r="C153" s="53">
        <v>14</v>
      </c>
      <c r="D153" s="53">
        <v>12</v>
      </c>
      <c r="E153" s="54">
        <v>0.8</v>
      </c>
      <c r="F153" s="54"/>
      <c r="G153" s="54"/>
      <c r="H153" s="54">
        <v>0.2</v>
      </c>
      <c r="I153" s="60">
        <f t="shared" si="5"/>
        <v>4.2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3">
        <v>80</v>
      </c>
      <c r="B154" s="53">
        <v>330</v>
      </c>
      <c r="C154" s="53">
        <v>15</v>
      </c>
      <c r="D154" s="53">
        <v>330</v>
      </c>
      <c r="E154" s="54">
        <v>0.8</v>
      </c>
      <c r="F154" s="54"/>
      <c r="G154" s="54"/>
      <c r="H154" s="54">
        <v>0.2</v>
      </c>
      <c r="I154" s="60">
        <f t="shared" si="5"/>
        <v>3.6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>Chêne pédonculé</v>
      </c>
      <c r="D162" s="254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1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88" t="s">
        <v>185</v>
      </c>
      <c r="C164" s="289" t="s">
        <v>186</v>
      </c>
      <c r="D164" s="289"/>
      <c r="E164" s="290" t="s">
        <v>187</v>
      </c>
      <c r="F164" s="291"/>
      <c r="G164" s="291"/>
      <c r="H164" s="292"/>
      <c r="I164" s="100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>
        <v>42</v>
      </c>
      <c r="B166" s="63">
        <v>163.26</v>
      </c>
      <c r="C166" s="63">
        <v>1</v>
      </c>
      <c r="D166" s="63">
        <v>43.21</v>
      </c>
      <c r="E166" s="54">
        <v>0.2</v>
      </c>
      <c r="F166" s="54"/>
      <c r="G166" s="54"/>
      <c r="H166" s="54">
        <v>0.8</v>
      </c>
      <c r="I166" s="52">
        <f>IFERROR(B166/A166,"")</f>
        <v>3.887142857142857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>
        <v>50</v>
      </c>
      <c r="B167" s="63">
        <v>195.02</v>
      </c>
      <c r="C167" s="63">
        <v>2</v>
      </c>
      <c r="D167" s="63">
        <v>35.58</v>
      </c>
      <c r="E167" s="54">
        <v>0.2</v>
      </c>
      <c r="F167" s="54"/>
      <c r="G167" s="54"/>
      <c r="H167" s="54">
        <v>0.8</v>
      </c>
      <c r="I167" s="52">
        <f t="shared" ref="I167:I185" si="6">IF(A167&lt;&gt;0,(B167-(B166-D166))/(A167-A166),"")</f>
        <v>9.3712500000000034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>
        <v>58</v>
      </c>
      <c r="B168" s="63">
        <v>235.87</v>
      </c>
      <c r="C168" s="63">
        <v>3</v>
      </c>
      <c r="D168" s="63">
        <v>44.93</v>
      </c>
      <c r="E168" s="54">
        <v>0.2</v>
      </c>
      <c r="F168" s="54"/>
      <c r="G168" s="54"/>
      <c r="H168" s="54">
        <v>0.8</v>
      </c>
      <c r="I168" s="52">
        <f t="shared" si="6"/>
        <v>9.5537500000000009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>
        <v>66</v>
      </c>
      <c r="B169" s="63">
        <v>264.95999999999998</v>
      </c>
      <c r="C169" s="63">
        <v>4</v>
      </c>
      <c r="D169" s="63">
        <v>49.91</v>
      </c>
      <c r="E169" s="54">
        <v>0.3</v>
      </c>
      <c r="F169" s="54"/>
      <c r="G169" s="54"/>
      <c r="H169" s="54">
        <v>0.7</v>
      </c>
      <c r="I169" s="52">
        <f t="shared" si="6"/>
        <v>9.2524999999999977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>
        <v>74</v>
      </c>
      <c r="B170" s="63">
        <v>285.98</v>
      </c>
      <c r="C170" s="63">
        <v>5</v>
      </c>
      <c r="D170" s="63">
        <v>47.4</v>
      </c>
      <c r="E170" s="54">
        <v>0.4</v>
      </c>
      <c r="F170" s="54"/>
      <c r="G170" s="54"/>
      <c r="H170" s="54">
        <v>0.6</v>
      </c>
      <c r="I170" s="52">
        <f t="shared" si="6"/>
        <v>8.8662500000000044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>
        <v>84</v>
      </c>
      <c r="B171" s="63">
        <v>325.35000000000002</v>
      </c>
      <c r="C171" s="63">
        <v>6</v>
      </c>
      <c r="D171" s="63">
        <v>61.47</v>
      </c>
      <c r="E171" s="54">
        <v>0.4</v>
      </c>
      <c r="F171" s="54"/>
      <c r="G171" s="54"/>
      <c r="H171" s="54">
        <v>0.6</v>
      </c>
      <c r="I171" s="52">
        <f t="shared" si="6"/>
        <v>8.6770000000000014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>
        <v>94</v>
      </c>
      <c r="B172" s="63">
        <v>346.79</v>
      </c>
      <c r="C172" s="63">
        <v>7</v>
      </c>
      <c r="D172" s="63">
        <v>61.85</v>
      </c>
      <c r="E172" s="54">
        <v>0.5</v>
      </c>
      <c r="F172" s="54"/>
      <c r="G172" s="54"/>
      <c r="H172" s="54">
        <v>0.5</v>
      </c>
      <c r="I172" s="52">
        <f t="shared" si="6"/>
        <v>8.2910000000000021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>
        <v>104</v>
      </c>
      <c r="B173" s="53">
        <v>365.41</v>
      </c>
      <c r="C173" s="53">
        <v>8</v>
      </c>
      <c r="D173" s="53">
        <v>60.19</v>
      </c>
      <c r="E173" s="54">
        <v>0.5</v>
      </c>
      <c r="F173" s="54"/>
      <c r="G173" s="54"/>
      <c r="H173" s="54">
        <v>0.5</v>
      </c>
      <c r="I173" s="52">
        <f t="shared" si="6"/>
        <v>8.0470000000000024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>
        <v>114</v>
      </c>
      <c r="B174" s="53">
        <v>384.57</v>
      </c>
      <c r="C174" s="53">
        <v>9</v>
      </c>
      <c r="D174" s="53">
        <v>56.07</v>
      </c>
      <c r="E174" s="54">
        <v>0.6</v>
      </c>
      <c r="F174" s="54"/>
      <c r="G174" s="54"/>
      <c r="H174" s="54">
        <v>0.4</v>
      </c>
      <c r="I174" s="52">
        <f t="shared" si="6"/>
        <v>7.9349999999999969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>
        <v>124</v>
      </c>
      <c r="B175" s="53">
        <v>408.42</v>
      </c>
      <c r="C175" s="53">
        <v>10</v>
      </c>
      <c r="D175" s="53">
        <v>52.53</v>
      </c>
      <c r="E175" s="54">
        <v>0.7</v>
      </c>
      <c r="F175" s="54"/>
      <c r="G175" s="54"/>
      <c r="H175" s="54">
        <v>0.3</v>
      </c>
      <c r="I175" s="52">
        <f t="shared" si="6"/>
        <v>7.9920000000000018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>
        <v>134</v>
      </c>
      <c r="B176" s="53">
        <v>436.59</v>
      </c>
      <c r="C176" s="53">
        <v>11</v>
      </c>
      <c r="D176" s="53">
        <v>54.95</v>
      </c>
      <c r="E176" s="54">
        <v>0.7</v>
      </c>
      <c r="F176" s="54"/>
      <c r="G176" s="54"/>
      <c r="H176" s="54">
        <v>0.3</v>
      </c>
      <c r="I176" s="52">
        <f t="shared" si="6"/>
        <v>8.0699999999999985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>
        <v>144</v>
      </c>
      <c r="B177" s="53">
        <v>463.23</v>
      </c>
      <c r="C177" s="53">
        <v>12</v>
      </c>
      <c r="D177" s="53">
        <v>56.01</v>
      </c>
      <c r="E177" s="54">
        <v>0.7</v>
      </c>
      <c r="F177" s="54"/>
      <c r="G177" s="54"/>
      <c r="H177" s="54">
        <v>0.3</v>
      </c>
      <c r="I177" s="52">
        <f t="shared" si="6"/>
        <v>8.1590000000000025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>
        <v>154</v>
      </c>
      <c r="B178" s="53">
        <v>490.47</v>
      </c>
      <c r="C178" s="53">
        <v>13</v>
      </c>
      <c r="D178" s="53">
        <v>55.13</v>
      </c>
      <c r="E178" s="54">
        <v>0.7</v>
      </c>
      <c r="F178" s="54"/>
      <c r="G178" s="54"/>
      <c r="H178" s="54">
        <v>0.3</v>
      </c>
      <c r="I178" s="52">
        <f t="shared" si="6"/>
        <v>8.3249999999999993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>
        <v>164</v>
      </c>
      <c r="B179" s="53">
        <v>519.77</v>
      </c>
      <c r="C179" s="53">
        <v>14</v>
      </c>
      <c r="D179" s="53">
        <v>59.58</v>
      </c>
      <c r="E179" s="54">
        <v>0.8</v>
      </c>
      <c r="F179" s="54"/>
      <c r="G179" s="54"/>
      <c r="H179" s="54">
        <v>0.2</v>
      </c>
      <c r="I179" s="52">
        <f t="shared" si="6"/>
        <v>8.4429999999999943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>
        <v>174</v>
      </c>
      <c r="B180" s="53">
        <v>545.65</v>
      </c>
      <c r="C180" s="53">
        <v>15</v>
      </c>
      <c r="D180" s="53">
        <v>214.77</v>
      </c>
      <c r="E180" s="54">
        <v>0.8</v>
      </c>
      <c r="F180" s="54"/>
      <c r="G180" s="54"/>
      <c r="H180" s="54">
        <v>0.2</v>
      </c>
      <c r="I180" s="52">
        <f t="shared" si="6"/>
        <v>8.5459999999999976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>
        <v>177</v>
      </c>
      <c r="B181" s="53">
        <v>347.04</v>
      </c>
      <c r="C181" s="53">
        <v>16</v>
      </c>
      <c r="D181" s="53">
        <v>115.19</v>
      </c>
      <c r="E181" s="54">
        <v>0.8</v>
      </c>
      <c r="F181" s="54"/>
      <c r="G181" s="54"/>
      <c r="H181" s="54">
        <v>0.2</v>
      </c>
      <c r="I181" s="52">
        <f t="shared" si="6"/>
        <v>5.3866666666666747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>
        <v>180</v>
      </c>
      <c r="B182" s="53">
        <v>241.62</v>
      </c>
      <c r="C182" s="53">
        <v>17</v>
      </c>
      <c r="D182" s="53">
        <v>77.72</v>
      </c>
      <c r="E182" s="54">
        <v>0.8</v>
      </c>
      <c r="F182" s="54"/>
      <c r="G182" s="54"/>
      <c r="H182" s="54">
        <v>0.2</v>
      </c>
      <c r="I182" s="52">
        <f t="shared" si="6"/>
        <v>3.2566666666666606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>
        <v>183</v>
      </c>
      <c r="B183" s="53">
        <v>169.76</v>
      </c>
      <c r="C183" s="53">
        <v>18</v>
      </c>
      <c r="D183" s="53">
        <v>169.76</v>
      </c>
      <c r="E183" s="54">
        <v>0.8</v>
      </c>
      <c r="F183" s="54"/>
      <c r="G183" s="54"/>
      <c r="H183" s="54">
        <v>0.2</v>
      </c>
      <c r="I183" s="52">
        <f t="shared" si="6"/>
        <v>1.9533333333333285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>Chêne sessile</v>
      </c>
      <c r="D188" s="254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1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88" t="s">
        <v>185</v>
      </c>
      <c r="C190" s="289" t="s">
        <v>186</v>
      </c>
      <c r="D190" s="289"/>
      <c r="E190" s="290" t="s">
        <v>187</v>
      </c>
      <c r="F190" s="291"/>
      <c r="G190" s="291"/>
      <c r="H190" s="292"/>
      <c r="I190" s="100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>
        <v>42</v>
      </c>
      <c r="B192" s="63">
        <v>163.26</v>
      </c>
      <c r="C192" s="63">
        <v>1</v>
      </c>
      <c r="D192" s="63">
        <v>43.21</v>
      </c>
      <c r="E192" s="54">
        <v>0.2</v>
      </c>
      <c r="F192" s="54"/>
      <c r="G192" s="54"/>
      <c r="H192" s="54">
        <v>0.8</v>
      </c>
      <c r="I192" s="52">
        <f>IFERROR(B192/A192,"")</f>
        <v>3.887142857142857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>
        <v>50</v>
      </c>
      <c r="B193" s="63">
        <v>195.02</v>
      </c>
      <c r="C193" s="63">
        <v>2</v>
      </c>
      <c r="D193" s="63">
        <v>35.58</v>
      </c>
      <c r="E193" s="54">
        <v>0.2</v>
      </c>
      <c r="F193" s="54"/>
      <c r="G193" s="54"/>
      <c r="H193" s="54">
        <v>0.8</v>
      </c>
      <c r="I193" s="52">
        <f t="shared" ref="I193:I211" si="7">IF(A193&lt;&gt;0,(B193-(B192-D192))/(A193-A192),"")</f>
        <v>9.3712500000000034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>
        <v>58</v>
      </c>
      <c r="B194" s="63">
        <v>235.87</v>
      </c>
      <c r="C194" s="63">
        <v>3</v>
      </c>
      <c r="D194" s="63">
        <v>44.93</v>
      </c>
      <c r="E194" s="54">
        <v>0.2</v>
      </c>
      <c r="F194" s="54"/>
      <c r="G194" s="54"/>
      <c r="H194" s="54">
        <v>0.8</v>
      </c>
      <c r="I194" s="52">
        <f t="shared" si="7"/>
        <v>9.5537500000000009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>
        <v>66</v>
      </c>
      <c r="B195" s="63">
        <v>264.95999999999998</v>
      </c>
      <c r="C195" s="63">
        <v>4</v>
      </c>
      <c r="D195" s="63">
        <v>49.91</v>
      </c>
      <c r="E195" s="54">
        <v>0.3</v>
      </c>
      <c r="F195" s="54"/>
      <c r="G195" s="54"/>
      <c r="H195" s="54">
        <v>0.7</v>
      </c>
      <c r="I195" s="52">
        <f t="shared" si="7"/>
        <v>9.2524999999999977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>
        <v>74</v>
      </c>
      <c r="B196" s="63">
        <v>285.98</v>
      </c>
      <c r="C196" s="63">
        <v>5</v>
      </c>
      <c r="D196" s="63">
        <v>47.4</v>
      </c>
      <c r="E196" s="54">
        <v>0.4</v>
      </c>
      <c r="F196" s="54"/>
      <c r="G196" s="54"/>
      <c r="H196" s="54">
        <v>0.6</v>
      </c>
      <c r="I196" s="52">
        <f t="shared" si="7"/>
        <v>8.8662500000000044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>
        <v>84</v>
      </c>
      <c r="B197" s="63">
        <v>325.35000000000002</v>
      </c>
      <c r="C197" s="63">
        <v>6</v>
      </c>
      <c r="D197" s="63">
        <v>61.47</v>
      </c>
      <c r="E197" s="54">
        <v>0.4</v>
      </c>
      <c r="F197" s="54"/>
      <c r="G197" s="54"/>
      <c r="H197" s="54">
        <v>0.6</v>
      </c>
      <c r="I197" s="52">
        <f t="shared" si="7"/>
        <v>8.6770000000000014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>
        <v>94</v>
      </c>
      <c r="B198" s="63">
        <v>346.79</v>
      </c>
      <c r="C198" s="63">
        <v>7</v>
      </c>
      <c r="D198" s="63">
        <v>61.85</v>
      </c>
      <c r="E198" s="54">
        <v>0.5</v>
      </c>
      <c r="F198" s="54"/>
      <c r="G198" s="54"/>
      <c r="H198" s="54">
        <v>0.5</v>
      </c>
      <c r="I198" s="52">
        <f t="shared" si="7"/>
        <v>8.2910000000000021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>
        <v>104</v>
      </c>
      <c r="B199" s="53">
        <v>365.41</v>
      </c>
      <c r="C199" s="53">
        <v>8</v>
      </c>
      <c r="D199" s="53">
        <v>60.19</v>
      </c>
      <c r="E199" s="54">
        <v>0.5</v>
      </c>
      <c r="F199" s="54"/>
      <c r="G199" s="54"/>
      <c r="H199" s="54">
        <v>0.5</v>
      </c>
      <c r="I199" s="52">
        <f t="shared" si="7"/>
        <v>8.0470000000000024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>
        <v>114</v>
      </c>
      <c r="B200" s="53">
        <v>384.57</v>
      </c>
      <c r="C200" s="53">
        <v>9</v>
      </c>
      <c r="D200" s="53">
        <v>56.07</v>
      </c>
      <c r="E200" s="54">
        <v>0.6</v>
      </c>
      <c r="F200" s="54"/>
      <c r="G200" s="54"/>
      <c r="H200" s="54">
        <v>0.4</v>
      </c>
      <c r="I200" s="52">
        <f t="shared" si="7"/>
        <v>7.9349999999999969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>
        <v>124</v>
      </c>
      <c r="B201" s="53">
        <v>408.42</v>
      </c>
      <c r="C201" s="53">
        <v>10</v>
      </c>
      <c r="D201" s="53">
        <v>52.53</v>
      </c>
      <c r="E201" s="54">
        <v>0.7</v>
      </c>
      <c r="F201" s="54"/>
      <c r="G201" s="54"/>
      <c r="H201" s="54">
        <v>0.3</v>
      </c>
      <c r="I201" s="52">
        <f t="shared" si="7"/>
        <v>7.9920000000000018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>
        <v>134</v>
      </c>
      <c r="B202" s="53">
        <v>436.59</v>
      </c>
      <c r="C202" s="53">
        <v>11</v>
      </c>
      <c r="D202" s="53">
        <v>54.95</v>
      </c>
      <c r="E202" s="54">
        <v>0.7</v>
      </c>
      <c r="F202" s="54"/>
      <c r="G202" s="54"/>
      <c r="H202" s="54">
        <v>0.3</v>
      </c>
      <c r="I202" s="52">
        <f t="shared" si="7"/>
        <v>8.0699999999999985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>
        <v>144</v>
      </c>
      <c r="B203" s="53">
        <v>463.23</v>
      </c>
      <c r="C203" s="53">
        <v>12</v>
      </c>
      <c r="D203" s="53">
        <v>56.01</v>
      </c>
      <c r="E203" s="54">
        <v>0.7</v>
      </c>
      <c r="F203" s="54"/>
      <c r="G203" s="54"/>
      <c r="H203" s="54">
        <v>0.3</v>
      </c>
      <c r="I203" s="52">
        <f t="shared" si="7"/>
        <v>8.1590000000000025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>
        <v>154</v>
      </c>
      <c r="B204" s="53">
        <v>490.47</v>
      </c>
      <c r="C204" s="53">
        <v>13</v>
      </c>
      <c r="D204" s="53">
        <v>55.13</v>
      </c>
      <c r="E204" s="54">
        <v>0.7</v>
      </c>
      <c r="F204" s="54"/>
      <c r="G204" s="54"/>
      <c r="H204" s="54">
        <v>0.3</v>
      </c>
      <c r="I204" s="52">
        <f t="shared" si="7"/>
        <v>8.3249999999999993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>
        <v>164</v>
      </c>
      <c r="B205" s="53">
        <v>519.77</v>
      </c>
      <c r="C205" s="53">
        <v>14</v>
      </c>
      <c r="D205" s="53">
        <v>59.58</v>
      </c>
      <c r="E205" s="54">
        <v>0.8</v>
      </c>
      <c r="F205" s="54"/>
      <c r="G205" s="54"/>
      <c r="H205" s="54">
        <v>0.2</v>
      </c>
      <c r="I205" s="52">
        <f t="shared" si="7"/>
        <v>8.4429999999999943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>
        <v>174</v>
      </c>
      <c r="B206" s="53">
        <v>545.65</v>
      </c>
      <c r="C206" s="53">
        <v>15</v>
      </c>
      <c r="D206" s="53">
        <v>214.77</v>
      </c>
      <c r="E206" s="54">
        <v>0.8</v>
      </c>
      <c r="F206" s="54"/>
      <c r="G206" s="54"/>
      <c r="H206" s="54">
        <v>0.2</v>
      </c>
      <c r="I206" s="52">
        <f t="shared" si="7"/>
        <v>8.5459999999999976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>
        <v>177</v>
      </c>
      <c r="B207" s="53">
        <v>347.04</v>
      </c>
      <c r="C207" s="53">
        <v>16</v>
      </c>
      <c r="D207" s="53">
        <v>115.19</v>
      </c>
      <c r="E207" s="54">
        <v>0.8</v>
      </c>
      <c r="F207" s="54"/>
      <c r="G207" s="54"/>
      <c r="H207" s="54">
        <v>0.2</v>
      </c>
      <c r="I207" s="52">
        <f t="shared" si="7"/>
        <v>5.3866666666666747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>
        <v>180</v>
      </c>
      <c r="B208" s="53">
        <v>241.62</v>
      </c>
      <c r="C208" s="53">
        <v>17</v>
      </c>
      <c r="D208" s="53">
        <v>77.72</v>
      </c>
      <c r="E208" s="54">
        <v>0.8</v>
      </c>
      <c r="F208" s="54"/>
      <c r="G208" s="54"/>
      <c r="H208" s="54">
        <v>0.2</v>
      </c>
      <c r="I208" s="52">
        <f t="shared" si="7"/>
        <v>3.2566666666666606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>
        <v>183</v>
      </c>
      <c r="B209" s="53">
        <v>169.76</v>
      </c>
      <c r="C209" s="53">
        <v>18</v>
      </c>
      <c r="D209" s="53">
        <v>169.76</v>
      </c>
      <c r="E209" s="54">
        <v>0.8</v>
      </c>
      <c r="F209" s="54"/>
      <c r="G209" s="54"/>
      <c r="H209" s="54">
        <v>0.2</v>
      </c>
      <c r="I209" s="52">
        <f t="shared" si="7"/>
        <v>1.9533333333333285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>Chêne pubescent</v>
      </c>
      <c r="D214" s="254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1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88" t="s">
        <v>185</v>
      </c>
      <c r="C216" s="289" t="s">
        <v>186</v>
      </c>
      <c r="D216" s="289"/>
      <c r="E216" s="290" t="s">
        <v>187</v>
      </c>
      <c r="F216" s="291"/>
      <c r="G216" s="291"/>
      <c r="H216" s="292"/>
      <c r="I216" s="100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>
        <v>42</v>
      </c>
      <c r="B218" s="63">
        <v>163.26</v>
      </c>
      <c r="C218" s="63">
        <v>1</v>
      </c>
      <c r="D218" s="63">
        <v>43.21</v>
      </c>
      <c r="E218" s="54">
        <v>0.2</v>
      </c>
      <c r="F218" s="54"/>
      <c r="G218" s="54"/>
      <c r="H218" s="54">
        <v>0.8</v>
      </c>
      <c r="I218" s="56">
        <f>IFERROR(B218/A218,"")</f>
        <v>3.887142857142857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>
        <v>50</v>
      </c>
      <c r="B219" s="63">
        <v>195.02</v>
      </c>
      <c r="C219" s="63">
        <v>2</v>
      </c>
      <c r="D219" s="63">
        <v>35.58</v>
      </c>
      <c r="E219" s="54">
        <v>0.2</v>
      </c>
      <c r="F219" s="54"/>
      <c r="G219" s="54"/>
      <c r="H219" s="54">
        <v>0.8</v>
      </c>
      <c r="I219" s="56">
        <f t="shared" ref="I219:I237" si="8">IF(A219&lt;&gt;0,(B219-(B218-D218))/(A219-A218),"")</f>
        <v>9.3712500000000034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>
        <v>58</v>
      </c>
      <c r="B220" s="63">
        <v>235.87</v>
      </c>
      <c r="C220" s="63">
        <v>3</v>
      </c>
      <c r="D220" s="63">
        <v>44.93</v>
      </c>
      <c r="E220" s="54">
        <v>0.2</v>
      </c>
      <c r="F220" s="54"/>
      <c r="G220" s="54"/>
      <c r="H220" s="54">
        <v>0.8</v>
      </c>
      <c r="I220" s="56">
        <f t="shared" si="8"/>
        <v>9.5537500000000009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3">
        <v>66</v>
      </c>
      <c r="B221" s="63">
        <v>264.95999999999998</v>
      </c>
      <c r="C221" s="63">
        <v>4</v>
      </c>
      <c r="D221" s="63">
        <v>49.91</v>
      </c>
      <c r="E221" s="54">
        <v>0.3</v>
      </c>
      <c r="F221" s="54"/>
      <c r="G221" s="54"/>
      <c r="H221" s="54">
        <v>0.7</v>
      </c>
      <c r="I221" s="56">
        <f t="shared" si="8"/>
        <v>9.2524999999999977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3">
        <v>74</v>
      </c>
      <c r="B222" s="63">
        <v>285.98</v>
      </c>
      <c r="C222" s="63">
        <v>5</v>
      </c>
      <c r="D222" s="63">
        <v>47.4</v>
      </c>
      <c r="E222" s="54">
        <v>0.4</v>
      </c>
      <c r="F222" s="54"/>
      <c r="G222" s="54"/>
      <c r="H222" s="54">
        <v>0.6</v>
      </c>
      <c r="I222" s="56">
        <f t="shared" si="8"/>
        <v>8.8662500000000044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3">
        <v>84</v>
      </c>
      <c r="B223" s="63">
        <v>325.35000000000002</v>
      </c>
      <c r="C223" s="63">
        <v>6</v>
      </c>
      <c r="D223" s="63">
        <v>61.47</v>
      </c>
      <c r="E223" s="54">
        <v>0.4</v>
      </c>
      <c r="F223" s="54"/>
      <c r="G223" s="54"/>
      <c r="H223" s="54">
        <v>0.6</v>
      </c>
      <c r="I223" s="56">
        <f t="shared" si="8"/>
        <v>8.6770000000000014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3">
        <v>94</v>
      </c>
      <c r="B224" s="63">
        <v>346.79</v>
      </c>
      <c r="C224" s="63">
        <v>7</v>
      </c>
      <c r="D224" s="63">
        <v>61.85</v>
      </c>
      <c r="E224" s="54">
        <v>0.5</v>
      </c>
      <c r="F224" s="54"/>
      <c r="G224" s="54"/>
      <c r="H224" s="54">
        <v>0.5</v>
      </c>
      <c r="I224" s="56">
        <f t="shared" si="8"/>
        <v>8.2910000000000021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3">
        <v>104</v>
      </c>
      <c r="B225" s="53">
        <v>365.41</v>
      </c>
      <c r="C225" s="53">
        <v>8</v>
      </c>
      <c r="D225" s="53">
        <v>60.19</v>
      </c>
      <c r="E225" s="54">
        <v>0.5</v>
      </c>
      <c r="F225" s="54"/>
      <c r="G225" s="54"/>
      <c r="H225" s="54">
        <v>0.5</v>
      </c>
      <c r="I225" s="56">
        <f t="shared" si="8"/>
        <v>8.0470000000000024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3">
        <v>114</v>
      </c>
      <c r="B226" s="53">
        <v>384.57</v>
      </c>
      <c r="C226" s="53">
        <v>9</v>
      </c>
      <c r="D226" s="53">
        <v>56.07</v>
      </c>
      <c r="E226" s="54">
        <v>0.6</v>
      </c>
      <c r="F226" s="54"/>
      <c r="G226" s="54"/>
      <c r="H226" s="54">
        <v>0.4</v>
      </c>
      <c r="I226" s="56">
        <f t="shared" si="8"/>
        <v>7.9349999999999969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3">
        <v>124</v>
      </c>
      <c r="B227" s="53">
        <v>408.42</v>
      </c>
      <c r="C227" s="53">
        <v>10</v>
      </c>
      <c r="D227" s="53">
        <v>52.53</v>
      </c>
      <c r="E227" s="54">
        <v>0.7</v>
      </c>
      <c r="F227" s="54"/>
      <c r="G227" s="54"/>
      <c r="H227" s="54">
        <v>0.3</v>
      </c>
      <c r="I227" s="56">
        <f t="shared" si="8"/>
        <v>7.9920000000000018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3">
        <v>134</v>
      </c>
      <c r="B228" s="53">
        <v>436.59</v>
      </c>
      <c r="C228" s="53">
        <v>11</v>
      </c>
      <c r="D228" s="53">
        <v>54.95</v>
      </c>
      <c r="E228" s="54">
        <v>0.7</v>
      </c>
      <c r="F228" s="54"/>
      <c r="G228" s="54"/>
      <c r="H228" s="54">
        <v>0.3</v>
      </c>
      <c r="I228" s="56">
        <f t="shared" si="8"/>
        <v>8.0699999999999985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3">
        <v>144</v>
      </c>
      <c r="B229" s="53">
        <v>463.23</v>
      </c>
      <c r="C229" s="53">
        <v>12</v>
      </c>
      <c r="D229" s="53">
        <v>56.01</v>
      </c>
      <c r="E229" s="54">
        <v>0.7</v>
      </c>
      <c r="F229" s="54"/>
      <c r="G229" s="54"/>
      <c r="H229" s="54">
        <v>0.3</v>
      </c>
      <c r="I229" s="56">
        <f t="shared" si="8"/>
        <v>8.1590000000000025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3">
        <v>154</v>
      </c>
      <c r="B230" s="53">
        <v>490.47</v>
      </c>
      <c r="C230" s="53">
        <v>13</v>
      </c>
      <c r="D230" s="53">
        <v>55.13</v>
      </c>
      <c r="E230" s="54">
        <v>0.7</v>
      </c>
      <c r="F230" s="54"/>
      <c r="G230" s="54"/>
      <c r="H230" s="54">
        <v>0.3</v>
      </c>
      <c r="I230" s="56">
        <f t="shared" si="8"/>
        <v>8.3249999999999993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53">
        <v>164</v>
      </c>
      <c r="B231" s="53">
        <v>519.77</v>
      </c>
      <c r="C231" s="53">
        <v>14</v>
      </c>
      <c r="D231" s="53">
        <v>59.58</v>
      </c>
      <c r="E231" s="54">
        <v>0.8</v>
      </c>
      <c r="F231" s="54"/>
      <c r="G231" s="54"/>
      <c r="H231" s="54">
        <v>0.2</v>
      </c>
      <c r="I231" s="56">
        <f t="shared" si="8"/>
        <v>8.4429999999999943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>
        <v>174</v>
      </c>
      <c r="B232" s="53">
        <v>545.65</v>
      </c>
      <c r="C232" s="53">
        <v>15</v>
      </c>
      <c r="D232" s="53">
        <v>214.77</v>
      </c>
      <c r="E232" s="54">
        <v>0.8</v>
      </c>
      <c r="F232" s="54"/>
      <c r="G232" s="54"/>
      <c r="H232" s="54">
        <v>0.2</v>
      </c>
      <c r="I232" s="56">
        <f t="shared" si="8"/>
        <v>8.5459999999999976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>
        <v>177</v>
      </c>
      <c r="B233" s="53">
        <v>347.04</v>
      </c>
      <c r="C233" s="53">
        <v>16</v>
      </c>
      <c r="D233" s="53">
        <v>115.19</v>
      </c>
      <c r="E233" s="54">
        <v>0.8</v>
      </c>
      <c r="F233" s="54"/>
      <c r="G233" s="54"/>
      <c r="H233" s="54">
        <v>0.2</v>
      </c>
      <c r="I233" s="56">
        <f t="shared" si="8"/>
        <v>5.3866666666666747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>
        <v>180</v>
      </c>
      <c r="B234" s="53">
        <v>241.62</v>
      </c>
      <c r="C234" s="53">
        <v>17</v>
      </c>
      <c r="D234" s="53">
        <v>77.72</v>
      </c>
      <c r="E234" s="54">
        <v>0.8</v>
      </c>
      <c r="F234" s="54"/>
      <c r="G234" s="54"/>
      <c r="H234" s="54">
        <v>0.2</v>
      </c>
      <c r="I234" s="56">
        <f t="shared" si="8"/>
        <v>3.2566666666666606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>
        <v>183</v>
      </c>
      <c r="B235" s="53">
        <v>169.76</v>
      </c>
      <c r="C235" s="53">
        <v>18</v>
      </c>
      <c r="D235" s="53">
        <v>169.76</v>
      </c>
      <c r="E235" s="54">
        <v>0.8</v>
      </c>
      <c r="F235" s="54"/>
      <c r="G235" s="54"/>
      <c r="H235" s="54">
        <v>0.2</v>
      </c>
      <c r="I235" s="56">
        <f t="shared" si="8"/>
        <v>1.9533333333333285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>Tilleul</v>
      </c>
      <c r="D240" s="254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1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88" t="s">
        <v>185</v>
      </c>
      <c r="C242" s="289" t="s">
        <v>186</v>
      </c>
      <c r="D242" s="289"/>
      <c r="E242" s="290" t="s">
        <v>187</v>
      </c>
      <c r="F242" s="291"/>
      <c r="G242" s="291"/>
      <c r="H242" s="292"/>
      <c r="I242" s="100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>
        <v>42</v>
      </c>
      <c r="B244" s="63">
        <v>163.26</v>
      </c>
      <c r="C244" s="63">
        <v>1</v>
      </c>
      <c r="D244" s="63">
        <v>43.21</v>
      </c>
      <c r="E244" s="54">
        <v>0.2</v>
      </c>
      <c r="F244" s="54"/>
      <c r="G244" s="54"/>
      <c r="H244" s="54">
        <v>0.8</v>
      </c>
      <c r="I244" s="56">
        <f>IFERROR(B244/A244,"")</f>
        <v>3.887142857142857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>
        <v>50</v>
      </c>
      <c r="B245" s="63">
        <v>195.02</v>
      </c>
      <c r="C245" s="63">
        <v>2</v>
      </c>
      <c r="D245" s="63">
        <v>35.58</v>
      </c>
      <c r="E245" s="54">
        <v>0.2</v>
      </c>
      <c r="F245" s="54"/>
      <c r="G245" s="54"/>
      <c r="H245" s="54">
        <v>0.8</v>
      </c>
      <c r="I245" s="56">
        <f>IF(A245&lt;&gt;0,(B245-(B244-D244))/(A245-A244),"")</f>
        <v>9.3712500000000034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>
        <v>58</v>
      </c>
      <c r="B246" s="63">
        <v>235.87</v>
      </c>
      <c r="C246" s="63">
        <v>3</v>
      </c>
      <c r="D246" s="63">
        <v>44.93</v>
      </c>
      <c r="E246" s="54">
        <v>0.2</v>
      </c>
      <c r="F246" s="54"/>
      <c r="G246" s="54"/>
      <c r="H246" s="54">
        <v>0.8</v>
      </c>
      <c r="I246" s="56">
        <f>IF(A246&lt;&gt;0,(B246-(B245-D245))/(A246-A245),"")</f>
        <v>9.5537500000000009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>
        <v>66</v>
      </c>
      <c r="B247" s="63">
        <v>264.95999999999998</v>
      </c>
      <c r="C247" s="63">
        <v>4</v>
      </c>
      <c r="D247" s="63">
        <v>49.91</v>
      </c>
      <c r="E247" s="54">
        <v>0.3</v>
      </c>
      <c r="F247" s="54"/>
      <c r="G247" s="54"/>
      <c r="H247" s="54">
        <v>0.7</v>
      </c>
      <c r="I247" s="56">
        <f t="shared" ref="I247:I263" si="9">IF(A247&lt;&gt;0,(B247-(B246-D246))/(A247-A246),"")</f>
        <v>9.2524999999999977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>
        <v>74</v>
      </c>
      <c r="B248" s="63">
        <v>285.98</v>
      </c>
      <c r="C248" s="63">
        <v>5</v>
      </c>
      <c r="D248" s="63">
        <v>47.4</v>
      </c>
      <c r="E248" s="54">
        <v>0.4</v>
      </c>
      <c r="F248" s="54"/>
      <c r="G248" s="54"/>
      <c r="H248" s="54">
        <v>0.6</v>
      </c>
      <c r="I248" s="56">
        <f t="shared" si="9"/>
        <v>8.8662500000000044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>
        <v>84</v>
      </c>
      <c r="B249" s="63">
        <v>325.35000000000002</v>
      </c>
      <c r="C249" s="63">
        <v>6</v>
      </c>
      <c r="D249" s="63">
        <v>61.47</v>
      </c>
      <c r="E249" s="54">
        <v>0.4</v>
      </c>
      <c r="F249" s="54"/>
      <c r="G249" s="54"/>
      <c r="H249" s="54">
        <v>0.6</v>
      </c>
      <c r="I249" s="56">
        <f t="shared" si="9"/>
        <v>8.6770000000000014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>
        <v>94</v>
      </c>
      <c r="B250" s="63">
        <v>346.79</v>
      </c>
      <c r="C250" s="63">
        <v>7</v>
      </c>
      <c r="D250" s="63">
        <v>61.85</v>
      </c>
      <c r="E250" s="54">
        <v>0.5</v>
      </c>
      <c r="F250" s="54"/>
      <c r="G250" s="54"/>
      <c r="H250" s="54">
        <v>0.5</v>
      </c>
      <c r="I250" s="56">
        <f t="shared" si="9"/>
        <v>8.2910000000000021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3">
        <v>104</v>
      </c>
      <c r="B251" s="53">
        <v>365.41</v>
      </c>
      <c r="C251" s="53">
        <v>8</v>
      </c>
      <c r="D251" s="53">
        <v>60.19</v>
      </c>
      <c r="E251" s="54">
        <v>0.5</v>
      </c>
      <c r="F251" s="54"/>
      <c r="G251" s="54"/>
      <c r="H251" s="54">
        <v>0.5</v>
      </c>
      <c r="I251" s="56">
        <f t="shared" si="9"/>
        <v>8.0470000000000024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3">
        <v>114</v>
      </c>
      <c r="B252" s="53">
        <v>384.57</v>
      </c>
      <c r="C252" s="53">
        <v>9</v>
      </c>
      <c r="D252" s="53">
        <v>56.07</v>
      </c>
      <c r="E252" s="54">
        <v>0.6</v>
      </c>
      <c r="F252" s="54"/>
      <c r="G252" s="54"/>
      <c r="H252" s="54">
        <v>0.4</v>
      </c>
      <c r="I252" s="56">
        <f t="shared" si="9"/>
        <v>7.9349999999999969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3">
        <v>124</v>
      </c>
      <c r="B253" s="53">
        <v>408.42</v>
      </c>
      <c r="C253" s="53">
        <v>10</v>
      </c>
      <c r="D253" s="53">
        <v>52.53</v>
      </c>
      <c r="E253" s="54">
        <v>0.7</v>
      </c>
      <c r="F253" s="54"/>
      <c r="G253" s="54"/>
      <c r="H253" s="54">
        <v>0.3</v>
      </c>
      <c r="I253" s="56">
        <f t="shared" si="9"/>
        <v>7.9920000000000018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3">
        <v>134</v>
      </c>
      <c r="B254" s="53">
        <v>436.59</v>
      </c>
      <c r="C254" s="53">
        <v>11</v>
      </c>
      <c r="D254" s="53">
        <v>54.95</v>
      </c>
      <c r="E254" s="54">
        <v>0.7</v>
      </c>
      <c r="F254" s="54"/>
      <c r="G254" s="54"/>
      <c r="H254" s="54">
        <v>0.3</v>
      </c>
      <c r="I254" s="56">
        <f t="shared" si="9"/>
        <v>8.0699999999999985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3">
        <v>144</v>
      </c>
      <c r="B255" s="53">
        <v>463.23</v>
      </c>
      <c r="C255" s="53">
        <v>12</v>
      </c>
      <c r="D255" s="53">
        <v>56.01</v>
      </c>
      <c r="E255" s="54">
        <v>0.7</v>
      </c>
      <c r="F255" s="54"/>
      <c r="G255" s="54"/>
      <c r="H255" s="54">
        <v>0.3</v>
      </c>
      <c r="I255" s="56">
        <f t="shared" si="9"/>
        <v>8.1590000000000025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3">
        <v>154</v>
      </c>
      <c r="B256" s="53">
        <v>490.47</v>
      </c>
      <c r="C256" s="53">
        <v>13</v>
      </c>
      <c r="D256" s="53">
        <v>55.13</v>
      </c>
      <c r="E256" s="54">
        <v>0.7</v>
      </c>
      <c r="F256" s="54"/>
      <c r="G256" s="54"/>
      <c r="H256" s="54">
        <v>0.3</v>
      </c>
      <c r="I256" s="56">
        <f t="shared" si="9"/>
        <v>8.3249999999999993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53">
        <v>164</v>
      </c>
      <c r="B257" s="53">
        <v>519.77</v>
      </c>
      <c r="C257" s="53">
        <v>14</v>
      </c>
      <c r="D257" s="53">
        <v>59.58</v>
      </c>
      <c r="E257" s="54">
        <v>0.8</v>
      </c>
      <c r="F257" s="54"/>
      <c r="G257" s="54"/>
      <c r="H257" s="54">
        <v>0.2</v>
      </c>
      <c r="I257" s="56">
        <f t="shared" si="9"/>
        <v>8.4429999999999943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>
        <v>174</v>
      </c>
      <c r="B258" s="53">
        <v>545.65</v>
      </c>
      <c r="C258" s="53">
        <v>15</v>
      </c>
      <c r="D258" s="53">
        <v>214.77</v>
      </c>
      <c r="E258" s="54">
        <v>0.8</v>
      </c>
      <c r="F258" s="54"/>
      <c r="G258" s="54"/>
      <c r="H258" s="54">
        <v>0.2</v>
      </c>
      <c r="I258" s="56">
        <f t="shared" si="9"/>
        <v>8.5459999999999976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>
        <v>177</v>
      </c>
      <c r="B259" s="53">
        <v>347.04</v>
      </c>
      <c r="C259" s="53">
        <v>16</v>
      </c>
      <c r="D259" s="53">
        <v>115.19</v>
      </c>
      <c r="E259" s="54">
        <v>0.8</v>
      </c>
      <c r="F259" s="54"/>
      <c r="G259" s="54"/>
      <c r="H259" s="54">
        <v>0.2</v>
      </c>
      <c r="I259" s="56">
        <f t="shared" si="9"/>
        <v>5.3866666666666747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>
        <v>180</v>
      </c>
      <c r="B260" s="53">
        <v>241.62</v>
      </c>
      <c r="C260" s="53">
        <v>17</v>
      </c>
      <c r="D260" s="53">
        <v>77.72</v>
      </c>
      <c r="E260" s="54">
        <v>0.8</v>
      </c>
      <c r="F260" s="54"/>
      <c r="G260" s="54"/>
      <c r="H260" s="54">
        <v>0.2</v>
      </c>
      <c r="I260" s="56">
        <f t="shared" si="9"/>
        <v>3.2566666666666606</v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>
        <v>183</v>
      </c>
      <c r="B261" s="53">
        <v>169.76</v>
      </c>
      <c r="C261" s="53">
        <v>18</v>
      </c>
      <c r="D261" s="53">
        <v>169.76</v>
      </c>
      <c r="E261" s="54">
        <v>0.8</v>
      </c>
      <c r="F261" s="54"/>
      <c r="G261" s="54"/>
      <c r="H261" s="54">
        <v>0.2</v>
      </c>
      <c r="I261" s="56">
        <f t="shared" si="9"/>
        <v>1.9533333333333285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>Charme</v>
      </c>
      <c r="D266" s="254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1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88" t="s">
        <v>185</v>
      </c>
      <c r="C268" s="289" t="s">
        <v>186</v>
      </c>
      <c r="D268" s="289"/>
      <c r="E268" s="290" t="s">
        <v>187</v>
      </c>
      <c r="F268" s="291"/>
      <c r="G268" s="291"/>
      <c r="H268" s="292"/>
      <c r="I268" s="100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>
        <v>30</v>
      </c>
      <c r="B270" s="63">
        <v>87</v>
      </c>
      <c r="C270" s="53">
        <v>2</v>
      </c>
      <c r="D270" s="63">
        <v>11</v>
      </c>
      <c r="E270" s="54">
        <v>0.2</v>
      </c>
      <c r="F270" s="54"/>
      <c r="G270" s="54"/>
      <c r="H270" s="54">
        <v>0.8</v>
      </c>
      <c r="I270" s="56">
        <f>IFERROR(B270/A270,"")</f>
        <v>2.9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>
        <v>35</v>
      </c>
      <c r="B271" s="63">
        <v>137</v>
      </c>
      <c r="C271" s="53">
        <v>3</v>
      </c>
      <c r="D271" s="63">
        <v>18</v>
      </c>
      <c r="E271" s="54">
        <v>0.2</v>
      </c>
      <c r="F271" s="54"/>
      <c r="G271" s="54"/>
      <c r="H271" s="54">
        <v>0.8</v>
      </c>
      <c r="I271" s="56">
        <f>IF(A271&lt;&gt;0,(B271-(B270-D270))/(A271-A270),"")</f>
        <v>12.2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>
        <v>40</v>
      </c>
      <c r="B272" s="63">
        <v>172</v>
      </c>
      <c r="C272" s="53">
        <v>4</v>
      </c>
      <c r="D272" s="63">
        <v>22</v>
      </c>
      <c r="E272" s="54">
        <v>0.2</v>
      </c>
      <c r="F272" s="54"/>
      <c r="G272" s="54"/>
      <c r="H272" s="54">
        <v>0.8</v>
      </c>
      <c r="I272" s="56">
        <f t="shared" ref="I272:I289" si="10">IF(A272&lt;&gt;0,(B272-(B271-D271))/(A272-A271),"")</f>
        <v>10.6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>
        <v>45</v>
      </c>
      <c r="B273" s="63">
        <v>198</v>
      </c>
      <c r="C273" s="53">
        <v>5</v>
      </c>
      <c r="D273" s="63">
        <v>25</v>
      </c>
      <c r="E273" s="54">
        <v>0.3</v>
      </c>
      <c r="F273" s="54"/>
      <c r="G273" s="54"/>
      <c r="H273" s="54">
        <v>0.7</v>
      </c>
      <c r="I273" s="56">
        <f t="shared" si="10"/>
        <v>9.6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>
        <v>50</v>
      </c>
      <c r="B274" s="63">
        <v>217</v>
      </c>
      <c r="C274" s="53">
        <v>6</v>
      </c>
      <c r="D274" s="63">
        <v>26</v>
      </c>
      <c r="E274" s="54">
        <v>0.3</v>
      </c>
      <c r="F274" s="54"/>
      <c r="G274" s="54"/>
      <c r="H274" s="54">
        <v>0.7</v>
      </c>
      <c r="I274" s="56">
        <f t="shared" si="10"/>
        <v>8.8000000000000007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>
        <v>55</v>
      </c>
      <c r="B275" s="63">
        <v>232</v>
      </c>
      <c r="C275" s="53">
        <v>7</v>
      </c>
      <c r="D275" s="63">
        <v>27</v>
      </c>
      <c r="E275" s="54">
        <v>0.4</v>
      </c>
      <c r="F275" s="54"/>
      <c r="G275" s="54"/>
      <c r="H275" s="54">
        <v>0.6</v>
      </c>
      <c r="I275" s="56">
        <f t="shared" si="10"/>
        <v>8.1999999999999993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>
        <v>60</v>
      </c>
      <c r="B276" s="63">
        <v>244</v>
      </c>
      <c r="C276" s="53">
        <v>8</v>
      </c>
      <c r="D276" s="63">
        <v>27</v>
      </c>
      <c r="E276" s="54">
        <v>0.4</v>
      </c>
      <c r="F276" s="54"/>
      <c r="G276" s="54"/>
      <c r="H276" s="54">
        <v>0.6</v>
      </c>
      <c r="I276" s="56">
        <f t="shared" si="10"/>
        <v>7.8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>
        <v>65</v>
      </c>
      <c r="B277" s="58">
        <v>254</v>
      </c>
      <c r="C277" s="58">
        <v>9</v>
      </c>
      <c r="D277" s="58">
        <v>27</v>
      </c>
      <c r="E277" s="54">
        <v>0.5</v>
      </c>
      <c r="F277" s="54"/>
      <c r="G277" s="54"/>
      <c r="H277" s="54">
        <v>0.5</v>
      </c>
      <c r="I277" s="56">
        <f t="shared" si="10"/>
        <v>7.4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>
        <v>70</v>
      </c>
      <c r="B278" s="58">
        <v>262</v>
      </c>
      <c r="C278" s="58">
        <v>10</v>
      </c>
      <c r="D278" s="58">
        <v>27</v>
      </c>
      <c r="E278" s="54">
        <v>0.5</v>
      </c>
      <c r="F278" s="54"/>
      <c r="G278" s="54"/>
      <c r="H278" s="54">
        <v>0.5</v>
      </c>
      <c r="I278" s="56">
        <f t="shared" si="10"/>
        <v>7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>
        <v>75</v>
      </c>
      <c r="B279" s="58">
        <v>269</v>
      </c>
      <c r="C279" s="58">
        <v>11</v>
      </c>
      <c r="D279" s="58">
        <v>26</v>
      </c>
      <c r="E279" s="54">
        <v>0.6</v>
      </c>
      <c r="F279" s="54"/>
      <c r="G279" s="54"/>
      <c r="H279" s="54">
        <v>0.4</v>
      </c>
      <c r="I279" s="56">
        <f t="shared" si="10"/>
        <v>6.8</v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>
        <v>80</v>
      </c>
      <c r="B280" s="58">
        <v>275</v>
      </c>
      <c r="C280" s="58">
        <v>12</v>
      </c>
      <c r="D280" s="58">
        <v>26</v>
      </c>
      <c r="E280" s="54">
        <v>0.6</v>
      </c>
      <c r="F280" s="54"/>
      <c r="G280" s="54"/>
      <c r="H280" s="54">
        <v>0.4</v>
      </c>
      <c r="I280" s="56">
        <f t="shared" si="10"/>
        <v>6.4</v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>
        <v>85</v>
      </c>
      <c r="B281" s="58">
        <v>279</v>
      </c>
      <c r="C281" s="58">
        <v>13</v>
      </c>
      <c r="D281" s="58">
        <v>25</v>
      </c>
      <c r="E281" s="54">
        <v>0.7</v>
      </c>
      <c r="F281" s="54"/>
      <c r="G281" s="54"/>
      <c r="H281" s="54">
        <v>0.3</v>
      </c>
      <c r="I281" s="56">
        <f t="shared" si="10"/>
        <v>6</v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>
        <v>90</v>
      </c>
      <c r="B282" s="58">
        <v>283</v>
      </c>
      <c r="C282" s="58">
        <v>14</v>
      </c>
      <c r="D282" s="58">
        <v>24</v>
      </c>
      <c r="E282" s="54">
        <v>0.7</v>
      </c>
      <c r="F282" s="54"/>
      <c r="G282" s="54"/>
      <c r="H282" s="54">
        <v>0.3</v>
      </c>
      <c r="I282" s="56">
        <f t="shared" si="10"/>
        <v>5.8</v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0">
        <v>95</v>
      </c>
      <c r="B283" s="63">
        <v>286</v>
      </c>
      <c r="C283" s="90">
        <v>15</v>
      </c>
      <c r="D283" s="63">
        <v>23</v>
      </c>
      <c r="E283" s="54">
        <v>0.7</v>
      </c>
      <c r="F283" s="54"/>
      <c r="G283" s="54"/>
      <c r="H283" s="54">
        <v>0.3</v>
      </c>
      <c r="I283" s="56">
        <f t="shared" si="10"/>
        <v>5.4</v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>
        <v>100</v>
      </c>
      <c r="B284" s="53">
        <v>289</v>
      </c>
      <c r="C284" s="53">
        <v>16</v>
      </c>
      <c r="D284" s="53">
        <v>23</v>
      </c>
      <c r="E284" s="54">
        <v>0.7</v>
      </c>
      <c r="F284" s="54"/>
      <c r="G284" s="54"/>
      <c r="H284" s="54">
        <v>0.3</v>
      </c>
      <c r="I284" s="56">
        <f t="shared" si="10"/>
        <v>5.2</v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>
        <v>105</v>
      </c>
      <c r="B285" s="53">
        <v>292</v>
      </c>
      <c r="C285" s="53">
        <v>17</v>
      </c>
      <c r="D285" s="53">
        <v>22</v>
      </c>
      <c r="E285" s="54">
        <v>0.8</v>
      </c>
      <c r="F285" s="54"/>
      <c r="G285" s="54"/>
      <c r="H285" s="54">
        <v>0.2</v>
      </c>
      <c r="I285" s="56">
        <f t="shared" si="10"/>
        <v>5.2</v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>
        <v>110</v>
      </c>
      <c r="B286" s="53">
        <v>294</v>
      </c>
      <c r="C286" s="53">
        <v>18</v>
      </c>
      <c r="D286" s="53">
        <v>21</v>
      </c>
      <c r="E286" s="54">
        <v>0.8</v>
      </c>
      <c r="F286" s="54"/>
      <c r="G286" s="54"/>
      <c r="H286" s="54">
        <v>0.2</v>
      </c>
      <c r="I286" s="56">
        <f t="shared" si="10"/>
        <v>4.8</v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>
        <v>115</v>
      </c>
      <c r="B287" s="53">
        <v>295</v>
      </c>
      <c r="C287" s="53">
        <v>19</v>
      </c>
      <c r="D287" s="53">
        <v>20</v>
      </c>
      <c r="E287" s="54">
        <v>0.8</v>
      </c>
      <c r="F287" s="54"/>
      <c r="G287" s="54"/>
      <c r="H287" s="54">
        <v>0.2</v>
      </c>
      <c r="I287" s="56">
        <f t="shared" si="10"/>
        <v>4.4000000000000004</v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>
        <v>120</v>
      </c>
      <c r="B288" s="53">
        <v>297</v>
      </c>
      <c r="C288" s="53">
        <v>19</v>
      </c>
      <c r="D288" s="53">
        <v>19</v>
      </c>
      <c r="E288" s="54">
        <v>0.8</v>
      </c>
      <c r="F288" s="54"/>
      <c r="G288" s="54"/>
      <c r="H288" s="54">
        <v>0.2</v>
      </c>
      <c r="I288" s="56">
        <f t="shared" si="10"/>
        <v>4.4000000000000004</v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>
        <v>125</v>
      </c>
      <c r="B289" s="53">
        <v>298</v>
      </c>
      <c r="C289" s="53">
        <v>20</v>
      </c>
      <c r="D289" s="53">
        <v>298</v>
      </c>
      <c r="E289" s="54">
        <v>0.8</v>
      </c>
      <c r="F289" s="54"/>
      <c r="G289" s="54"/>
      <c r="H289" s="54">
        <v>0.2</v>
      </c>
      <c r="I289" s="56">
        <f t="shared" si="10"/>
        <v>4</v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8" sqref="B18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2"/>
      <c r="K1" s="102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3" t="s">
        <v>191</v>
      </c>
      <c r="C2" s="304"/>
      <c r="D2" s="304"/>
      <c r="E2" s="304"/>
      <c r="F2" s="304"/>
      <c r="G2" s="305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2"/>
      <c r="C4" s="302"/>
      <c r="D4" s="302"/>
      <c r="E4" s="302"/>
      <c r="F4" s="302"/>
      <c r="G4" s="302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3" t="s">
        <v>296</v>
      </c>
      <c r="C5" s="103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2"/>
      <c r="C6" s="232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4"/>
      <c r="B7" s="29" t="s">
        <v>295</v>
      </c>
      <c r="C7" s="105" t="s">
        <v>214</v>
      </c>
      <c r="D7" s="230"/>
      <c r="E7" s="106"/>
      <c r="F7" s="29" t="s">
        <v>295</v>
      </c>
      <c r="G7" s="105" t="s">
        <v>215</v>
      </c>
      <c r="H7" s="231"/>
      <c r="I7" s="231"/>
      <c r="J7" s="231"/>
      <c r="K7" s="231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</row>
    <row r="8" spans="1:38" ht="17.25" customHeight="1" x14ac:dyDescent="0.2">
      <c r="A8" s="110">
        <v>1</v>
      </c>
      <c r="B8" s="64">
        <v>1</v>
      </c>
      <c r="C8" s="52" t="s">
        <v>177</v>
      </c>
      <c r="D8" s="25"/>
      <c r="E8" s="110">
        <v>4</v>
      </c>
      <c r="F8" s="64">
        <v>0</v>
      </c>
      <c r="G8" s="107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0">
        <v>2</v>
      </c>
      <c r="B9" s="64">
        <v>0</v>
      </c>
      <c r="C9" s="113" t="s">
        <v>216</v>
      </c>
      <c r="D9" s="25"/>
      <c r="E9" s="110">
        <v>5</v>
      </c>
      <c r="F9" s="64">
        <v>0</v>
      </c>
      <c r="G9" s="108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0">
        <v>3</v>
      </c>
      <c r="B10" s="64">
        <v>0</v>
      </c>
      <c r="C10" s="114" t="s">
        <v>217</v>
      </c>
      <c r="D10" s="25"/>
      <c r="E10" s="5"/>
      <c r="F10" s="111">
        <f>SUM(F7:F9)</f>
        <v>0</v>
      </c>
      <c r="G10" s="109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1">
        <v>0</v>
      </c>
      <c r="C11" s="109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1"/>
      <c r="B13" s="112"/>
      <c r="C13" s="103" t="s">
        <v>273</v>
      </c>
      <c r="D13" s="231"/>
      <c r="E13" s="104"/>
      <c r="F13" s="112"/>
      <c r="G13" s="103" t="s">
        <v>301</v>
      </c>
      <c r="H13" s="231"/>
      <c r="I13" s="231"/>
      <c r="J13" s="231"/>
      <c r="K13" s="231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</row>
    <row r="14" spans="1:38" s="4" customFormat="1" ht="21" customHeight="1" x14ac:dyDescent="0.2">
      <c r="A14" s="231"/>
      <c r="B14" s="112"/>
      <c r="C14" s="103" t="s">
        <v>309</v>
      </c>
      <c r="D14" s="231"/>
      <c r="E14" s="104"/>
      <c r="F14" s="112"/>
      <c r="G14" s="103" t="s">
        <v>294</v>
      </c>
      <c r="H14" s="231"/>
      <c r="I14" s="231"/>
      <c r="J14" s="231"/>
      <c r="K14" s="231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5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1</v>
      </c>
      <c r="C17" s="115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5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1">
        <f>SUM(B16:B18)</f>
        <v>1</v>
      </c>
      <c r="C19" s="109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5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68" bestFit="1" customWidth="1"/>
    <col min="2" max="4" width="11.5" style="68"/>
    <col min="5" max="5" width="9.5" style="68" customWidth="1"/>
    <col min="6" max="7" width="11.5" style="68"/>
    <col min="8" max="8" width="10.6640625" style="68" customWidth="1"/>
    <col min="9" max="9" width="9.5" style="68" customWidth="1"/>
    <col min="10" max="11" width="10.5" style="68" bestFit="1" customWidth="1"/>
    <col min="12" max="12" width="14" style="68" bestFit="1" customWidth="1"/>
    <col min="13" max="13" width="14" style="68" customWidth="1"/>
    <col min="14" max="23" width="11.5" style="68"/>
    <col min="24" max="24" width="11.6640625" style="68" bestFit="1" customWidth="1"/>
    <col min="25" max="25" width="14.5" style="68" bestFit="1" customWidth="1"/>
    <col min="26" max="26" width="12.5" style="68" bestFit="1" customWidth="1"/>
    <col min="27" max="27" width="9.6640625" style="68" bestFit="1" customWidth="1"/>
    <col min="28" max="28" width="11" style="68" bestFit="1" customWidth="1"/>
    <col min="29" max="29" width="9.5" style="68" bestFit="1" customWidth="1"/>
    <col min="30" max="31" width="9.5" style="68" customWidth="1"/>
    <col min="32" max="32" width="11.5" style="68"/>
    <col min="33" max="34" width="14" style="68" bestFit="1" customWidth="1"/>
    <col min="35" max="35" width="10.5" style="68" bestFit="1" customWidth="1"/>
    <col min="36" max="36" width="9.5" style="68" bestFit="1" customWidth="1"/>
    <col min="37" max="38" width="10.5" style="68" bestFit="1" customWidth="1"/>
    <col min="39" max="41" width="10.5" style="68" customWidth="1"/>
    <col min="42" max="42" width="9" style="68" bestFit="1" customWidth="1"/>
    <col min="43" max="43" width="10.5" style="68" bestFit="1" customWidth="1"/>
    <col min="44" max="44" width="9.33203125" style="68" bestFit="1" customWidth="1"/>
    <col min="45" max="45" width="11.6640625" style="68" bestFit="1" customWidth="1"/>
    <col min="46" max="46" width="8.5" style="68" bestFit="1" customWidth="1"/>
    <col min="47" max="47" width="9.5" style="68" bestFit="1" customWidth="1"/>
    <col min="48" max="48" width="9.6640625" style="68" bestFit="1" customWidth="1"/>
    <col min="49" max="49" width="11" style="68" bestFit="1" customWidth="1"/>
    <col min="50" max="50" width="9.5" style="68" bestFit="1" customWidth="1"/>
    <col min="51" max="52" width="9.5" style="68" customWidth="1"/>
    <col min="53" max="53" width="10.5" style="68" bestFit="1" customWidth="1"/>
    <col min="54" max="54" width="14.33203125" style="68" customWidth="1"/>
    <col min="55" max="55" width="14" style="68" customWidth="1"/>
    <col min="56" max="56" width="10.5" style="68" bestFit="1" customWidth="1"/>
    <col min="57" max="57" width="9.5" style="68" bestFit="1" customWidth="1"/>
    <col min="58" max="59" width="10.5" style="68" bestFit="1" customWidth="1"/>
    <col min="60" max="62" width="10.5" style="68" customWidth="1"/>
    <col min="63" max="63" width="9" style="68" bestFit="1" customWidth="1"/>
    <col min="64" max="64" width="10.5" style="68" bestFit="1" customWidth="1"/>
    <col min="65" max="65" width="9.33203125" style="68" bestFit="1" customWidth="1"/>
    <col min="66" max="66" width="11.6640625" style="68" bestFit="1" customWidth="1"/>
    <col min="67" max="67" width="8.5" style="68" bestFit="1" customWidth="1"/>
    <col min="68" max="68" width="9.5" style="68" bestFit="1" customWidth="1"/>
    <col min="69" max="69" width="9.6640625" style="68" bestFit="1" customWidth="1"/>
    <col min="70" max="70" width="11" style="68" bestFit="1" customWidth="1"/>
    <col min="71" max="71" width="9.5" style="68" bestFit="1" customWidth="1"/>
    <col min="72" max="73" width="9.5" style="68" customWidth="1"/>
    <col min="74" max="74" width="10.5" style="68" bestFit="1" customWidth="1"/>
    <col min="75" max="75" width="14" style="68" bestFit="1" customWidth="1"/>
    <col min="76" max="76" width="13.83203125" style="68" customWidth="1"/>
    <col min="77" max="77" width="10.5" style="68" bestFit="1" customWidth="1"/>
    <col min="78" max="78" width="9.5" style="68" bestFit="1" customWidth="1"/>
    <col min="79" max="80" width="10.5" style="68" bestFit="1" customWidth="1"/>
    <col min="81" max="83" width="10.5" style="68" customWidth="1"/>
    <col min="84" max="84" width="11.5" style="68"/>
    <col min="85" max="85" width="10.5" style="68" bestFit="1" customWidth="1"/>
    <col min="86" max="86" width="9.33203125" style="68" bestFit="1" customWidth="1"/>
    <col min="87" max="87" width="11.6640625" style="68" bestFit="1" customWidth="1"/>
    <col min="88" max="88" width="8.5" style="68" bestFit="1" customWidth="1"/>
    <col min="89" max="89" width="9.5" style="68" bestFit="1" customWidth="1"/>
    <col min="90" max="90" width="9.6640625" style="68" bestFit="1" customWidth="1"/>
    <col min="91" max="91" width="11" style="68" bestFit="1" customWidth="1"/>
    <col min="92" max="92" width="9.5" style="68" bestFit="1" customWidth="1"/>
    <col min="93" max="94" width="9.5" style="68" customWidth="1"/>
    <col min="95" max="95" width="11.5" style="68"/>
    <col min="96" max="97" width="14" style="68" customWidth="1"/>
    <col min="98" max="98" width="10.5" style="68" bestFit="1" customWidth="1"/>
    <col min="99" max="99" width="9.5" style="68" bestFit="1" customWidth="1"/>
    <col min="100" max="101" width="10.5" style="68" bestFit="1" customWidth="1"/>
    <col min="102" max="104" width="10.5" style="68" customWidth="1"/>
    <col min="105" max="105" width="9" style="68" bestFit="1" customWidth="1"/>
    <col min="106" max="106" width="10.5" style="68" bestFit="1" customWidth="1"/>
    <col min="107" max="107" width="9.33203125" style="68" bestFit="1" customWidth="1"/>
    <col min="108" max="108" width="11.6640625" style="68" bestFit="1" customWidth="1"/>
    <col min="109" max="109" width="8.5" style="68" bestFit="1" customWidth="1"/>
    <col min="110" max="110" width="9.5" style="68" bestFit="1" customWidth="1"/>
    <col min="111" max="111" width="9.6640625" style="68" bestFit="1" customWidth="1"/>
    <col min="112" max="112" width="11" style="68" bestFit="1" customWidth="1"/>
    <col min="113" max="113" width="9.5" style="68" bestFit="1" customWidth="1"/>
    <col min="114" max="115" width="9.5" style="68" customWidth="1"/>
    <col min="116" max="116" width="10.5" style="68" bestFit="1" customWidth="1"/>
    <col min="117" max="117" width="14.33203125" style="68" customWidth="1"/>
    <col min="118" max="118" width="14" style="68" bestFit="1" customWidth="1"/>
    <col min="119" max="119" width="10.5" style="68" bestFit="1" customWidth="1"/>
    <col min="120" max="120" width="9.5" style="68" bestFit="1" customWidth="1"/>
    <col min="121" max="122" width="10.5" style="68" bestFit="1" customWidth="1"/>
    <col min="123" max="125" width="10.5" style="68" customWidth="1"/>
    <col min="126" max="126" width="9" style="68" bestFit="1" customWidth="1"/>
    <col min="127" max="127" width="10.5" style="68" bestFit="1" customWidth="1"/>
    <col min="128" max="128" width="9.33203125" style="68" bestFit="1" customWidth="1"/>
    <col min="129" max="129" width="11.6640625" style="68" bestFit="1" customWidth="1"/>
    <col min="130" max="130" width="8.5" style="68" bestFit="1" customWidth="1"/>
    <col min="131" max="131" width="9.5" style="68" bestFit="1" customWidth="1"/>
    <col min="132" max="132" width="9.6640625" style="68" bestFit="1" customWidth="1"/>
    <col min="133" max="133" width="11" style="68" bestFit="1" customWidth="1"/>
    <col min="134" max="134" width="9.5" style="68" bestFit="1" customWidth="1"/>
    <col min="135" max="136" width="9.5" style="68" customWidth="1"/>
    <col min="137" max="137" width="10.5" style="68" bestFit="1" customWidth="1"/>
    <col min="138" max="139" width="14" style="68" customWidth="1"/>
    <col min="140" max="140" width="10.5" style="68" bestFit="1" customWidth="1"/>
    <col min="141" max="141" width="9.5" style="68" bestFit="1" customWidth="1"/>
    <col min="142" max="143" width="10.5" style="68" bestFit="1" customWidth="1"/>
    <col min="144" max="146" width="10.5" style="68" customWidth="1"/>
    <col min="147" max="147" width="9" style="68" bestFit="1" customWidth="1"/>
    <col min="148" max="148" width="10.5" style="68" bestFit="1" customWidth="1"/>
    <col min="149" max="149" width="9.33203125" style="68" bestFit="1" customWidth="1"/>
    <col min="150" max="150" width="11.6640625" style="68" bestFit="1" customWidth="1"/>
    <col min="151" max="151" width="8.5" style="68" bestFit="1" customWidth="1"/>
    <col min="152" max="152" width="9.5" style="68" bestFit="1" customWidth="1"/>
    <col min="153" max="153" width="9.6640625" style="68" bestFit="1" customWidth="1"/>
    <col min="154" max="154" width="11" style="68" bestFit="1" customWidth="1"/>
    <col min="155" max="155" width="9.5" style="68" bestFit="1" customWidth="1"/>
    <col min="156" max="157" width="9.5" style="68" customWidth="1"/>
    <col min="158" max="158" width="11.5" style="68"/>
    <col min="159" max="160" width="14" style="68" bestFit="1" customWidth="1"/>
    <col min="161" max="161" width="10.5" style="68" bestFit="1" customWidth="1"/>
    <col min="162" max="162" width="9.5" style="68" bestFit="1" customWidth="1"/>
    <col min="163" max="164" width="10.5" style="68" bestFit="1" customWidth="1"/>
    <col min="165" max="167" width="10.5" style="68" customWidth="1"/>
    <col min="168" max="168" width="9" style="68" bestFit="1" customWidth="1"/>
    <col min="169" max="169" width="10.5" style="68" bestFit="1" customWidth="1"/>
    <col min="170" max="170" width="9.33203125" style="68" bestFit="1" customWidth="1"/>
    <col min="171" max="171" width="11.6640625" style="68" bestFit="1" customWidth="1"/>
    <col min="172" max="172" width="8.1640625" style="68" bestFit="1" customWidth="1"/>
    <col min="173" max="173" width="9.5" style="68" bestFit="1" customWidth="1"/>
    <col min="174" max="174" width="9.6640625" style="68" bestFit="1" customWidth="1"/>
    <col min="175" max="175" width="11" style="68" bestFit="1" customWidth="1"/>
    <col min="176" max="176" width="9.5" style="68" bestFit="1" customWidth="1"/>
    <col min="177" max="178" width="9.5" style="68" customWidth="1"/>
    <col min="179" max="179" width="10.5" style="68" bestFit="1" customWidth="1"/>
    <col min="180" max="181" width="14" style="68" bestFit="1" customWidth="1"/>
    <col min="182" max="182" width="10.5" style="68" bestFit="1" customWidth="1"/>
    <col min="183" max="183" width="9.5" style="68" bestFit="1" customWidth="1"/>
    <col min="184" max="185" width="10.5" style="68" bestFit="1" customWidth="1"/>
    <col min="186" max="188" width="10.5" style="68" customWidth="1"/>
    <col min="189" max="189" width="9" style="68" bestFit="1" customWidth="1"/>
    <col min="190" max="190" width="10.5" style="68" bestFit="1" customWidth="1"/>
    <col min="191" max="191" width="9.33203125" style="68" bestFit="1" customWidth="1"/>
    <col min="192" max="192" width="11.5" style="68"/>
    <col min="193" max="193" width="8.5" style="68" bestFit="1" customWidth="1"/>
    <col min="194" max="194" width="9.5" style="68" bestFit="1" customWidth="1"/>
    <col min="195" max="195" width="9.6640625" style="68" bestFit="1" customWidth="1"/>
    <col min="196" max="196" width="11" style="68" bestFit="1" customWidth="1"/>
    <col min="197" max="197" width="9.5" style="68" bestFit="1" customWidth="1"/>
    <col min="198" max="199" width="9.5" style="68" customWidth="1"/>
    <col min="200" max="200" width="10.5" style="68" bestFit="1" customWidth="1"/>
    <col min="201" max="201" width="14" style="68" customWidth="1"/>
    <col min="202" max="202" width="14.33203125" style="68" customWidth="1"/>
    <col min="203" max="203" width="10.5" style="68" bestFit="1" customWidth="1"/>
    <col min="204" max="204" width="9.5" style="68" bestFit="1" customWidth="1"/>
    <col min="205" max="206" width="10.5" style="68" bestFit="1" customWidth="1"/>
    <col min="207" max="209" width="10.5" style="68" customWidth="1"/>
    <col min="210" max="210" width="9" style="68" bestFit="1" customWidth="1"/>
    <col min="211" max="211" width="10.5" style="68" bestFit="1" customWidth="1"/>
    <col min="212" max="212" width="9.33203125" style="68" bestFit="1" customWidth="1"/>
    <col min="213" max="213" width="11.6640625" style="68" bestFit="1" customWidth="1"/>
    <col min="214" max="214" width="8.5" style="68" bestFit="1" customWidth="1"/>
    <col min="215" max="215" width="9.5" style="68" bestFit="1" customWidth="1"/>
    <col min="216" max="216" width="9.6640625" style="68" bestFit="1" customWidth="1"/>
    <col min="217" max="217" width="11" style="68" bestFit="1" customWidth="1"/>
    <col min="218" max="218" width="9.5" style="68" bestFit="1" customWidth="1"/>
    <col min="219" max="16384" width="11.5" style="68"/>
  </cols>
  <sheetData>
    <row r="1" spans="1:218" s="5" customFormat="1" ht="27" thickBot="1" x14ac:dyDescent="0.35">
      <c r="B1" s="309" t="s">
        <v>176</v>
      </c>
      <c r="C1" s="310"/>
      <c r="D1" s="310"/>
      <c r="E1" s="310"/>
      <c r="F1" s="310"/>
      <c r="G1" s="310"/>
      <c r="H1" s="311"/>
      <c r="I1" s="306" t="str">
        <f>IF('Données projet'!$B$9="","",'Données projet'!$B$9)</f>
        <v>Hêtre</v>
      </c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8"/>
      <c r="AD1" s="307" t="str">
        <f>IF('Données projet'!$B$10="","",'Données projet'!$B$10)</f>
        <v>Erable champêtre</v>
      </c>
      <c r="AE1" s="307"/>
      <c r="AF1" s="307"/>
      <c r="AG1" s="307"/>
      <c r="AH1" s="307"/>
      <c r="AI1" s="307"/>
      <c r="AJ1" s="307"/>
      <c r="AK1" s="307"/>
      <c r="AL1" s="307"/>
      <c r="AM1" s="307"/>
      <c r="AN1" s="307"/>
      <c r="AO1" s="307"/>
      <c r="AP1" s="307"/>
      <c r="AQ1" s="307"/>
      <c r="AR1" s="307"/>
      <c r="AS1" s="307"/>
      <c r="AT1" s="307"/>
      <c r="AU1" s="307"/>
      <c r="AV1" s="307"/>
      <c r="AW1" s="307"/>
      <c r="AX1" s="308"/>
      <c r="AY1" s="306" t="str">
        <f>IF('Données projet'!$B$11="","",'Données projet'!$B$11)</f>
        <v>Erable sycomore</v>
      </c>
      <c r="AZ1" s="307"/>
      <c r="BA1" s="307"/>
      <c r="BB1" s="307"/>
      <c r="BC1" s="307"/>
      <c r="BD1" s="307"/>
      <c r="BE1" s="307"/>
      <c r="BF1" s="307"/>
      <c r="BG1" s="307"/>
      <c r="BH1" s="307"/>
      <c r="BI1" s="307"/>
      <c r="BJ1" s="307"/>
      <c r="BK1" s="307"/>
      <c r="BL1" s="307"/>
      <c r="BM1" s="307"/>
      <c r="BN1" s="307"/>
      <c r="BO1" s="307"/>
      <c r="BP1" s="307"/>
      <c r="BQ1" s="307"/>
      <c r="BR1" s="307"/>
      <c r="BS1" s="308"/>
      <c r="BT1" s="306" t="str">
        <f>IF('Données projet'!$B$12="","",'Données projet'!$B$12)</f>
        <v>Châtaignier</v>
      </c>
      <c r="BU1" s="307"/>
      <c r="BV1" s="307"/>
      <c r="BW1" s="307"/>
      <c r="BX1" s="307"/>
      <c r="BY1" s="307"/>
      <c r="BZ1" s="307"/>
      <c r="CA1" s="307"/>
      <c r="CB1" s="307"/>
      <c r="CC1" s="307"/>
      <c r="CD1" s="307"/>
      <c r="CE1" s="307"/>
      <c r="CF1" s="307"/>
      <c r="CG1" s="307"/>
      <c r="CH1" s="307"/>
      <c r="CI1" s="307"/>
      <c r="CJ1" s="307"/>
      <c r="CK1" s="307"/>
      <c r="CL1" s="307"/>
      <c r="CM1" s="307"/>
      <c r="CN1" s="308"/>
      <c r="CO1" s="306" t="str">
        <f>IF('Données projet'!$B$13="","",'Données projet'!$B$13)</f>
        <v>Bouleau verruqueux</v>
      </c>
      <c r="CP1" s="307"/>
      <c r="CQ1" s="307"/>
      <c r="CR1" s="307"/>
      <c r="CS1" s="307"/>
      <c r="CT1" s="307"/>
      <c r="CU1" s="307"/>
      <c r="CV1" s="307"/>
      <c r="CW1" s="307"/>
      <c r="CX1" s="307"/>
      <c r="CY1" s="307"/>
      <c r="CZ1" s="307"/>
      <c r="DA1" s="307"/>
      <c r="DB1" s="307"/>
      <c r="DC1" s="307"/>
      <c r="DD1" s="307"/>
      <c r="DE1" s="307"/>
      <c r="DF1" s="307"/>
      <c r="DG1" s="307"/>
      <c r="DH1" s="307"/>
      <c r="DI1" s="308"/>
      <c r="DJ1" s="306" t="str">
        <f>IF('Données projet'!$B$14="","",'Données projet'!$B$14)</f>
        <v>Chêne pédonculé</v>
      </c>
      <c r="DK1" s="307"/>
      <c r="DL1" s="307"/>
      <c r="DM1" s="307"/>
      <c r="DN1" s="307"/>
      <c r="DO1" s="307"/>
      <c r="DP1" s="307"/>
      <c r="DQ1" s="307"/>
      <c r="DR1" s="307"/>
      <c r="DS1" s="307"/>
      <c r="DT1" s="307"/>
      <c r="DU1" s="307"/>
      <c r="DV1" s="307"/>
      <c r="DW1" s="307"/>
      <c r="DX1" s="307"/>
      <c r="DY1" s="307"/>
      <c r="DZ1" s="307"/>
      <c r="EA1" s="307"/>
      <c r="EB1" s="307"/>
      <c r="EC1" s="307"/>
      <c r="ED1" s="308"/>
      <c r="EE1" s="306" t="str">
        <f>IF('Données projet'!$B$15="","",'Données projet'!$B$15)</f>
        <v>Chêne sessile</v>
      </c>
      <c r="EF1" s="307"/>
      <c r="EG1" s="307"/>
      <c r="EH1" s="307"/>
      <c r="EI1" s="307"/>
      <c r="EJ1" s="307"/>
      <c r="EK1" s="307"/>
      <c r="EL1" s="307"/>
      <c r="EM1" s="307"/>
      <c r="EN1" s="307"/>
      <c r="EO1" s="307"/>
      <c r="EP1" s="307"/>
      <c r="EQ1" s="307"/>
      <c r="ER1" s="307"/>
      <c r="ES1" s="307"/>
      <c r="ET1" s="307"/>
      <c r="EU1" s="307"/>
      <c r="EV1" s="307"/>
      <c r="EW1" s="307"/>
      <c r="EX1" s="307"/>
      <c r="EY1" s="308"/>
      <c r="EZ1" s="306" t="str">
        <f>IF('Données projet'!$B$16="","",'Données projet'!$B$16)</f>
        <v>Chêne pubescent</v>
      </c>
      <c r="FA1" s="307"/>
      <c r="FB1" s="307"/>
      <c r="FC1" s="307"/>
      <c r="FD1" s="307"/>
      <c r="FE1" s="307"/>
      <c r="FF1" s="307"/>
      <c r="FG1" s="307"/>
      <c r="FH1" s="307"/>
      <c r="FI1" s="307"/>
      <c r="FJ1" s="307"/>
      <c r="FK1" s="307"/>
      <c r="FL1" s="307"/>
      <c r="FM1" s="307"/>
      <c r="FN1" s="307"/>
      <c r="FO1" s="307"/>
      <c r="FP1" s="307"/>
      <c r="FQ1" s="307"/>
      <c r="FR1" s="307"/>
      <c r="FS1" s="307"/>
      <c r="FT1" s="308"/>
      <c r="FU1" s="306" t="str">
        <f>IF('Données projet'!$B$17="","",'Données projet'!$B$17)</f>
        <v>Tilleul</v>
      </c>
      <c r="FV1" s="307"/>
      <c r="FW1" s="307"/>
      <c r="FX1" s="307"/>
      <c r="FY1" s="307"/>
      <c r="FZ1" s="307"/>
      <c r="GA1" s="307"/>
      <c r="GB1" s="307"/>
      <c r="GC1" s="307"/>
      <c r="GD1" s="307"/>
      <c r="GE1" s="307"/>
      <c r="GF1" s="307"/>
      <c r="GG1" s="307"/>
      <c r="GH1" s="307"/>
      <c r="GI1" s="307"/>
      <c r="GJ1" s="307"/>
      <c r="GK1" s="307"/>
      <c r="GL1" s="307"/>
      <c r="GM1" s="307"/>
      <c r="GN1" s="307"/>
      <c r="GO1" s="308"/>
      <c r="GP1" s="306" t="str">
        <f>IF('Données projet'!$B$18="","",'Données projet'!$B$18)</f>
        <v>Charme</v>
      </c>
      <c r="GQ1" s="307"/>
      <c r="GR1" s="307"/>
      <c r="GS1" s="307"/>
      <c r="GT1" s="307"/>
      <c r="GU1" s="307"/>
      <c r="GV1" s="307"/>
      <c r="GW1" s="307"/>
      <c r="GX1" s="307"/>
      <c r="GY1" s="307"/>
      <c r="GZ1" s="307"/>
      <c r="HA1" s="307"/>
      <c r="HB1" s="307"/>
      <c r="HC1" s="307"/>
      <c r="HD1" s="307"/>
      <c r="HE1" s="307"/>
      <c r="HF1" s="307"/>
      <c r="HG1" s="307"/>
      <c r="HH1" s="307"/>
      <c r="HI1" s="307"/>
      <c r="HJ1" s="308"/>
    </row>
    <row r="2" spans="1:218" s="5" customFormat="1" ht="65" thickBot="1" x14ac:dyDescent="0.25">
      <c r="A2" s="72" t="s">
        <v>178</v>
      </c>
      <c r="B2" s="73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6" t="s">
        <v>299</v>
      </c>
      <c r="I2" s="69" t="s">
        <v>298</v>
      </c>
      <c r="J2" s="70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0" t="s">
        <v>298</v>
      </c>
      <c r="AE2" s="70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69" t="s">
        <v>298</v>
      </c>
      <c r="AZ2" s="70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69" t="s">
        <v>298</v>
      </c>
      <c r="BU2" s="70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69" t="s">
        <v>298</v>
      </c>
      <c r="CP2" s="70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69" t="s">
        <v>298</v>
      </c>
      <c r="DK2" s="70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69" t="s">
        <v>298</v>
      </c>
      <c r="EF2" s="70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69" t="s">
        <v>298</v>
      </c>
      <c r="FA2" s="70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69" t="s">
        <v>298</v>
      </c>
      <c r="FV2" s="70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69" t="s">
        <v>298</v>
      </c>
      <c r="GQ2" s="70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4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623.31285537237943</v>
      </c>
      <c r="T3" s="62">
        <f>IF('Données projet'!E9&gt;30,$R$33-$H$33,LOOKUP('Données projet'!$E$9,$A$3:$A$203,R3:R203)-LOOKUP('Données projet'!$E$9,$A$3:$A$203,$H$3:$H$203))</f>
        <v>462.33909258902241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390.70479111593545</v>
      </c>
      <c r="AO3" s="62">
        <f>IF('Données projet'!E10&gt;30,$AM$33-$H$33,LOOKUP('Données projet'!$E$10,$A$3:$A$203,AM3:AM203)-LOOKUP('Données projet'!$E$10,$A$3:$A$203,$H$3:$H$203))</f>
        <v>374.99493809709708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359.18294335011535</v>
      </c>
      <c r="BJ3" s="62">
        <f>IF('Données projet'!E11&gt;30,$BH$33-$H$33,LOOKUP('Données projet'!$E$11,$A$3:$A$203,BH3:BH203)-LOOKUP('Données projet'!$E$11,$A$3:$A$203,$H$3:$H$203))</f>
        <v>345.47508134331241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333.9187211440219</v>
      </c>
      <c r="CE3" s="62">
        <f>IF('Données projet'!E12&gt;30,$CC$33-$H$33,LOOKUP('Données projet'!$E$12,$A$3:$A$203,CC3:CC203)-LOOKUP('Données projet'!$E$12,$A$3:$A$203,$H$3:$H$203))</f>
        <v>321.81422611044997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365.492319515595</v>
      </c>
      <c r="CZ3" s="62">
        <f>IF('Données projet'!E13&gt;30,$CX$33-$H$33,LOOKUP('Données projet'!$E$13,$A$3:$A$203,CX3:CX203)-LOOKUP('Données projet'!$E$13,$A$3:$A$203,$H$3:$H$203))</f>
        <v>351.38386928091433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544.89250424794909</v>
      </c>
      <c r="DU3" s="62">
        <f>IF('Données projet'!E14&gt;30,$DS$33-$H$33,LOOKUP('Données projet'!$E$14,$A$3:$A$203,DS3:DS203)-LOOKUP('Données projet'!$E$14,$A$3:$A$203,$H$3:$H$203))</f>
        <v>253.98688498110715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581.88778927327667</v>
      </c>
      <c r="EP3" s="62">
        <f>IF('Données projet'!E15&gt;30,$EN$33-$H$33,LOOKUP('Données projet'!$E$15,$A$3:$A$203,EN3:EN203)-LOOKUP('Données projet'!$E$15,$A$3:$A$203,$H$3:$H$203))</f>
        <v>269.67340993773422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256.66666666666669</v>
      </c>
      <c r="FJ3" s="62">
        <f ca="1">AVERAGE(OFFSET($FI$3,0,0,'Données projet'!$E$16+1,1))-AVERAGE(OFFSET($H$3,0,0,'Données projet'!$E$16+1,1))</f>
        <v>646.50767193970182</v>
      </c>
      <c r="FK3" s="62">
        <f>IF('Données projet'!E16&gt;30,$FI$33-$H$33,LOOKUP('Données projet'!$E$16,$A$3:$A$203,FI3:FI203)-LOOKUP('Données projet'!$E$16,$A$3:$A$203,$H$3:$H$203))</f>
        <v>297.06786598620607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256.66666666666669</v>
      </c>
      <c r="GE3" s="62">
        <f ca="1">AVERAGE(OFFSET($GD$3,0,0,'Données projet'!$E$17+1,1))-AVERAGE(OFFSET($H$3,0,0,'Données projet'!$E$17+1,1))</f>
        <v>442.85175349826028</v>
      </c>
      <c r="GF3" s="62">
        <f>IF('Données projet'!E17&gt;30,$GD$33-$H$33,LOOKUP('Données projet'!$E$17,$A$3:$A$203,GD3:GD203)-LOOKUP('Données projet'!$E$17,$A$3:$A$203,$H$3:$H$203))</f>
        <v>210.70697808232501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2">
        <f>GX3+(GP3+GQ3)*44/12</f>
        <v>256.66666666666669</v>
      </c>
      <c r="GZ3" s="62">
        <f ca="1">AVERAGE(OFFSET($GY$3,0,0,'Données projet'!$E$18+1,1))-AVERAGE(OFFSET($H$3,0,0,'Données projet'!$E$18+1,1))</f>
        <v>420.2510366318939</v>
      </c>
      <c r="HA3" s="62">
        <f>IF('Données projet'!E18&gt;30,$GY$33-$H$33,LOOKUP('Données projet'!$E$18,$A$3:$A$203,GY3:GY203)-LOOKUP('Données projet'!$E$18,$A$3:$A$203,$H$3:$H$203))</f>
        <v>220.59884411514116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4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2.9444444444444446</v>
      </c>
      <c r="N4" s="14">
        <f>IF('Données projet'!$A$36&gt;35,N3+M4-V3,IF(A4&lt;'Données projet'!$A$36,$K$205^A4,IF(A4='Données projet'!$A$36,'Données projet'!$B$36,N3+M4-V3)))</f>
        <v>1.2467894073120835</v>
      </c>
      <c r="O4" s="14">
        <f>N4*VLOOKUP('Données projet'!$B$9,Paramètres!$A$1:$I$89,3,0)*VLOOKUP('Données projet'!$B$9,Paramètres!$A$1:$I$89,5,0)</f>
        <v>1.0697453114737678</v>
      </c>
      <c r="P4" s="14">
        <f>EXP(-1.0587+0.8836*LN(O4)+0.284)</f>
        <v>0.48912990832127995</v>
      </c>
      <c r="Q4" s="22">
        <f t="shared" ref="Q4:Q34" si="2">(O4+P4)*0.475*44/12</f>
        <v>2.7150410078097078</v>
      </c>
      <c r="R4" s="62">
        <f t="shared" si="0"/>
        <v>260.60392989669856</v>
      </c>
      <c r="S4" s="62">
        <f ca="1">AVERAGE(OFFSET($R$3,0,0,'Données projet'!$E$9+1,1))-AVERAGE(OFFSET($H$3,0,0,'Données projet'!$E$9+1,1))</f>
        <v>623.31285537237943</v>
      </c>
      <c r="T4" s="62">
        <f>$T$3</f>
        <v>462.33909258902241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1.1000000000000001</v>
      </c>
      <c r="AI4" s="14">
        <f>IF('Données projet'!$A$62&gt;35,AI3+AH4-AQ3,IF(A4&lt;'Données projet'!$A$62,$AF$205^A4,IF(A4='Données projet'!$A$62,'Données projet'!$B$62,AI3+AH4-AQ3)))</f>
        <v>1.2709816152101407</v>
      </c>
      <c r="AJ4" s="14">
        <f>AI4*VLOOKUP('Données projet'!$B$10,Paramètres!$A$1:$I$89,3,0)*VLOOKUP('Données projet'!$B$10,Paramètres!$A$1:$I$89,5,0)</f>
        <v>1.1103295390475791</v>
      </c>
      <c r="AK4" s="14">
        <f>EXP(-1.0587+0.8836*LN(AJ4)+0.284)</f>
        <v>0.50549091932363655</v>
      </c>
      <c r="AL4" s="22">
        <f t="shared" ref="AL4:AL67" si="4">(AJ4+AK4)*0.475*44/12</f>
        <v>2.8142206316632006</v>
      </c>
      <c r="AM4" s="62">
        <f t="shared" ref="AM4:AM67" si="5">AL4+(AD4+AE4)*44/12</f>
        <v>260.70310952055206</v>
      </c>
      <c r="AN4" s="62">
        <f ca="1">AVERAGE(OFFSET($AM$3,0,0,'Données projet'!$E$10+1,1))-AVERAGE(OFFSET($H$3,0,0,'Données projet'!$E$10+1,1))</f>
        <v>390.70479111593545</v>
      </c>
      <c r="AO4" s="62">
        <f>$AO$3</f>
        <v>374.99493809709708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1.1000000000000001</v>
      </c>
      <c r="BD4" s="13">
        <f>IF('Données projet'!$A$88&gt;35,BD3+BC4-BL3,IF(A4&lt;'Données projet'!$A$88,$BA$205^A4,IF(A4='Données projet'!$A$88,'Données projet'!$B$88,BD3+BC4-BL3)))</f>
        <v>1.2709816152101407</v>
      </c>
      <c r="BE4" s="14">
        <f>BD4*VLOOKUP('Données projet'!$B$11,Paramètres!$A$1:$I$89,3,0)*VLOOKUP('Données projet'!$B$11,Paramètres!$A$1:$I$89,5,0)</f>
        <v>1.0111929730611879</v>
      </c>
      <c r="BF4" s="14">
        <f>EXP(-1.0587+0.8836*LN(BE4)+0.284)</f>
        <v>0.46539683474213156</v>
      </c>
      <c r="BG4" s="22">
        <f t="shared" ref="BG4:BG67" si="7">(BE4+BF4)*0.475*44/12</f>
        <v>2.5717272485907814</v>
      </c>
      <c r="BH4" s="62">
        <f t="shared" ref="BH4:BH67" si="8">BG4+(AY4+AZ4)*44/12</f>
        <v>260.46061613747963</v>
      </c>
      <c r="BI4" s="62">
        <f ca="1">AVERAGE(OFFSET($BH$3,0,0,'Données projet'!$E$11+1,1))-AVERAGE(OFFSET($H$3,0,0,'Données projet'!$E$11+1,1))</f>
        <v>359.18294335011535</v>
      </c>
      <c r="BJ4" s="62">
        <f>$BJ$3</f>
        <v>345.47508134331241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1.1000000000000001</v>
      </c>
      <c r="BY4" s="13">
        <f>IF('Données projet'!$A$114&gt;35,BY3+BX4-CG3,IF(A4&lt;'Données projet'!$A$114,$BV$205^A4,IF(A4='Données projet'!$A$114,'Données projet'!$B$114,BY3+BX4-CG3)))</f>
        <v>1.2709816152101407</v>
      </c>
      <c r="BZ4" s="14">
        <f>BY4*VLOOKUP('Données projet'!$B$12,Paramètres!$A$1:$I$89,3,0)*VLOOKUP('Données projet'!$B$12,Paramètres!$A$1:$I$89,5,0)</f>
        <v>0.93188372027207511</v>
      </c>
      <c r="CA4" s="14">
        <f>EXP(-1.0587+0.8836*LN(BZ4)+0.284)</f>
        <v>0.43299221190803017</v>
      </c>
      <c r="CB4" s="22">
        <f t="shared" ref="CB4:CB67" si="10">(BZ4+CA4)*0.475*44/12</f>
        <v>2.3771589152136832</v>
      </c>
      <c r="CC4" s="62">
        <f t="shared" ref="CC4:CC67" si="11">CB4+(BT4+BU4)*44/12</f>
        <v>260.26604780410253</v>
      </c>
      <c r="CD4" s="62">
        <f ca="1">AVERAGE(OFFSET($CC$3,0,0,'Données projet'!$E$12+1,1))-AVERAGE(OFFSET($H$3,0,0,'Données projet'!$E$12+1,1))</f>
        <v>333.9187211440219</v>
      </c>
      <c r="CE4" s="62">
        <f>$CE$3</f>
        <v>321.81422611044997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1.1000000000000001</v>
      </c>
      <c r="CT4" s="13">
        <f>IF('Données projet'!$A$140&gt;35,CT3+CS4-DB3,IF(A4&lt;'Données projet'!$A$140,$CQ$205^A4,IF(A4='Données projet'!$A$140,'Données projet'!$B$140,CT3+CS4-DB3)))</f>
        <v>1.2709816152101407</v>
      </c>
      <c r="CU4" s="18">
        <f>CT4*VLOOKUP('Données projet'!$B$13,Paramètres!$A$1:$I$89,3,0)*VLOOKUP('Données projet'!$B$13,Paramètres!$A$1:$I$89,5,0)</f>
        <v>1.0310202862584663</v>
      </c>
      <c r="CV4" s="14">
        <f>EXP(-1.0587+0.8836*LN(CU4)+0.284)</f>
        <v>0.47345092792653765</v>
      </c>
      <c r="CW4" s="22">
        <f t="shared" ref="CW4:CW67" si="13">(CU4+CV4)*0.475*44/12</f>
        <v>2.6202873647055487</v>
      </c>
      <c r="CX4" s="62">
        <f t="shared" ref="CX4:CX67" si="14">CW4+(CO4+CP4)*44/12</f>
        <v>260.50917625359443</v>
      </c>
      <c r="CY4" s="62">
        <f ca="1">AVERAGE(OFFSET($CX$3,0,0,'Données projet'!$E$13+1,1))-AVERAGE(OFFSET($H$3,0,0,'Données projet'!$E$13+1,1))</f>
        <v>365.492319515595</v>
      </c>
      <c r="CZ4" s="62">
        <f>$CZ$3</f>
        <v>351.38386928091433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3.887142857142857</v>
      </c>
      <c r="DO4" s="13">
        <f>IF('Données projet'!$A$166&gt;35,DO3+DN4-DW3,IF(A4&lt;'Données projet'!$A$166,$DL$205^A4,IF(A4='Données projet'!$A$166,'Données projet'!$B$166,DO3+DN4-DW3)))</f>
        <v>3.887142857142857</v>
      </c>
      <c r="DP4" s="18">
        <f>DO4*VLOOKUP('Données projet'!$B$14,Paramètres!$A$1:$I$89,3,0)*VLOOKUP('Données projet'!$B$14,Paramètres!$A$1:$I$89,5,0)</f>
        <v>3.2745291428571428</v>
      </c>
      <c r="DQ4" s="14">
        <f>EXP(-1.0587+0.8836*LN(DP4)+0.284)</f>
        <v>1.3144304080432285</v>
      </c>
      <c r="DR4" s="22">
        <f t="shared" ref="DR4:DR67" si="16">(DP4+DQ4)*0.475*44/12</f>
        <v>7.9924378844848141</v>
      </c>
      <c r="DS4" s="62">
        <f t="shared" ref="DS4:DS67" si="17">DR4+(DJ4+DK4)*44/12</f>
        <v>265.88132677337364</v>
      </c>
      <c r="DT4" s="62">
        <f ca="1">AVERAGE(OFFSET($DS$3,0,0,'Données projet'!$E$14+1,1))-AVERAGE(OFFSET($H$3,0,0,'Données projet'!$E$14+1,1))</f>
        <v>544.89250424794909</v>
      </c>
      <c r="DU4" s="62">
        <f>$DU$3</f>
        <v>253.98688498110715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3.887142857142857</v>
      </c>
      <c r="EJ4" s="13">
        <f>IF('Données projet'!$A$192&gt;35,EJ3+EI4-ER3,IF(A4&lt;'Données projet'!$A$192,$EG$205^A4,IF(A4='Données projet'!$A$192,'Données projet'!$B$192,EJ3+EI4-ER3)))</f>
        <v>3.887142857142857</v>
      </c>
      <c r="EK4" s="18">
        <f>EJ4*VLOOKUP('Données projet'!$B$15,Paramètres!$A$1:$I$89,3,0)*VLOOKUP('Données projet'!$B$15,Paramètres!$A$1:$I$89,5,0)</f>
        <v>3.5170868571428571</v>
      </c>
      <c r="EL4" s="14">
        <f>EXP(-1.0587+0.8836*LN(EK4)+0.284)</f>
        <v>1.400101260019349</v>
      </c>
      <c r="EM4" s="22">
        <f t="shared" ref="EM4:EM67" si="19">(EK4+EL4)*0.475*44/12</f>
        <v>8.5641026373908407</v>
      </c>
      <c r="EN4" s="62">
        <f t="shared" ref="EN4:EN67" si="20">EM4+(EE4+EF4)*44/12</f>
        <v>266.45299152627967</v>
      </c>
      <c r="EO4" s="62">
        <f ca="1">AVERAGE(OFFSET($EN$3,0,0,'Données projet'!$E$15+1,1))-AVERAGE(OFFSET($H$3,0,0,'Données projet'!$E$15+1,1))</f>
        <v>581.88778927327667</v>
      </c>
      <c r="EP4" s="62">
        <f>$EP$3</f>
        <v>269.67340993773422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3.887142857142857</v>
      </c>
      <c r="FE4" s="13">
        <f>IF('Données projet'!$A$218&gt;35,FE3+FD4-FM3,IF(A4&lt;'Données projet'!$A$218,$FB$205^A4,IF(A4='Données projet'!$A$218,'Données projet'!$B$218,FE3+FD4-FM3)))</f>
        <v>3.887142857142857</v>
      </c>
      <c r="FF4" s="18">
        <f>FE4*VLOOKUP('Données projet'!$B$16,Paramètres!$A$1:$I$89,3,0)*VLOOKUP('Données projet'!$B$16,Paramètres!$A$1:$I$89,5,0)</f>
        <v>3.9415628571428569</v>
      </c>
      <c r="FG4" s="14">
        <f>EXP(-1.0587+0.8836*LN(FF4)+0.284)</f>
        <v>1.5484055284644385</v>
      </c>
      <c r="FH4" s="22">
        <f t="shared" ref="FH4:FH67" si="22">(FF4+FG4)*0.475*44/12</f>
        <v>9.5616949382660383</v>
      </c>
      <c r="FI4" s="62">
        <f t="shared" ref="FI4:FI67" si="23">FH4+(EZ4+FA4)*44/12</f>
        <v>267.4505838271549</v>
      </c>
      <c r="FJ4" s="62">
        <f ca="1">AVERAGE(OFFSET($FI$3,0,0,'Données projet'!$E$16+1,1))-AVERAGE(OFFSET($H$3,0,0,'Données projet'!$E$16+1,1))</f>
        <v>646.50767193970182</v>
      </c>
      <c r="FK4" s="62">
        <f>$FK$3</f>
        <v>297.06786598620607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3.887142857142857</v>
      </c>
      <c r="FZ4" s="13">
        <f>IF('Données projet'!$A$244&gt;35,FZ3+FY4-GH3,IF(A4&lt;'Données projet'!$A$244,$FW$205^A4,IF(A4='Données projet'!$A$244,'Données projet'!$B$244,FZ3+FY4-GH3)))</f>
        <v>3.887142857142857</v>
      </c>
      <c r="GA4" s="18">
        <f>FZ4*VLOOKUP('Données projet'!$B$17,Paramètres!$A$1:$I$89,3,0)*VLOOKUP('Données projet'!$B$17,Paramètres!$A$1:$I$89,5,0)</f>
        <v>2.6074954285714287</v>
      </c>
      <c r="GB4" s="14">
        <f>EXP(-1.0587+0.8836*LN(GA4)+0.284)</f>
        <v>1.0747988638721822</v>
      </c>
      <c r="GC4" s="22">
        <f t="shared" ref="GC4:GC67" si="25">(GA4+GB4)*0.475*44/12</f>
        <v>6.4133292260059553</v>
      </c>
      <c r="GD4" s="62">
        <f t="shared" ref="GD4:GD67" si="26">GC4+(FU4+FV4)*44/12</f>
        <v>264.3022181148948</v>
      </c>
      <c r="GE4" s="62">
        <f ca="1">AVERAGE(OFFSET($GD$3,0,0,'Données projet'!$E$17+1,1))-AVERAGE(OFFSET($H$3,0,0,'Données projet'!$E$17+1,1))</f>
        <v>442.85175349826028</v>
      </c>
      <c r="GF4" s="62">
        <f>$GF$3</f>
        <v>210.70697808232501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2.9</v>
      </c>
      <c r="GU4" s="13">
        <f>IF('Données projet'!$A$270&gt;35,GU3+GT4-HC3,IF(A4&lt;'Données projet'!$A$270,$GR$205^A4,IF(A4='Données projet'!$A$270,'Données projet'!$B$270,GU3+GT4-HC3)))</f>
        <v>1.1605146888000166</v>
      </c>
      <c r="GV4" s="18">
        <f>GU4*VLOOKUP('Données projet'!$B$18,Paramètres!$A$1:$I$89,3,0)*VLOOKUP('Données projet'!$B$18,Paramètres!$A$1:$I$89,5,0)</f>
        <v>1.1043457778620958</v>
      </c>
      <c r="GW4" s="14">
        <f>EXP(-1.0587+0.8836*LN(GV4)+0.284)</f>
        <v>0.50308307783727402</v>
      </c>
      <c r="GX4" s="22">
        <f t="shared" ref="GX4:GX67" si="28">(GV4+GW4)*0.475*44/12</f>
        <v>2.7996052570097354</v>
      </c>
      <c r="GY4" s="62">
        <f t="shared" ref="GY4:GY67" si="29">GX4+(GP4+GQ4)*44/12</f>
        <v>260.68849414589857</v>
      </c>
      <c r="GZ4" s="62">
        <f ca="1">AVERAGE(OFFSET($GY$3,0,0,'Données projet'!$E$18+1,1))-AVERAGE(OFFSET($H$3,0,0,'Données projet'!$E$18+1,1))</f>
        <v>420.2510366318939</v>
      </c>
      <c r="HA4" s="62">
        <f>$HA$3</f>
        <v>220.59884411514116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2">
      <c r="A5" s="11">
        <f t="shared" ref="A5:A68" si="31">A4+1</f>
        <v>2</v>
      </c>
      <c r="B5" s="74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2.9444444444444446</v>
      </c>
      <c r="N5" s="14">
        <f>IF('Données projet'!$A$36&gt;35,N4+M5-V4,IF(A5&lt;'Données projet'!$A$36,$K$205^A5,IF(A5='Données projet'!$A$36,'Données projet'!$B$36,N4+M5-V4)))</f>
        <v>1.5544838261856166</v>
      </c>
      <c r="O5" s="14">
        <f>N5*VLOOKUP('Données projet'!$B$9,Paramètres!$A$1:$I$89,3,0)*VLOOKUP('Données projet'!$B$9,Paramètres!$A$1:$I$89,5,0)</f>
        <v>1.3337471228672593</v>
      </c>
      <c r="P5" s="14">
        <f t="shared" ref="P5:P68" si="33">EXP(-1.0587+0.8836*LN(O5)+0.284)</f>
        <v>0.59438385665947757</v>
      </c>
      <c r="Q5" s="22">
        <f t="shared" si="2"/>
        <v>3.3581614560090665</v>
      </c>
      <c r="R5" s="62">
        <f t="shared" si="0"/>
        <v>262.46927256712019</v>
      </c>
      <c r="S5" s="62">
        <f ca="1">AVERAGE(OFFSET($R$3,0,0,'Données projet'!$E$9+1,1))-AVERAGE(OFFSET($H$3,0,0,'Données projet'!$E$9+1,1))</f>
        <v>623.31285537237943</v>
      </c>
      <c r="T5" s="62">
        <f t="shared" ref="T5:T68" si="34">$T$3</f>
        <v>462.33909258902241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1.1000000000000001</v>
      </c>
      <c r="AI5" s="14">
        <f>IF('Données projet'!$A$62&gt;35,AI4+AH5-AQ4,IF(A5&lt;'Données projet'!$A$62,$AF$205^A5,IF(A5='Données projet'!$A$62,'Données projet'!$B$62,AI4+AH5-AQ4)))</f>
        <v>1.6153942662021783</v>
      </c>
      <c r="AJ5" s="14">
        <f>AI5*VLOOKUP('Données projet'!$B$10,Paramètres!$A$1:$I$89,3,0)*VLOOKUP('Données projet'!$B$10,Paramètres!$A$1:$I$89,5,0)</f>
        <v>1.4112084309542232</v>
      </c>
      <c r="AK5" s="14">
        <f t="shared" ref="AK5:AK68" si="35">EXP(-1.0587+0.8836*LN(AJ5)+0.284)</f>
        <v>0.62478531882621136</v>
      </c>
      <c r="AL5" s="22">
        <f t="shared" si="4"/>
        <v>3.546022447534257</v>
      </c>
      <c r="AM5" s="62">
        <f t="shared" si="5"/>
        <v>262.6571335586454</v>
      </c>
      <c r="AN5" s="62">
        <f ca="1">AVERAGE(OFFSET($AM$3,0,0,'Données projet'!$E$10+1,1))-AVERAGE(OFFSET($H$3,0,0,'Données projet'!$E$10+1,1))</f>
        <v>390.70479111593545</v>
      </c>
      <c r="AO5" s="62">
        <f t="shared" ref="AO5:AO68" si="36">$AO$3</f>
        <v>374.99493809709708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1.1000000000000001</v>
      </c>
      <c r="BD5" s="13">
        <f>IF('Données projet'!$A$88&gt;35,BD4+BC5-BL4,IF(A5&lt;'Données projet'!$A$88,$BA$205^A5,IF(A5='Données projet'!$A$88,'Données projet'!$B$88,BD4+BC5-BL4)))</f>
        <v>1.6153942662021783</v>
      </c>
      <c r="BE5" s="14">
        <f>BD5*VLOOKUP('Données projet'!$B$11,Paramètres!$A$1:$I$89,3,0)*VLOOKUP('Données projet'!$B$11,Paramètres!$A$1:$I$89,5,0)</f>
        <v>1.2852076781904531</v>
      </c>
      <c r="BF5" s="14">
        <f t="shared" ref="BF5:BF68" si="37">EXP(-1.0587+0.8836*LN(BE5)+0.284)</f>
        <v>0.57522914588482876</v>
      </c>
      <c r="BG5" s="22">
        <f t="shared" si="7"/>
        <v>3.2402608019311159</v>
      </c>
      <c r="BH5" s="62">
        <f t="shared" si="8"/>
        <v>262.35137191304227</v>
      </c>
      <c r="BI5" s="62">
        <f ca="1">AVERAGE(OFFSET($BH$3,0,0,'Données projet'!$E$11+1,1))-AVERAGE(OFFSET($H$3,0,0,'Données projet'!$E$11+1,1))</f>
        <v>359.18294335011535</v>
      </c>
      <c r="BJ5" s="62">
        <f t="shared" ref="BJ5:BJ68" si="38">$BJ$3</f>
        <v>345.47508134331241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1.1000000000000001</v>
      </c>
      <c r="BY5" s="13">
        <f>IF('Données projet'!$A$114&gt;35,BY4+BX5-CG4,IF(A5&lt;'Données projet'!$A$114,$BV$205^A5,IF(A5='Données projet'!$A$114,'Données projet'!$B$114,BY4+BX5-CG4)))</f>
        <v>1.6153942662021783</v>
      </c>
      <c r="BZ5" s="14">
        <f>BY5*VLOOKUP('Données projet'!$B$12,Paramètres!$A$1:$I$89,3,0)*VLOOKUP('Données projet'!$B$12,Paramètres!$A$1:$I$89,5,0)</f>
        <v>1.1844070759794372</v>
      </c>
      <c r="CA5" s="14">
        <f t="shared" ref="CA5:CA68" si="39">EXP(-1.0587+0.8836*LN(BZ5)+0.284)</f>
        <v>0.53517712549257934</v>
      </c>
      <c r="CB5" s="22">
        <f t="shared" si="10"/>
        <v>2.9949424842304286</v>
      </c>
      <c r="CC5" s="62">
        <f t="shared" si="11"/>
        <v>262.10605359534156</v>
      </c>
      <c r="CD5" s="62">
        <f ca="1">AVERAGE(OFFSET($CC$3,0,0,'Données projet'!$E$12+1,1))-AVERAGE(OFFSET($H$3,0,0,'Données projet'!$E$12+1,1))</f>
        <v>333.9187211440219</v>
      </c>
      <c r="CE5" s="62">
        <f t="shared" ref="CE5:CE68" si="40">$CE$3</f>
        <v>321.81422611044997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1.1000000000000001</v>
      </c>
      <c r="CT5" s="13">
        <f>IF('Données projet'!$A$140&gt;35,CT4+CS5-DB4,IF(A5&lt;'Données projet'!$A$140,$CQ$205^A5,IF(A5='Données projet'!$A$140,'Données projet'!$B$140,CT4+CS5-DB4)))</f>
        <v>1.6153942662021783</v>
      </c>
      <c r="CU5" s="18">
        <f>CT5*VLOOKUP('Données projet'!$B$13,Paramètres!$A$1:$I$89,3,0)*VLOOKUP('Données projet'!$B$13,Paramètres!$A$1:$I$89,5,0)</f>
        <v>1.310407828743207</v>
      </c>
      <c r="CV5" s="14">
        <f t="shared" ref="CV5:CV68" si="41">EXP(-1.0587+0.8836*LN(CU5)+0.284)</f>
        <v>0.58518398183877263</v>
      </c>
      <c r="CW5" s="22">
        <f t="shared" si="13"/>
        <v>3.3014890700969475</v>
      </c>
      <c r="CX5" s="62">
        <f t="shared" si="14"/>
        <v>262.41260018120806</v>
      </c>
      <c r="CY5" s="62">
        <f ca="1">AVERAGE(OFFSET($CX$3,0,0,'Données projet'!$E$13+1,1))-AVERAGE(OFFSET($H$3,0,0,'Données projet'!$E$13+1,1))</f>
        <v>365.492319515595</v>
      </c>
      <c r="CZ5" s="62">
        <f t="shared" ref="CZ5:CZ68" si="42">$CZ$3</f>
        <v>351.38386928091433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3.887142857142857</v>
      </c>
      <c r="DO5" s="13">
        <f>IF('Données projet'!$A$166&gt;35,DO4+DN5-DW4,IF(A5&lt;'Données projet'!$A$166,$DL$205^A5,IF(A5='Données projet'!$A$166,'Données projet'!$B$166,DO4+DN5-DW4)))</f>
        <v>7.774285714285714</v>
      </c>
      <c r="DP5" s="18">
        <f>DO5*VLOOKUP('Données projet'!$B$14,Paramètres!$A$1:$I$89,3,0)*VLOOKUP('Données projet'!$B$14,Paramètres!$A$1:$I$89,5,0)</f>
        <v>6.5490582857142856</v>
      </c>
      <c r="DQ5" s="14">
        <f t="shared" ref="DQ5:DQ68" si="43">EXP(-1.0587+0.8836*LN(DP5)+0.284)</f>
        <v>2.4250891115834707</v>
      </c>
      <c r="DR5" s="22">
        <f t="shared" si="16"/>
        <v>15.629973383626925</v>
      </c>
      <c r="DS5" s="62">
        <f t="shared" si="17"/>
        <v>274.74108449473806</v>
      </c>
      <c r="DT5" s="62">
        <f ca="1">AVERAGE(OFFSET($DS$3,0,0,'Données projet'!$E$14+1,1))-AVERAGE(OFFSET($H$3,0,0,'Données projet'!$E$14+1,1))</f>
        <v>544.89250424794909</v>
      </c>
      <c r="DU5" s="62">
        <f t="shared" ref="DU5:DU68" si="44">$DU$3</f>
        <v>253.98688498110715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3.887142857142857</v>
      </c>
      <c r="EJ5" s="13">
        <f>IF('Données projet'!$A$192&gt;35,EJ4+EI5-ER4,IF(A5&lt;'Données projet'!$A$192,$EG$205^A5,IF(A5='Données projet'!$A$192,'Données projet'!$B$192,EJ4+EI5-ER4)))</f>
        <v>7.774285714285714</v>
      </c>
      <c r="EK5" s="18">
        <f>EJ5*VLOOKUP('Données projet'!$B$15,Paramètres!$A$1:$I$89,3,0)*VLOOKUP('Données projet'!$B$15,Paramètres!$A$1:$I$89,5,0)</f>
        <v>7.0341737142857141</v>
      </c>
      <c r="EL5" s="14">
        <f t="shared" ref="EL5:EL68" si="45">EXP(-1.0587+0.8836*LN(EK5)+0.284)</f>
        <v>2.5831495528484112</v>
      </c>
      <c r="EM5" s="22">
        <f t="shared" si="19"/>
        <v>16.750171356925268</v>
      </c>
      <c r="EN5" s="62">
        <f t="shared" si="20"/>
        <v>275.86128246803639</v>
      </c>
      <c r="EO5" s="62">
        <f ca="1">AVERAGE(OFFSET($EN$3,0,0,'Données projet'!$E$15+1,1))-AVERAGE(OFFSET($H$3,0,0,'Données projet'!$E$15+1,1))</f>
        <v>581.88778927327667</v>
      </c>
      <c r="EP5" s="62">
        <f t="shared" ref="EP5:EP68" si="46">$EP$3</f>
        <v>269.67340993773422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3.887142857142857</v>
      </c>
      <c r="FE5" s="13">
        <f>IF('Données projet'!$A$218&gt;35,FE4+FD5-FM4,IF(A5&lt;'Données projet'!$A$218,$FB$205^A5,IF(A5='Données projet'!$A$218,'Données projet'!$B$218,FE4+FD5-FM4)))</f>
        <v>7.774285714285714</v>
      </c>
      <c r="FF5" s="18">
        <f>FE5*VLOOKUP('Données projet'!$B$16,Paramètres!$A$1:$I$89,3,0)*VLOOKUP('Données projet'!$B$16,Paramètres!$A$1:$I$89,5,0)</f>
        <v>7.8831257142857138</v>
      </c>
      <c r="FG5" s="14">
        <f t="shared" ref="FG5:FG68" si="47">EXP(-1.0587+0.8836*LN(FF5)+0.284)</f>
        <v>2.8567669801437421</v>
      </c>
      <c r="FH5" s="22">
        <f t="shared" si="22"/>
        <v>18.705313109464633</v>
      </c>
      <c r="FI5" s="62">
        <f t="shared" si="23"/>
        <v>277.81642422057575</v>
      </c>
      <c r="FJ5" s="62">
        <f ca="1">AVERAGE(OFFSET($FI$3,0,0,'Données projet'!$E$16+1,1))-AVERAGE(OFFSET($H$3,0,0,'Données projet'!$E$16+1,1))</f>
        <v>646.50767193970182</v>
      </c>
      <c r="FK5" s="62">
        <f t="shared" ref="FK5:FK68" si="48">$FK$3</f>
        <v>297.06786598620607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3.887142857142857</v>
      </c>
      <c r="FZ5" s="13">
        <f>IF('Données projet'!$A$244&gt;35,FZ4+FY5-GH4,IF(A5&lt;'Données projet'!$A$244,$FW$205^A5,IF(A5='Données projet'!$A$244,'Données projet'!$B$244,FZ4+FY5-GH4)))</f>
        <v>7.774285714285714</v>
      </c>
      <c r="GA5" s="18">
        <f>FZ5*VLOOKUP('Données projet'!$B$17,Paramètres!$A$1:$I$89,3,0)*VLOOKUP('Données projet'!$B$17,Paramètres!$A$1:$I$89,5,0)</f>
        <v>5.2149908571428574</v>
      </c>
      <c r="GB5" s="14">
        <f t="shared" ref="GB5:GB68" si="49">EXP(-1.0587+0.8836*LN(GA5)+0.284)</f>
        <v>1.982975291783567</v>
      </c>
      <c r="GC5" s="22">
        <f t="shared" si="25"/>
        <v>12.536457709380189</v>
      </c>
      <c r="GD5" s="62">
        <f t="shared" si="26"/>
        <v>271.64756882049136</v>
      </c>
      <c r="GE5" s="62">
        <f ca="1">AVERAGE(OFFSET($GD$3,0,0,'Données projet'!$E$17+1,1))-AVERAGE(OFFSET($H$3,0,0,'Données projet'!$E$17+1,1))</f>
        <v>442.85175349826028</v>
      </c>
      <c r="GF5" s="62">
        <f t="shared" ref="GF5:GF68" si="50">$GF$3</f>
        <v>210.70697808232501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2.9</v>
      </c>
      <c r="GU5" s="13">
        <f>IF('Données projet'!$A$270&gt;35,GU4+GT5-HC4,IF(A5&lt;'Données projet'!$A$270,$GR$205^A5,IF(A5='Données projet'!$A$270,'Données projet'!$B$270,GU4+GT5-HC4)))</f>
        <v>1.3467943429205995</v>
      </c>
      <c r="GV5" s="18">
        <f>GU5*VLOOKUP('Données projet'!$B$18,Paramètres!$A$1:$I$89,3,0)*VLOOKUP('Données projet'!$B$18,Paramètres!$A$1:$I$89,5,0)</f>
        <v>1.2816094967232425</v>
      </c>
      <c r="GW5" s="14">
        <f t="shared" ref="GW5:GW68" si="51">EXP(-1.0587+0.8836*LN(GV5)+0.284)</f>
        <v>0.57380590905466722</v>
      </c>
      <c r="GX5" s="22">
        <f t="shared" si="28"/>
        <v>3.2315151650631928</v>
      </c>
      <c r="GY5" s="62">
        <f t="shared" si="29"/>
        <v>262.34262627617431</v>
      </c>
      <c r="GZ5" s="62">
        <f ca="1">AVERAGE(OFFSET($GY$3,0,0,'Données projet'!$E$18+1,1))-AVERAGE(OFFSET($H$3,0,0,'Données projet'!$E$18+1,1))</f>
        <v>420.2510366318939</v>
      </c>
      <c r="HA5" s="62">
        <f t="shared" ref="HA5:HA68" si="52">$HA$3</f>
        <v>220.59884411514116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2">
      <c r="A6" s="11">
        <f t="shared" si="31"/>
        <v>3</v>
      </c>
      <c r="B6" s="74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2.9444444444444446</v>
      </c>
      <c r="N6" s="14">
        <f>IF('Données projet'!$A$36&gt;35,N5+M6-V5,IF(A6&lt;'Données projet'!$A$36,$K$205^A6,IF(A6='Données projet'!$A$36,'Données projet'!$B$36,N5+M6-V5)))</f>
        <v>1.9381139683261848</v>
      </c>
      <c r="O6" s="14">
        <f>N6*VLOOKUP('Données projet'!$B$9,Paramètres!$A$1:$I$89,3,0)*VLOOKUP('Données projet'!$B$9,Paramètres!$A$1:$I$89,5,0)</f>
        <v>1.6629017848238667</v>
      </c>
      <c r="P6" s="14">
        <f t="shared" si="33"/>
        <v>0.72228698970772809</v>
      </c>
      <c r="Q6" s="22">
        <f t="shared" si="2"/>
        <v>4.1542037823091933</v>
      </c>
      <c r="R6" s="62">
        <f t="shared" si="0"/>
        <v>264.48753711564251</v>
      </c>
      <c r="S6" s="62">
        <f ca="1">AVERAGE(OFFSET($R$3,0,0,'Données projet'!$E$9+1,1))-AVERAGE(OFFSET($H$3,0,0,'Données projet'!$E$9+1,1))</f>
        <v>623.31285537237943</v>
      </c>
      <c r="T6" s="62">
        <f t="shared" si="34"/>
        <v>462.33909258902241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1.1000000000000001</v>
      </c>
      <c r="AI6" s="14">
        <f>IF('Données projet'!$A$62&gt;35,AI5+AH6-AQ5,IF(A6&lt;'Données projet'!$A$62,$AF$205^A6,IF(A6='Données projet'!$A$62,'Données projet'!$B$62,AI5+AH6-AQ5)))</f>
        <v>2.0531364136588448</v>
      </c>
      <c r="AJ6" s="14">
        <f>AI6*VLOOKUP('Données projet'!$B$10,Paramètres!$A$1:$I$89,3,0)*VLOOKUP('Données projet'!$B$10,Paramètres!$A$1:$I$89,5,0)</f>
        <v>1.7936199709723673</v>
      </c>
      <c r="AK6" s="14">
        <f t="shared" si="35"/>
        <v>0.77223285265555475</v>
      </c>
      <c r="AL6" s="22">
        <f t="shared" si="4"/>
        <v>4.4688603344852975</v>
      </c>
      <c r="AM6" s="62">
        <f t="shared" si="5"/>
        <v>264.80219366781859</v>
      </c>
      <c r="AN6" s="62">
        <f ca="1">AVERAGE(OFFSET($AM$3,0,0,'Données projet'!$E$10+1,1))-AVERAGE(OFFSET($H$3,0,0,'Données projet'!$E$10+1,1))</f>
        <v>390.70479111593545</v>
      </c>
      <c r="AO6" s="62">
        <f t="shared" si="36"/>
        <v>374.99493809709708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1.1000000000000001</v>
      </c>
      <c r="BD6" s="13">
        <f>IF('Données projet'!$A$88&gt;35,BD5+BC6-BL5,IF(A6&lt;'Données projet'!$A$88,$BA$205^A6,IF(A6='Données projet'!$A$88,'Données projet'!$B$88,BD5+BC6-BL5)))</f>
        <v>2.0531364136588448</v>
      </c>
      <c r="BE6" s="14">
        <f>BD6*VLOOKUP('Données projet'!$B$11,Paramètres!$A$1:$I$89,3,0)*VLOOKUP('Données projet'!$B$11,Paramètres!$A$1:$I$89,5,0)</f>
        <v>1.6334753307069771</v>
      </c>
      <c r="BF6" s="14">
        <f t="shared" si="37"/>
        <v>0.71098156578295024</v>
      </c>
      <c r="BG6" s="22">
        <f t="shared" si="7"/>
        <v>4.0832624280532892</v>
      </c>
      <c r="BH6" s="62">
        <f t="shared" si="8"/>
        <v>264.41659576138659</v>
      </c>
      <c r="BI6" s="62">
        <f ca="1">AVERAGE(OFFSET($BH$3,0,0,'Données projet'!$E$11+1,1))-AVERAGE(OFFSET($H$3,0,0,'Données projet'!$E$11+1,1))</f>
        <v>359.18294335011535</v>
      </c>
      <c r="BJ6" s="62">
        <f t="shared" si="38"/>
        <v>345.47508134331241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1.1000000000000001</v>
      </c>
      <c r="BY6" s="13">
        <f>IF('Données projet'!$A$114&gt;35,BY5+BX6-CG5,IF(A6&lt;'Données projet'!$A$114,$BV$205^A6,IF(A6='Données projet'!$A$114,'Données projet'!$B$114,BY5+BX6-CG5)))</f>
        <v>2.0531364136588448</v>
      </c>
      <c r="BZ6" s="14">
        <f>BY6*VLOOKUP('Données projet'!$B$12,Paramètres!$A$1:$I$89,3,0)*VLOOKUP('Données projet'!$B$12,Paramètres!$A$1:$I$89,5,0)</f>
        <v>1.5053596184946649</v>
      </c>
      <c r="CA6" s="14">
        <f t="shared" si="39"/>
        <v>0.66147738405820555</v>
      </c>
      <c r="CB6" s="22">
        <f t="shared" si="10"/>
        <v>3.7739077794462492</v>
      </c>
      <c r="CC6" s="62">
        <f t="shared" si="11"/>
        <v>264.10724111277955</v>
      </c>
      <c r="CD6" s="62">
        <f ca="1">AVERAGE(OFFSET($CC$3,0,0,'Données projet'!$E$12+1,1))-AVERAGE(OFFSET($H$3,0,0,'Données projet'!$E$12+1,1))</f>
        <v>333.9187211440219</v>
      </c>
      <c r="CE6" s="62">
        <f t="shared" si="40"/>
        <v>321.81422611044997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1.1000000000000001</v>
      </c>
      <c r="CT6" s="13">
        <f>IF('Données projet'!$A$140&gt;35,CT5+CS6-DB5,IF(A6&lt;'Données projet'!$A$140,$CQ$205^A6,IF(A6='Données projet'!$A$140,'Données projet'!$B$140,CT5+CS6-DB5)))</f>
        <v>2.0531364136588448</v>
      </c>
      <c r="CU6" s="18">
        <f>CT6*VLOOKUP('Données projet'!$B$13,Paramètres!$A$1:$I$89,3,0)*VLOOKUP('Données projet'!$B$13,Paramètres!$A$1:$I$89,5,0)</f>
        <v>1.6655042587600553</v>
      </c>
      <c r="CV6" s="14">
        <f t="shared" si="41"/>
        <v>0.72328571431972233</v>
      </c>
      <c r="CW6" s="22">
        <f t="shared" si="13"/>
        <v>4.1604758697806128</v>
      </c>
      <c r="CX6" s="62">
        <f t="shared" si="14"/>
        <v>264.49380920311393</v>
      </c>
      <c r="CY6" s="62">
        <f ca="1">AVERAGE(OFFSET($CX$3,0,0,'Données projet'!$E$13+1,1))-AVERAGE(OFFSET($H$3,0,0,'Données projet'!$E$13+1,1))</f>
        <v>365.492319515595</v>
      </c>
      <c r="CZ6" s="62">
        <f t="shared" si="42"/>
        <v>351.38386928091433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3.887142857142857</v>
      </c>
      <c r="DO6" s="13">
        <f>IF('Données projet'!$A$166&gt;35,DO5+DN6-DW5,IF(A6&lt;'Données projet'!$A$166,$DL$205^A6,IF(A6='Données projet'!$A$166,'Données projet'!$B$166,DO5+DN6-DW5)))</f>
        <v>11.661428571428571</v>
      </c>
      <c r="DP6" s="18">
        <f>DO6*VLOOKUP('Données projet'!$B$14,Paramètres!$A$1:$I$89,3,0)*VLOOKUP('Données projet'!$B$14,Paramètres!$A$1:$I$89,5,0)</f>
        <v>9.8235874285714289</v>
      </c>
      <c r="DQ6" s="14">
        <f t="shared" si="43"/>
        <v>3.4699397832689471</v>
      </c>
      <c r="DR6" s="22">
        <f t="shared" si="16"/>
        <v>23.152893227288654</v>
      </c>
      <c r="DS6" s="62">
        <f t="shared" si="17"/>
        <v>283.48622656062196</v>
      </c>
      <c r="DT6" s="62">
        <f ca="1">AVERAGE(OFFSET($DS$3,0,0,'Données projet'!$E$14+1,1))-AVERAGE(OFFSET($H$3,0,0,'Données projet'!$E$14+1,1))</f>
        <v>544.89250424794909</v>
      </c>
      <c r="DU6" s="62">
        <f t="shared" si="44"/>
        <v>253.98688498110715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3.887142857142857</v>
      </c>
      <c r="EJ6" s="13">
        <f>IF('Données projet'!$A$192&gt;35,EJ5+EI6-ER5,IF(A6&lt;'Données projet'!$A$192,$EG$205^A6,IF(A6='Données projet'!$A$192,'Données projet'!$B$192,EJ5+EI6-ER5)))</f>
        <v>11.661428571428571</v>
      </c>
      <c r="EK6" s="18">
        <f>EJ6*VLOOKUP('Données projet'!$B$15,Paramètres!$A$1:$I$89,3,0)*VLOOKUP('Données projet'!$B$15,Paramètres!$A$1:$I$89,5,0)</f>
        <v>10.551260571428571</v>
      </c>
      <c r="EL6" s="14">
        <f t="shared" si="45"/>
        <v>3.6961006326523931</v>
      </c>
      <c r="EM6" s="22">
        <f t="shared" si="19"/>
        <v>24.814154097107675</v>
      </c>
      <c r="EN6" s="62">
        <f t="shared" si="20"/>
        <v>285.147487430441</v>
      </c>
      <c r="EO6" s="62">
        <f ca="1">AVERAGE(OFFSET($EN$3,0,0,'Données projet'!$E$15+1,1))-AVERAGE(OFFSET($H$3,0,0,'Données projet'!$E$15+1,1))</f>
        <v>581.88778927327667</v>
      </c>
      <c r="EP6" s="62">
        <f t="shared" si="46"/>
        <v>269.67340993773422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3.887142857142857</v>
      </c>
      <c r="FE6" s="13">
        <f>IF('Données projet'!$A$218&gt;35,FE5+FD6-FM5,IF(A6&lt;'Données projet'!$A$218,$FB$205^A6,IF(A6='Données projet'!$A$218,'Données projet'!$B$218,FE5+FD6-FM5)))</f>
        <v>11.661428571428571</v>
      </c>
      <c r="FF6" s="18">
        <f>FE6*VLOOKUP('Données projet'!$B$16,Paramètres!$A$1:$I$89,3,0)*VLOOKUP('Données projet'!$B$16,Paramètres!$A$1:$I$89,5,0)</f>
        <v>11.824688571428572</v>
      </c>
      <c r="FG6" s="14">
        <f t="shared" si="47"/>
        <v>4.0876062444803347</v>
      </c>
      <c r="FH6" s="22">
        <f t="shared" si="22"/>
        <v>27.713913471041348</v>
      </c>
      <c r="FI6" s="62">
        <f t="shared" si="23"/>
        <v>288.04724680437465</v>
      </c>
      <c r="FJ6" s="62">
        <f ca="1">AVERAGE(OFFSET($FI$3,0,0,'Données projet'!$E$16+1,1))-AVERAGE(OFFSET($H$3,0,0,'Données projet'!$E$16+1,1))</f>
        <v>646.50767193970182</v>
      </c>
      <c r="FK6" s="62">
        <f t="shared" si="48"/>
        <v>297.06786598620607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3.887142857142857</v>
      </c>
      <c r="FZ6" s="13">
        <f>IF('Données projet'!$A$244&gt;35,FZ5+FY6-GH5,IF(A6&lt;'Données projet'!$A$244,$FW$205^A6,IF(A6='Données projet'!$A$244,'Données projet'!$B$244,FZ5+FY6-GH5)))</f>
        <v>11.661428571428571</v>
      </c>
      <c r="GA6" s="18">
        <f>FZ6*VLOOKUP('Données projet'!$B$17,Paramètres!$A$1:$I$89,3,0)*VLOOKUP('Données projet'!$B$17,Paramètres!$A$1:$I$89,5,0)</f>
        <v>7.8224862857142856</v>
      </c>
      <c r="GB6" s="14">
        <f t="shared" si="49"/>
        <v>2.8373410368026852</v>
      </c>
      <c r="GC6" s="22">
        <f t="shared" si="25"/>
        <v>18.565865920050392</v>
      </c>
      <c r="GD6" s="62">
        <f t="shared" si="26"/>
        <v>278.8991992533837</v>
      </c>
      <c r="GE6" s="62">
        <f ca="1">AVERAGE(OFFSET($GD$3,0,0,'Données projet'!$E$17+1,1))-AVERAGE(OFFSET($H$3,0,0,'Données projet'!$E$17+1,1))</f>
        <v>442.85175349826028</v>
      </c>
      <c r="GF6" s="62">
        <f t="shared" si="50"/>
        <v>210.70697808232501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2.9</v>
      </c>
      <c r="GU6" s="13">
        <f>IF('Données projet'!$A$270&gt;35,GU5+GT6-HC5,IF(A6&lt;'Données projet'!$A$270,$GR$205^A6,IF(A6='Données projet'!$A$270,'Données projet'!$B$270,GU5+GT6-HC5)))</f>
        <v>1.5629746177521224</v>
      </c>
      <c r="GV6" s="18">
        <f>GU6*VLOOKUP('Données projet'!$B$18,Paramètres!$A$1:$I$89,3,0)*VLOOKUP('Données projet'!$B$18,Paramètres!$A$1:$I$89,5,0)</f>
        <v>1.4873266462529198</v>
      </c>
      <c r="GW6" s="14">
        <f t="shared" si="51"/>
        <v>0.65447087324323094</v>
      </c>
      <c r="GX6" s="22">
        <f t="shared" si="28"/>
        <v>3.7302973464557954</v>
      </c>
      <c r="GY6" s="62">
        <f t="shared" si="29"/>
        <v>264.06363067978913</v>
      </c>
      <c r="GZ6" s="62">
        <f ca="1">AVERAGE(OFFSET($GY$3,0,0,'Données projet'!$E$18+1,1))-AVERAGE(OFFSET($H$3,0,0,'Données projet'!$E$18+1,1))</f>
        <v>420.2510366318939</v>
      </c>
      <c r="HA6" s="62">
        <f t="shared" si="52"/>
        <v>220.59884411514116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2">
      <c r="A7" s="11">
        <f t="shared" si="31"/>
        <v>4</v>
      </c>
      <c r="B7" s="74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2.9444444444444446</v>
      </c>
      <c r="N7" s="14">
        <f>IF('Données projet'!$A$36&gt;35,N6+M7-V6,IF(A7&lt;'Données projet'!$A$36,$K$205^A7,IF(A7='Données projet'!$A$36,'Données projet'!$B$36,N6+M7-V6)))</f>
        <v>2.4164199658726746</v>
      </c>
      <c r="O7" s="14">
        <f>N7*VLOOKUP('Données projet'!$B$9,Paramètres!$A$1:$I$89,3,0)*VLOOKUP('Données projet'!$B$9,Paramètres!$A$1:$I$89,5,0)</f>
        <v>2.0732883307187553</v>
      </c>
      <c r="P7" s="14">
        <f t="shared" si="33"/>
        <v>0.87771309677398068</v>
      </c>
      <c r="Q7" s="22">
        <f t="shared" si="2"/>
        <v>5.1396608195498485</v>
      </c>
      <c r="R7" s="62">
        <f t="shared" si="0"/>
        <v>266.69521637510542</v>
      </c>
      <c r="S7" s="62">
        <f ca="1">AVERAGE(OFFSET($R$3,0,0,'Données projet'!$E$9+1,1))-AVERAGE(OFFSET($H$3,0,0,'Données projet'!$E$9+1,1))</f>
        <v>623.31285537237943</v>
      </c>
      <c r="T7" s="62">
        <f t="shared" si="34"/>
        <v>462.33909258902241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1.1000000000000001</v>
      </c>
      <c r="AI7" s="14">
        <f>IF('Données projet'!$A$62&gt;35,AI6+AH7-AQ6,IF(A7&lt;'Données projet'!$A$62,$AF$205^A7,IF(A7='Données projet'!$A$62,'Données projet'!$B$62,AI6+AH7-AQ6)))</f>
        <v>2.6094986352788743</v>
      </c>
      <c r="AJ7" s="14">
        <f>AI7*VLOOKUP('Données projet'!$B$10,Paramètres!$A$1:$I$89,3,0)*VLOOKUP('Données projet'!$B$10,Paramètres!$A$1:$I$89,5,0)</f>
        <v>2.2796580077796249</v>
      </c>
      <c r="AK7" s="14">
        <f t="shared" si="35"/>
        <v>0.95447757934019706</v>
      </c>
      <c r="AL7" s="22">
        <f t="shared" si="4"/>
        <v>5.632786147567022</v>
      </c>
      <c r="AM7" s="62">
        <f t="shared" si="5"/>
        <v>267.18834170312255</v>
      </c>
      <c r="AN7" s="62">
        <f ca="1">AVERAGE(OFFSET($AM$3,0,0,'Données projet'!$E$10+1,1))-AVERAGE(OFFSET($H$3,0,0,'Données projet'!$E$10+1,1))</f>
        <v>390.70479111593545</v>
      </c>
      <c r="AO7" s="62">
        <f t="shared" si="36"/>
        <v>374.99493809709708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1.1000000000000001</v>
      </c>
      <c r="BD7" s="13">
        <f>IF('Données projet'!$A$88&gt;35,BD6+BC7-BL6,IF(A7&lt;'Données projet'!$A$88,$BA$205^A7,IF(A7='Données projet'!$A$88,'Données projet'!$B$88,BD6+BC7-BL6)))</f>
        <v>2.6094986352788743</v>
      </c>
      <c r="BE7" s="14">
        <f>BD7*VLOOKUP('Données projet'!$B$11,Paramètres!$A$1:$I$89,3,0)*VLOOKUP('Données projet'!$B$11,Paramètres!$A$1:$I$89,5,0)</f>
        <v>2.0761171142278725</v>
      </c>
      <c r="BF7" s="14">
        <f t="shared" si="37"/>
        <v>0.87877116536856548</v>
      </c>
      <c r="BG7" s="22">
        <f t="shared" si="7"/>
        <v>5.14643042029713</v>
      </c>
      <c r="BH7" s="62">
        <f t="shared" si="8"/>
        <v>266.70198597585266</v>
      </c>
      <c r="BI7" s="62">
        <f ca="1">AVERAGE(OFFSET($BH$3,0,0,'Données projet'!$E$11+1,1))-AVERAGE(OFFSET($H$3,0,0,'Données projet'!$E$11+1,1))</f>
        <v>359.18294335011535</v>
      </c>
      <c r="BJ7" s="62">
        <f t="shared" si="38"/>
        <v>345.47508134331241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1.1000000000000001</v>
      </c>
      <c r="BY7" s="13">
        <f>IF('Données projet'!$A$114&gt;35,BY6+BX7-CG6,IF(A7&lt;'Données projet'!$A$114,$BV$205^A7,IF(A7='Données projet'!$A$114,'Données projet'!$B$114,BY6+BX7-CG6)))</f>
        <v>2.6094986352788743</v>
      </c>
      <c r="BZ7" s="14">
        <f>BY7*VLOOKUP('Données projet'!$B$12,Paramètres!$A$1:$I$89,3,0)*VLOOKUP('Données projet'!$B$12,Paramètres!$A$1:$I$89,5,0)</f>
        <v>1.9132843993864705</v>
      </c>
      <c r="CA7" s="14">
        <f t="shared" si="39"/>
        <v>0.81758413948982178</v>
      </c>
      <c r="CB7" s="22">
        <f t="shared" si="10"/>
        <v>4.7562627052095419</v>
      </c>
      <c r="CC7" s="62">
        <f t="shared" si="11"/>
        <v>266.31181826076511</v>
      </c>
      <c r="CD7" s="62">
        <f ca="1">AVERAGE(OFFSET($CC$3,0,0,'Données projet'!$E$12+1,1))-AVERAGE(OFFSET($H$3,0,0,'Données projet'!$E$12+1,1))</f>
        <v>333.9187211440219</v>
      </c>
      <c r="CE7" s="62">
        <f t="shared" si="40"/>
        <v>321.81422611044997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1.1000000000000001</v>
      </c>
      <c r="CT7" s="13">
        <f>IF('Données projet'!$A$140&gt;35,CT6+CS7-DB6,IF(A7&lt;'Données projet'!$A$140,$CQ$205^A7,IF(A7='Données projet'!$A$140,'Données projet'!$B$140,CT6+CS7-DB6)))</f>
        <v>2.6094986352788743</v>
      </c>
      <c r="CU7" s="18">
        <f>CT7*VLOOKUP('Données projet'!$B$13,Paramètres!$A$1:$I$89,3,0)*VLOOKUP('Données projet'!$B$13,Paramètres!$A$1:$I$89,5,0)</f>
        <v>2.116825292938223</v>
      </c>
      <c r="CV7" s="14">
        <f t="shared" si="41"/>
        <v>0.89397905748405238</v>
      </c>
      <c r="CW7" s="22">
        <f t="shared" si="13"/>
        <v>5.2438175769854629</v>
      </c>
      <c r="CX7" s="62">
        <f t="shared" si="14"/>
        <v>266.79937313254101</v>
      </c>
      <c r="CY7" s="62">
        <f ca="1">AVERAGE(OFFSET($CX$3,0,0,'Données projet'!$E$13+1,1))-AVERAGE(OFFSET($H$3,0,0,'Données projet'!$E$13+1,1))</f>
        <v>365.492319515595</v>
      </c>
      <c r="CZ7" s="62">
        <f t="shared" si="42"/>
        <v>351.38386928091433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3.887142857142857</v>
      </c>
      <c r="DO7" s="13">
        <f>IF('Données projet'!$A$166&gt;35,DO6+DN7-DW6,IF(A7&lt;'Données projet'!$A$166,$DL$205^A7,IF(A7='Données projet'!$A$166,'Données projet'!$B$166,DO6+DN7-DW6)))</f>
        <v>15.548571428571428</v>
      </c>
      <c r="DP7" s="18">
        <f>DO7*VLOOKUP('Données projet'!$B$14,Paramètres!$A$1:$I$89,3,0)*VLOOKUP('Données projet'!$B$14,Paramètres!$A$1:$I$89,5,0)</f>
        <v>13.098116571428571</v>
      </c>
      <c r="DQ7" s="14">
        <f t="shared" si="43"/>
        <v>4.4742248529351532</v>
      </c>
      <c r="DR7" s="22">
        <f t="shared" si="16"/>
        <v>30.605161314100155</v>
      </c>
      <c r="DS7" s="62">
        <f t="shared" si="17"/>
        <v>292.16071686965569</v>
      </c>
      <c r="DT7" s="62">
        <f ca="1">AVERAGE(OFFSET($DS$3,0,0,'Données projet'!$E$14+1,1))-AVERAGE(OFFSET($H$3,0,0,'Données projet'!$E$14+1,1))</f>
        <v>544.89250424794909</v>
      </c>
      <c r="DU7" s="62">
        <f t="shared" si="44"/>
        <v>253.98688498110715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3.887142857142857</v>
      </c>
      <c r="EJ7" s="13">
        <f>IF('Données projet'!$A$192&gt;35,EJ6+EI7-ER6,IF(A7&lt;'Données projet'!$A$192,$EG$205^A7,IF(A7='Données projet'!$A$192,'Données projet'!$B$192,EJ6+EI7-ER6)))</f>
        <v>15.548571428571428</v>
      </c>
      <c r="EK7" s="18">
        <f>EJ7*VLOOKUP('Données projet'!$B$15,Paramètres!$A$1:$I$89,3,0)*VLOOKUP('Données projet'!$B$15,Paramètres!$A$1:$I$89,5,0)</f>
        <v>14.068347428571428</v>
      </c>
      <c r="EL7" s="14">
        <f t="shared" si="45"/>
        <v>4.7658421593654818</v>
      </c>
      <c r="EM7" s="22">
        <f t="shared" si="19"/>
        <v>32.802880198990124</v>
      </c>
      <c r="EN7" s="62">
        <f t="shared" si="20"/>
        <v>294.35843575454567</v>
      </c>
      <c r="EO7" s="62">
        <f ca="1">AVERAGE(OFFSET($EN$3,0,0,'Données projet'!$E$15+1,1))-AVERAGE(OFFSET($H$3,0,0,'Données projet'!$E$15+1,1))</f>
        <v>581.88778927327667</v>
      </c>
      <c r="EP7" s="62">
        <f t="shared" si="46"/>
        <v>269.67340993773422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3.887142857142857</v>
      </c>
      <c r="FE7" s="13">
        <f>IF('Données projet'!$A$218&gt;35,FE6+FD7-FM6,IF(A7&lt;'Données projet'!$A$218,$FB$205^A7,IF(A7='Données projet'!$A$218,'Données projet'!$B$218,FE6+FD7-FM6)))</f>
        <v>15.548571428571428</v>
      </c>
      <c r="FF7" s="18">
        <f>FE7*VLOOKUP('Données projet'!$B$16,Paramètres!$A$1:$I$89,3,0)*VLOOKUP('Données projet'!$B$16,Paramètres!$A$1:$I$89,5,0)</f>
        <v>15.766251428571428</v>
      </c>
      <c r="FG7" s="14">
        <f t="shared" si="47"/>
        <v>5.2706590287965538</v>
      </c>
      <c r="FH7" s="22">
        <f t="shared" si="22"/>
        <v>36.63928571324923</v>
      </c>
      <c r="FI7" s="62">
        <f t="shared" si="23"/>
        <v>298.19484126880479</v>
      </c>
      <c r="FJ7" s="62">
        <f ca="1">AVERAGE(OFFSET($FI$3,0,0,'Données projet'!$E$16+1,1))-AVERAGE(OFFSET($H$3,0,0,'Données projet'!$E$16+1,1))</f>
        <v>646.50767193970182</v>
      </c>
      <c r="FK7" s="62">
        <f t="shared" si="48"/>
        <v>297.06786598620607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3.887142857142857</v>
      </c>
      <c r="FZ7" s="13">
        <f>IF('Données projet'!$A$244&gt;35,FZ6+FY7-GH6,IF(A7&lt;'Données projet'!$A$244,$FW$205^A7,IF(A7='Données projet'!$A$244,'Données projet'!$B$244,FZ6+FY7-GH6)))</f>
        <v>15.548571428571428</v>
      </c>
      <c r="GA7" s="18">
        <f>FZ7*VLOOKUP('Données projet'!$B$17,Paramètres!$A$1:$I$89,3,0)*VLOOKUP('Données projet'!$B$17,Paramètres!$A$1:$I$89,5,0)</f>
        <v>10.429981714285715</v>
      </c>
      <c r="GB7" s="14">
        <f t="shared" si="49"/>
        <v>3.6585366248505338</v>
      </c>
      <c r="GC7" s="22">
        <f t="shared" si="25"/>
        <v>24.53750277399563</v>
      </c>
      <c r="GD7" s="62">
        <f t="shared" si="26"/>
        <v>286.09305832955118</v>
      </c>
      <c r="GE7" s="62">
        <f ca="1">AVERAGE(OFFSET($GD$3,0,0,'Données projet'!$E$17+1,1))-AVERAGE(OFFSET($H$3,0,0,'Données projet'!$E$17+1,1))</f>
        <v>442.85175349826028</v>
      </c>
      <c r="GF7" s="62">
        <f t="shared" si="50"/>
        <v>210.70697808232501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2.9</v>
      </c>
      <c r="GU7" s="13">
        <f>IF('Données projet'!$A$270&gt;35,GU6+GT7-HC6,IF(A7&lt;'Données projet'!$A$270,$GR$205^A7,IF(A7='Données projet'!$A$270,'Données projet'!$B$270,GU6+GT7-HC6)))</f>
        <v>1.8138550021229294</v>
      </c>
      <c r="GV7" s="18">
        <f>GU7*VLOOKUP('Données projet'!$B$18,Paramètres!$A$1:$I$89,3,0)*VLOOKUP('Données projet'!$B$18,Paramètres!$A$1:$I$89,5,0)</f>
        <v>1.7260644200201796</v>
      </c>
      <c r="GW7" s="14">
        <f t="shared" si="51"/>
        <v>0.74647562383842481</v>
      </c>
      <c r="GX7" s="22">
        <f t="shared" si="28"/>
        <v>4.3063405763870692</v>
      </c>
      <c r="GY7" s="62">
        <f t="shared" si="29"/>
        <v>265.86189613194261</v>
      </c>
      <c r="GZ7" s="62">
        <f ca="1">AVERAGE(OFFSET($GY$3,0,0,'Données projet'!$E$18+1,1))-AVERAGE(OFFSET($H$3,0,0,'Données projet'!$E$18+1,1))</f>
        <v>420.2510366318939</v>
      </c>
      <c r="HA7" s="62">
        <f t="shared" si="52"/>
        <v>220.59884411514116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2">
      <c r="A8" s="11">
        <f t="shared" si="31"/>
        <v>5</v>
      </c>
      <c r="B8" s="74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2.9444444444444446</v>
      </c>
      <c r="N8" s="14">
        <f>IF('Données projet'!$A$36&gt;35,N7+M8-V7,IF(A8&lt;'Données projet'!$A$36,$K$205^A8,IF(A8='Données projet'!$A$36,'Données projet'!$B$36,N7+M8-V7)))</f>
        <v>3.0127668170674773</v>
      </c>
      <c r="O8" s="14">
        <f>N8*VLOOKUP('Données projet'!$B$9,Paramètres!$A$1:$I$89,3,0)*VLOOKUP('Données projet'!$B$9,Paramètres!$A$1:$I$89,5,0)</f>
        <v>2.5849539290438956</v>
      </c>
      <c r="P8" s="14">
        <f t="shared" si="33"/>
        <v>1.0665847387896374</v>
      </c>
      <c r="Q8" s="22">
        <f t="shared" si="2"/>
        <v>6.3597631798100691</v>
      </c>
      <c r="R8" s="62">
        <f t="shared" si="0"/>
        <v>269.13754095758782</v>
      </c>
      <c r="S8" s="62">
        <f ca="1">AVERAGE(OFFSET($R$3,0,0,'Données projet'!$E$9+1,1))-AVERAGE(OFFSET($H$3,0,0,'Données projet'!$E$9+1,1))</f>
        <v>623.31285537237943</v>
      </c>
      <c r="T8" s="62">
        <f t="shared" si="34"/>
        <v>462.33909258902241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1.1000000000000001</v>
      </c>
      <c r="AI8" s="14">
        <f>IF('Données projet'!$A$62&gt;35,AI7+AH8-AQ7,IF(A8&lt;'Données projet'!$A$62,$AF$205^A8,IF(A8='Données projet'!$A$62,'Données projet'!$B$62,AI7+AH8-AQ7)))</f>
        <v>3.3166247903554016</v>
      </c>
      <c r="AJ8" s="14">
        <f>AI8*VLOOKUP('Données projet'!$B$10,Paramètres!$A$1:$I$89,3,0)*VLOOKUP('Données projet'!$B$10,Paramètres!$A$1:$I$89,5,0)</f>
        <v>2.8974034168544791</v>
      </c>
      <c r="AK8" s="14">
        <f t="shared" si="35"/>
        <v>1.1797315360649065</v>
      </c>
      <c r="AL8" s="22">
        <f t="shared" si="4"/>
        <v>7.1010100430012626</v>
      </c>
      <c r="AM8" s="62">
        <f t="shared" si="5"/>
        <v>269.87878782077905</v>
      </c>
      <c r="AN8" s="62">
        <f ca="1">AVERAGE(OFFSET($AM$3,0,0,'Données projet'!$E$10+1,1))-AVERAGE(OFFSET($H$3,0,0,'Données projet'!$E$10+1,1))</f>
        <v>390.70479111593545</v>
      </c>
      <c r="AO8" s="62">
        <f t="shared" si="36"/>
        <v>374.99493809709708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1.1000000000000001</v>
      </c>
      <c r="BD8" s="13">
        <f>IF('Données projet'!$A$88&gt;35,BD7+BC8-BL7,IF(A8&lt;'Données projet'!$A$88,$BA$205^A8,IF(A8='Données projet'!$A$88,'Données projet'!$B$88,BD7+BC8-BL7)))</f>
        <v>3.3166247903554016</v>
      </c>
      <c r="BE8" s="14">
        <f>BD8*VLOOKUP('Données projet'!$B$11,Paramètres!$A$1:$I$89,3,0)*VLOOKUP('Données projet'!$B$11,Paramètres!$A$1:$I$89,5,0)</f>
        <v>2.6387066832067574</v>
      </c>
      <c r="BF8" s="14">
        <f t="shared" si="37"/>
        <v>1.0861586266766543</v>
      </c>
      <c r="BG8" s="22">
        <f t="shared" si="7"/>
        <v>6.4874737480469413</v>
      </c>
      <c r="BH8" s="62">
        <f t="shared" si="8"/>
        <v>269.26525152582474</v>
      </c>
      <c r="BI8" s="62">
        <f ca="1">AVERAGE(OFFSET($BH$3,0,0,'Données projet'!$E$11+1,1))-AVERAGE(OFFSET($H$3,0,0,'Données projet'!$E$11+1,1))</f>
        <v>359.18294335011535</v>
      </c>
      <c r="BJ8" s="62">
        <f t="shared" si="38"/>
        <v>345.47508134331241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1.1000000000000001</v>
      </c>
      <c r="BY8" s="13">
        <f>IF('Données projet'!$A$114&gt;35,BY7+BX8-CG7,IF(A8&lt;'Données projet'!$A$114,$BV$205^A8,IF(A8='Données projet'!$A$114,'Données projet'!$B$114,BY7+BX8-CG7)))</f>
        <v>3.3166247903554016</v>
      </c>
      <c r="BZ8" s="14">
        <f>BY8*VLOOKUP('Données projet'!$B$12,Paramètres!$A$1:$I$89,3,0)*VLOOKUP('Données projet'!$B$12,Paramètres!$A$1:$I$89,5,0)</f>
        <v>2.4317492962885807</v>
      </c>
      <c r="CA8" s="14">
        <f t="shared" si="39"/>
        <v>1.010531639108154</v>
      </c>
      <c r="CB8" s="22">
        <f t="shared" si="10"/>
        <v>5.9953059624826457</v>
      </c>
      <c r="CC8" s="62">
        <f t="shared" si="11"/>
        <v>268.7730837402604</v>
      </c>
      <c r="CD8" s="62">
        <f ca="1">AVERAGE(OFFSET($CC$3,0,0,'Données projet'!$E$12+1,1))-AVERAGE(OFFSET($H$3,0,0,'Données projet'!$E$12+1,1))</f>
        <v>333.9187211440219</v>
      </c>
      <c r="CE8" s="62">
        <f t="shared" si="40"/>
        <v>321.81422611044997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1.1000000000000001</v>
      </c>
      <c r="CT8" s="13">
        <f>IF('Données projet'!$A$140&gt;35,CT7+CS8-DB7,IF(A8&lt;'Données projet'!$A$140,$CQ$205^A8,IF(A8='Données projet'!$A$140,'Données projet'!$B$140,CT7+CS8-DB7)))</f>
        <v>3.3166247903554016</v>
      </c>
      <c r="CU8" s="18">
        <f>CT8*VLOOKUP('Données projet'!$B$13,Paramètres!$A$1:$I$89,3,0)*VLOOKUP('Données projet'!$B$13,Paramètres!$A$1:$I$89,5,0)</f>
        <v>2.690446029936302</v>
      </c>
      <c r="CV8" s="14">
        <f t="shared" si="41"/>
        <v>1.1049555374832079</v>
      </c>
      <c r="CW8" s="22">
        <f t="shared" si="13"/>
        <v>6.6103243965889789</v>
      </c>
      <c r="CX8" s="62">
        <f t="shared" si="14"/>
        <v>269.38810217436674</v>
      </c>
      <c r="CY8" s="62">
        <f ca="1">AVERAGE(OFFSET($CX$3,0,0,'Données projet'!$E$13+1,1))-AVERAGE(OFFSET($H$3,0,0,'Données projet'!$E$13+1,1))</f>
        <v>365.492319515595</v>
      </c>
      <c r="CZ8" s="62">
        <f t="shared" si="42"/>
        <v>351.38386928091433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3.887142857142857</v>
      </c>
      <c r="DO8" s="13">
        <f>IF('Données projet'!$A$166&gt;35,DO7+DN8-DW7,IF(A8&lt;'Données projet'!$A$166,$DL$205^A8,IF(A8='Données projet'!$A$166,'Données projet'!$B$166,DO7+DN8-DW7)))</f>
        <v>19.435714285714283</v>
      </c>
      <c r="DP8" s="18">
        <f>DO8*VLOOKUP('Données projet'!$B$14,Paramètres!$A$1:$I$89,3,0)*VLOOKUP('Données projet'!$B$14,Paramètres!$A$1:$I$89,5,0)</f>
        <v>16.372645714285714</v>
      </c>
      <c r="DQ8" s="14">
        <f t="shared" si="43"/>
        <v>5.4493850172851008</v>
      </c>
      <c r="DR8" s="22">
        <f t="shared" si="16"/>
        <v>38.006703524152499</v>
      </c>
      <c r="DS8" s="62">
        <f t="shared" si="17"/>
        <v>300.78448130193027</v>
      </c>
      <c r="DT8" s="62">
        <f ca="1">AVERAGE(OFFSET($DS$3,0,0,'Données projet'!$E$14+1,1))-AVERAGE(OFFSET($H$3,0,0,'Données projet'!$E$14+1,1))</f>
        <v>544.89250424794909</v>
      </c>
      <c r="DU8" s="62">
        <f t="shared" si="44"/>
        <v>253.98688498110715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3.887142857142857</v>
      </c>
      <c r="EJ8" s="13">
        <f>IF('Données projet'!$A$192&gt;35,EJ7+EI8-ER7,IF(A8&lt;'Données projet'!$A$192,$EG$205^A8,IF(A8='Données projet'!$A$192,'Données projet'!$B$192,EJ7+EI8-ER7)))</f>
        <v>19.435714285714283</v>
      </c>
      <c r="EK8" s="18">
        <f>EJ8*VLOOKUP('Données projet'!$B$15,Paramètres!$A$1:$I$89,3,0)*VLOOKUP('Données projet'!$B$15,Paramètres!$A$1:$I$89,5,0)</f>
        <v>17.585434285714282</v>
      </c>
      <c r="EL8" s="14">
        <f t="shared" si="45"/>
        <v>5.804560501905633</v>
      </c>
      <c r="EM8" s="22">
        <f t="shared" si="19"/>
        <v>40.737574255104683</v>
      </c>
      <c r="EN8" s="62">
        <f t="shared" si="20"/>
        <v>303.51535203288245</v>
      </c>
      <c r="EO8" s="62">
        <f ca="1">AVERAGE(OFFSET($EN$3,0,0,'Données projet'!$E$15+1,1))-AVERAGE(OFFSET($H$3,0,0,'Données projet'!$E$15+1,1))</f>
        <v>581.88778927327667</v>
      </c>
      <c r="EP8" s="62">
        <f t="shared" si="46"/>
        <v>269.67340993773422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3.887142857142857</v>
      </c>
      <c r="FE8" s="13">
        <f>IF('Données projet'!$A$218&gt;35,FE7+FD8-FM7,IF(A8&lt;'Données projet'!$A$218,$FB$205^A8,IF(A8='Données projet'!$A$218,'Données projet'!$B$218,FE7+FD8-FM7)))</f>
        <v>19.435714285714283</v>
      </c>
      <c r="FF8" s="18">
        <f>FE8*VLOOKUP('Données projet'!$B$16,Paramètres!$A$1:$I$89,3,0)*VLOOKUP('Données projet'!$B$16,Paramètres!$A$1:$I$89,5,0)</f>
        <v>19.707814285714285</v>
      </c>
      <c r="FG8" s="14">
        <f t="shared" si="47"/>
        <v>6.4194025304518281</v>
      </c>
      <c r="FH8" s="22">
        <f t="shared" si="22"/>
        <v>45.504902621489315</v>
      </c>
      <c r="FI8" s="62">
        <f t="shared" si="23"/>
        <v>308.28268039926706</v>
      </c>
      <c r="FJ8" s="62">
        <f ca="1">AVERAGE(OFFSET($FI$3,0,0,'Données projet'!$E$16+1,1))-AVERAGE(OFFSET($H$3,0,0,'Données projet'!$E$16+1,1))</f>
        <v>646.50767193970182</v>
      </c>
      <c r="FK8" s="62">
        <f t="shared" si="48"/>
        <v>297.06786598620607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3.887142857142857</v>
      </c>
      <c r="FZ8" s="13">
        <f>IF('Données projet'!$A$244&gt;35,FZ7+FY8-GH7,IF(A8&lt;'Données projet'!$A$244,$FW$205^A8,IF(A8='Données projet'!$A$244,'Données projet'!$B$244,FZ7+FY8-GH7)))</f>
        <v>19.435714285714283</v>
      </c>
      <c r="GA8" s="18">
        <f>FZ8*VLOOKUP('Données projet'!$B$17,Paramètres!$A$1:$I$89,3,0)*VLOOKUP('Données projet'!$B$17,Paramètres!$A$1:$I$89,5,0)</f>
        <v>13.037477142857142</v>
      </c>
      <c r="GB8" s="14">
        <f t="shared" si="49"/>
        <v>4.4559170189156907</v>
      </c>
      <c r="GC8" s="22">
        <f t="shared" si="25"/>
        <v>30.46766149842102</v>
      </c>
      <c r="GD8" s="62">
        <f t="shared" si="26"/>
        <v>293.24543927619879</v>
      </c>
      <c r="GE8" s="62">
        <f ca="1">AVERAGE(OFFSET($GD$3,0,0,'Données projet'!$E$17+1,1))-AVERAGE(OFFSET($H$3,0,0,'Données projet'!$E$17+1,1))</f>
        <v>442.85175349826028</v>
      </c>
      <c r="GF8" s="62">
        <f t="shared" si="50"/>
        <v>210.70697808232501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2.9</v>
      </c>
      <c r="GU8" s="13">
        <f>IF('Données projet'!$A$270&gt;35,GU7+GT8-HC7,IF(A8&lt;'Données projet'!$A$270,$GR$205^A8,IF(A8='Données projet'!$A$270,'Données projet'!$B$270,GU7+GT8-HC7)))</f>
        <v>2.1050053733170451</v>
      </c>
      <c r="GV8" s="18">
        <f>GU8*VLOOKUP('Données projet'!$B$18,Paramètres!$A$1:$I$89,3,0)*VLOOKUP('Données projet'!$B$18,Paramètres!$A$1:$I$89,5,0)</f>
        <v>2.0031231132485003</v>
      </c>
      <c r="GW8" s="14">
        <f t="shared" si="51"/>
        <v>0.85141429476247354</v>
      </c>
      <c r="GX8" s="22">
        <f t="shared" si="28"/>
        <v>4.9716526522857798</v>
      </c>
      <c r="GY8" s="62">
        <f t="shared" si="29"/>
        <v>267.74943043006357</v>
      </c>
      <c r="GZ8" s="62">
        <f ca="1">AVERAGE(OFFSET($GY$3,0,0,'Données projet'!$E$18+1,1))-AVERAGE(OFFSET($H$3,0,0,'Données projet'!$E$18+1,1))</f>
        <v>420.2510366318939</v>
      </c>
      <c r="HA8" s="62">
        <f t="shared" si="52"/>
        <v>220.59884411514116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2">
      <c r="A9" s="11">
        <f t="shared" si="31"/>
        <v>6</v>
      </c>
      <c r="B9" s="74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2.9444444444444446</v>
      </c>
      <c r="N9" s="14">
        <f>IF('Données projet'!$A$36&gt;35,N8+M9-V8,IF(A9&lt;'Données projet'!$A$36,$K$205^A9,IF(A9='Données projet'!$A$36,'Données projet'!$B$36,N8+M9-V8)))</f>
        <v>3.7562857542210724</v>
      </c>
      <c r="O9" s="14">
        <f>N9*VLOOKUP('Données projet'!$B$9,Paramètres!$A$1:$I$89,3,0)*VLOOKUP('Données projet'!$B$9,Paramètres!$A$1:$I$89,5,0)</f>
        <v>3.22289317712168</v>
      </c>
      <c r="P9" s="14">
        <f t="shared" si="33"/>
        <v>1.2960989293656433</v>
      </c>
      <c r="Q9" s="22">
        <f t="shared" si="2"/>
        <v>7.8705779187987526</v>
      </c>
      <c r="R9" s="62">
        <f t="shared" si="0"/>
        <v>271.87057791879874</v>
      </c>
      <c r="S9" s="62">
        <f ca="1">AVERAGE(OFFSET($R$3,0,0,'Données projet'!$E$9+1,1))-AVERAGE(OFFSET($H$3,0,0,'Données projet'!$E$9+1,1))</f>
        <v>623.31285537237943</v>
      </c>
      <c r="T9" s="62">
        <f t="shared" si="34"/>
        <v>462.33909258902241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1.1000000000000001</v>
      </c>
      <c r="AI9" s="14">
        <f>IF('Données projet'!$A$62&gt;35,AI8+AH9-AQ8,IF(A9&lt;'Données projet'!$A$62,$AF$205^A9,IF(A9='Données projet'!$A$62,'Données projet'!$B$62,AI8+AH9-AQ8)))</f>
        <v>4.2153691330919028</v>
      </c>
      <c r="AJ9" s="14">
        <f>AI9*VLOOKUP('Données projet'!$B$10,Paramètres!$A$1:$I$89,3,0)*VLOOKUP('Données projet'!$B$10,Paramètres!$A$1:$I$89,5,0)</f>
        <v>3.6825464746690866</v>
      </c>
      <c r="AK9" s="14">
        <f t="shared" si="35"/>
        <v>1.4581447771126821</v>
      </c>
      <c r="AL9" s="22">
        <f t="shared" si="4"/>
        <v>8.9533705968532473</v>
      </c>
      <c r="AM9" s="62">
        <f t="shared" si="5"/>
        <v>272.95337059685323</v>
      </c>
      <c r="AN9" s="62">
        <f ca="1">AVERAGE(OFFSET($AM$3,0,0,'Données projet'!$E$10+1,1))-AVERAGE(OFFSET($H$3,0,0,'Données projet'!$E$10+1,1))</f>
        <v>390.70479111593545</v>
      </c>
      <c r="AO9" s="62">
        <f t="shared" si="36"/>
        <v>374.99493809709708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1.1000000000000001</v>
      </c>
      <c r="BD9" s="13">
        <f>IF('Données projet'!$A$88&gt;35,BD8+BC9-BL8,IF(A9&lt;'Données projet'!$A$88,$BA$205^A9,IF(A9='Données projet'!$A$88,'Données projet'!$B$88,BD8+BC9-BL8)))</f>
        <v>4.2153691330919028</v>
      </c>
      <c r="BE9" s="14">
        <f>BD9*VLOOKUP('Données projet'!$B$11,Paramètres!$A$1:$I$89,3,0)*VLOOKUP('Données projet'!$B$11,Paramètres!$A$1:$I$89,5,0)</f>
        <v>3.353747682287918</v>
      </c>
      <c r="BF9" s="14">
        <f t="shared" si="37"/>
        <v>1.3424889309030987</v>
      </c>
      <c r="BG9" s="22">
        <f t="shared" si="7"/>
        <v>8.1792787679743544</v>
      </c>
      <c r="BH9" s="62">
        <f t="shared" si="8"/>
        <v>272.17927876797438</v>
      </c>
      <c r="BI9" s="62">
        <f ca="1">AVERAGE(OFFSET($BH$3,0,0,'Données projet'!$E$11+1,1))-AVERAGE(OFFSET($H$3,0,0,'Données projet'!$E$11+1,1))</f>
        <v>359.18294335011535</v>
      </c>
      <c r="BJ9" s="62">
        <f t="shared" si="38"/>
        <v>345.47508134331241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1.1000000000000001</v>
      </c>
      <c r="BY9" s="13">
        <f>IF('Données projet'!$A$114&gt;35,BY8+BX9-CG8,IF(A9&lt;'Données projet'!$A$114,$BV$205^A9,IF(A9='Données projet'!$A$114,'Données projet'!$B$114,BY8+BX9-CG8)))</f>
        <v>4.2153691330919028</v>
      </c>
      <c r="BZ9" s="14">
        <f>BY9*VLOOKUP('Données projet'!$B$12,Paramètres!$A$1:$I$89,3,0)*VLOOKUP('Données projet'!$B$12,Paramètres!$A$1:$I$89,5,0)</f>
        <v>3.0907086483829831</v>
      </c>
      <c r="CA9" s="14">
        <f t="shared" si="39"/>
        <v>1.2490141923201104</v>
      </c>
      <c r="CB9" s="22">
        <f t="shared" si="10"/>
        <v>7.5583506142245538</v>
      </c>
      <c r="CC9" s="62">
        <f t="shared" si="11"/>
        <v>271.55835061422454</v>
      </c>
      <c r="CD9" s="62">
        <f ca="1">AVERAGE(OFFSET($CC$3,0,0,'Données projet'!$E$12+1,1))-AVERAGE(OFFSET($H$3,0,0,'Données projet'!$E$12+1,1))</f>
        <v>333.9187211440219</v>
      </c>
      <c r="CE9" s="62">
        <f t="shared" si="40"/>
        <v>321.81422611044997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1.1000000000000001</v>
      </c>
      <c r="CT9" s="13">
        <f>IF('Données projet'!$A$140&gt;35,CT8+CS9-DB8,IF(A9&lt;'Données projet'!$A$140,$CQ$205^A9,IF(A9='Données projet'!$A$140,'Données projet'!$B$140,CT8+CS9-DB8)))</f>
        <v>4.2153691330919028</v>
      </c>
      <c r="CU9" s="18">
        <f>CT9*VLOOKUP('Données projet'!$B$13,Paramètres!$A$1:$I$89,3,0)*VLOOKUP('Données projet'!$B$13,Paramètres!$A$1:$I$89,5,0)</f>
        <v>3.4195074407641517</v>
      </c>
      <c r="CV9" s="14">
        <f t="shared" si="41"/>
        <v>1.3657218584637647</v>
      </c>
      <c r="CW9" s="22">
        <f t="shared" si="13"/>
        <v>8.3342743628219527</v>
      </c>
      <c r="CX9" s="62">
        <f t="shared" si="14"/>
        <v>272.33427436282193</v>
      </c>
      <c r="CY9" s="62">
        <f ca="1">AVERAGE(OFFSET($CX$3,0,0,'Données projet'!$E$13+1,1))-AVERAGE(OFFSET($H$3,0,0,'Données projet'!$E$13+1,1))</f>
        <v>365.492319515595</v>
      </c>
      <c r="CZ9" s="62">
        <f t="shared" si="42"/>
        <v>351.38386928091433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3.887142857142857</v>
      </c>
      <c r="DO9" s="13">
        <f>IF('Données projet'!$A$166&gt;35,DO8+DN9-DW8,IF(A9&lt;'Données projet'!$A$166,$DL$205^A9,IF(A9='Données projet'!$A$166,'Données projet'!$B$166,DO8+DN9-DW8)))</f>
        <v>23.322857142857139</v>
      </c>
      <c r="DP9" s="18">
        <f>DO9*VLOOKUP('Données projet'!$B$14,Paramètres!$A$1:$I$89,3,0)*VLOOKUP('Données projet'!$B$14,Paramètres!$A$1:$I$89,5,0)</f>
        <v>19.647174857142854</v>
      </c>
      <c r="DQ9" s="14">
        <f t="shared" si="43"/>
        <v>6.4019465273806153</v>
      </c>
      <c r="DR9" s="22">
        <f t="shared" si="16"/>
        <v>45.368886411378377</v>
      </c>
      <c r="DS9" s="62">
        <f t="shared" si="17"/>
        <v>309.36888641137836</v>
      </c>
      <c r="DT9" s="62">
        <f ca="1">AVERAGE(OFFSET($DS$3,0,0,'Données projet'!$E$14+1,1))-AVERAGE(OFFSET($H$3,0,0,'Données projet'!$E$14+1,1))</f>
        <v>544.89250424794909</v>
      </c>
      <c r="DU9" s="62">
        <f t="shared" si="44"/>
        <v>253.98688498110715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3.887142857142857</v>
      </c>
      <c r="EJ9" s="13">
        <f>IF('Données projet'!$A$192&gt;35,EJ8+EI9-ER8,IF(A9&lt;'Données projet'!$A$192,$EG$205^A9,IF(A9='Données projet'!$A$192,'Données projet'!$B$192,EJ8+EI9-ER8)))</f>
        <v>23.322857142857139</v>
      </c>
      <c r="EK9" s="18">
        <f>EJ9*VLOOKUP('Données projet'!$B$15,Paramètres!$A$1:$I$89,3,0)*VLOOKUP('Données projet'!$B$15,Paramètres!$A$1:$I$89,5,0)</f>
        <v>21.102521142857139</v>
      </c>
      <c r="EL9" s="14">
        <f t="shared" si="45"/>
        <v>6.8192072738987575</v>
      </c>
      <c r="EM9" s="22">
        <f t="shared" si="19"/>
        <v>48.630343659183183</v>
      </c>
      <c r="EN9" s="62">
        <f t="shared" si="20"/>
        <v>312.63034365918315</v>
      </c>
      <c r="EO9" s="62">
        <f ca="1">AVERAGE(OFFSET($EN$3,0,0,'Données projet'!$E$15+1,1))-AVERAGE(OFFSET($H$3,0,0,'Données projet'!$E$15+1,1))</f>
        <v>581.88778927327667</v>
      </c>
      <c r="EP9" s="62">
        <f t="shared" si="46"/>
        <v>269.67340993773422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3.887142857142857</v>
      </c>
      <c r="FE9" s="13">
        <f>IF('Données projet'!$A$218&gt;35,FE8+FD9-FM8,IF(A9&lt;'Données projet'!$A$218,$FB$205^A9,IF(A9='Données projet'!$A$218,'Données projet'!$B$218,FE8+FD9-FM8)))</f>
        <v>23.322857142857139</v>
      </c>
      <c r="FF9" s="18">
        <f>FE9*VLOOKUP('Données projet'!$B$16,Paramètres!$A$1:$I$89,3,0)*VLOOKUP('Données projet'!$B$16,Paramètres!$A$1:$I$89,5,0)</f>
        <v>23.649377142857141</v>
      </c>
      <c r="FG9" s="14">
        <f t="shared" si="47"/>
        <v>7.5415247055086745</v>
      </c>
      <c r="FH9" s="22">
        <f t="shared" si="22"/>
        <v>54.324154052570456</v>
      </c>
      <c r="FI9" s="62">
        <f t="shared" si="23"/>
        <v>318.32415405257046</v>
      </c>
      <c r="FJ9" s="62">
        <f ca="1">AVERAGE(OFFSET($FI$3,0,0,'Données projet'!$E$16+1,1))-AVERAGE(OFFSET($H$3,0,0,'Données projet'!$E$16+1,1))</f>
        <v>646.50767193970182</v>
      </c>
      <c r="FK9" s="62">
        <f t="shared" si="48"/>
        <v>297.06786598620607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3.887142857142857</v>
      </c>
      <c r="FZ9" s="13">
        <f>IF('Données projet'!$A$244&gt;35,FZ8+FY9-GH8,IF(A9&lt;'Données projet'!$A$244,$FW$205^A9,IF(A9='Données projet'!$A$244,'Données projet'!$B$244,FZ8+FY9-GH8)))</f>
        <v>23.322857142857139</v>
      </c>
      <c r="GA9" s="18">
        <f>FZ9*VLOOKUP('Données projet'!$B$17,Paramètres!$A$1:$I$89,3,0)*VLOOKUP('Données projet'!$B$17,Paramètres!$A$1:$I$89,5,0)</f>
        <v>15.644972571428568</v>
      </c>
      <c r="GB9" s="14">
        <f t="shared" si="49"/>
        <v>5.234818680467451</v>
      </c>
      <c r="GC9" s="22">
        <f t="shared" si="25"/>
        <v>36.365636430385564</v>
      </c>
      <c r="GD9" s="62">
        <f t="shared" si="26"/>
        <v>300.36563643038556</v>
      </c>
      <c r="GE9" s="62">
        <f ca="1">AVERAGE(OFFSET($GD$3,0,0,'Données projet'!$E$17+1,1))-AVERAGE(OFFSET($H$3,0,0,'Données projet'!$E$17+1,1))</f>
        <v>442.85175349826028</v>
      </c>
      <c r="GF9" s="62">
        <f t="shared" si="50"/>
        <v>210.70697808232501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2.9</v>
      </c>
      <c r="GU9" s="13">
        <f>IF('Données projet'!$A$270&gt;35,GU8+GT9-HC8,IF(A9&lt;'Données projet'!$A$270,$GR$205^A9,IF(A9='Données projet'!$A$270,'Données projet'!$B$270,GU8+GT9-HC8)))</f>
        <v>2.4428896557373934</v>
      </c>
      <c r="GV9" s="18">
        <f>GU9*VLOOKUP('Données projet'!$B$18,Paramètres!$A$1:$I$89,3,0)*VLOOKUP('Données projet'!$B$18,Paramètres!$A$1:$I$89,5,0)</f>
        <v>2.3246537963997036</v>
      </c>
      <c r="GW9" s="14">
        <f t="shared" si="51"/>
        <v>0.97110512142160244</v>
      </c>
      <c r="GX9" s="22">
        <f t="shared" si="28"/>
        <v>5.740113448538775</v>
      </c>
      <c r="GY9" s="62">
        <f t="shared" si="29"/>
        <v>269.74011344853875</v>
      </c>
      <c r="GZ9" s="62">
        <f ca="1">AVERAGE(OFFSET($GY$3,0,0,'Données projet'!$E$18+1,1))-AVERAGE(OFFSET($H$3,0,0,'Données projet'!$E$18+1,1))</f>
        <v>420.2510366318939</v>
      </c>
      <c r="HA9" s="62">
        <f t="shared" si="52"/>
        <v>220.59884411514116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2">
      <c r="A10" s="11">
        <f t="shared" si="31"/>
        <v>7</v>
      </c>
      <c r="B10" s="74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2.9444444444444446</v>
      </c>
      <c r="N10" s="14">
        <f>IF('Données projet'!$A$36&gt;35,N9+M10-V9,IF(A10&lt;'Données projet'!$A$36,$K$205^A10,IF(A10='Données projet'!$A$36,'Données projet'!$B$36,N9+M10-V9)))</f>
        <v>4.6832972892001132</v>
      </c>
      <c r="O10" s="14">
        <f>N10*VLOOKUP('Données projet'!$B$9,Paramètres!$A$1:$I$89,3,0)*VLOOKUP('Données projet'!$B$9,Paramètres!$A$1:$I$89,5,0)</f>
        <v>4.0182690741336975</v>
      </c>
      <c r="P10" s="14">
        <f t="shared" si="33"/>
        <v>1.5750013792707078</v>
      </c>
      <c r="Q10" s="22">
        <f t="shared" si="2"/>
        <v>9.7416127063460056</v>
      </c>
      <c r="R10" s="62">
        <f t="shared" si="0"/>
        <v>274.96383492856825</v>
      </c>
      <c r="S10" s="62">
        <f ca="1">AVERAGE(OFFSET($R$3,0,0,'Données projet'!$E$9+1,1))-AVERAGE(OFFSET($H$3,0,0,'Données projet'!$E$9+1,1))</f>
        <v>623.31285537237943</v>
      </c>
      <c r="T10" s="62">
        <f t="shared" si="34"/>
        <v>462.33909258902241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1.1000000000000001</v>
      </c>
      <c r="AI10" s="14">
        <f>IF('Données projet'!$A$62&gt;35,AI9+AH10-AQ9,IF(A10&lt;'Données projet'!$A$62,$AF$205^A10,IF(A10='Données projet'!$A$62,'Données projet'!$B$62,AI9+AH10-AQ9)))</f>
        <v>5.3576566694841175</v>
      </c>
      <c r="AJ10" s="14">
        <f>AI10*VLOOKUP('Données projet'!$B$10,Paramètres!$A$1:$I$89,3,0)*VLOOKUP('Données projet'!$B$10,Paramètres!$A$1:$I$89,5,0)</f>
        <v>4.6804488664613251</v>
      </c>
      <c r="AK10" s="14">
        <f t="shared" si="35"/>
        <v>1.8022627403121443</v>
      </c>
      <c r="AL10" s="22">
        <f t="shared" si="4"/>
        <v>11.290722715130457</v>
      </c>
      <c r="AM10" s="62">
        <f t="shared" si="5"/>
        <v>276.5129449373527</v>
      </c>
      <c r="AN10" s="62">
        <f ca="1">AVERAGE(OFFSET($AM$3,0,0,'Données projet'!$E$10+1,1))-AVERAGE(OFFSET($H$3,0,0,'Données projet'!$E$10+1,1))</f>
        <v>390.70479111593545</v>
      </c>
      <c r="AO10" s="62">
        <f t="shared" si="36"/>
        <v>374.99493809709708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1.1000000000000001</v>
      </c>
      <c r="BD10" s="13">
        <f>IF('Données projet'!$A$88&gt;35,BD9+BC10-BL9,IF(A10&lt;'Données projet'!$A$88,$BA$205^A10,IF(A10='Données projet'!$A$88,'Données projet'!$B$88,BD9+BC10-BL9)))</f>
        <v>5.3576566694841175</v>
      </c>
      <c r="BE10" s="14">
        <f>BD10*VLOOKUP('Données projet'!$B$11,Paramètres!$A$1:$I$89,3,0)*VLOOKUP('Données projet'!$B$11,Paramètres!$A$1:$I$89,5,0)</f>
        <v>4.2625516462415645</v>
      </c>
      <c r="BF10" s="14">
        <f t="shared" si="37"/>
        <v>1.6593124478620722</v>
      </c>
      <c r="BG10" s="22">
        <f t="shared" si="7"/>
        <v>10.313913297230501</v>
      </c>
      <c r="BH10" s="62">
        <f t="shared" si="8"/>
        <v>275.53613551945273</v>
      </c>
      <c r="BI10" s="62">
        <f ca="1">AVERAGE(OFFSET($BH$3,0,0,'Données projet'!$E$11+1,1))-AVERAGE(OFFSET($H$3,0,0,'Données projet'!$E$11+1,1))</f>
        <v>359.18294335011535</v>
      </c>
      <c r="BJ10" s="62">
        <f t="shared" si="38"/>
        <v>345.47508134331241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1.1000000000000001</v>
      </c>
      <c r="BY10" s="13">
        <f>IF('Données projet'!$A$114&gt;35,BY9+BX10-CG9,IF(A10&lt;'Données projet'!$A$114,$BV$205^A10,IF(A10='Données projet'!$A$114,'Données projet'!$B$114,BY9+BX10-CG9)))</f>
        <v>5.3576566694841175</v>
      </c>
      <c r="BZ10" s="14">
        <f>BY10*VLOOKUP('Données projet'!$B$12,Paramètres!$A$1:$I$89,3,0)*VLOOKUP('Données projet'!$B$12,Paramètres!$A$1:$I$89,5,0)</f>
        <v>3.9282338700657551</v>
      </c>
      <c r="CA10" s="14">
        <f t="shared" si="39"/>
        <v>1.5437779404847436</v>
      </c>
      <c r="CB10" s="22">
        <f t="shared" si="10"/>
        <v>9.5304205700421178</v>
      </c>
      <c r="CC10" s="62">
        <f t="shared" si="11"/>
        <v>274.75264279226434</v>
      </c>
      <c r="CD10" s="62">
        <f ca="1">AVERAGE(OFFSET($CC$3,0,0,'Données projet'!$E$12+1,1))-AVERAGE(OFFSET($H$3,0,0,'Données projet'!$E$12+1,1))</f>
        <v>333.9187211440219</v>
      </c>
      <c r="CE10" s="62">
        <f t="shared" si="40"/>
        <v>321.81422611044997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1.1000000000000001</v>
      </c>
      <c r="CT10" s="13">
        <f>IF('Données projet'!$A$140&gt;35,CT9+CS10-DB9,IF(A10&lt;'Données projet'!$A$140,$CQ$205^A10,IF(A10='Données projet'!$A$140,'Données projet'!$B$140,CT9+CS10-DB9)))</f>
        <v>5.3576566694841175</v>
      </c>
      <c r="CU10" s="18">
        <f>CT10*VLOOKUP('Données projet'!$B$13,Paramètres!$A$1:$I$89,3,0)*VLOOKUP('Données projet'!$B$13,Paramètres!$A$1:$I$89,5,0)</f>
        <v>4.3461310902855157</v>
      </c>
      <c r="CV10" s="14">
        <f t="shared" si="41"/>
        <v>1.6880282793406653</v>
      </c>
      <c r="CW10" s="22">
        <f t="shared" si="13"/>
        <v>10.509494235432264</v>
      </c>
      <c r="CX10" s="62">
        <f t="shared" si="14"/>
        <v>275.7317164576545</v>
      </c>
      <c r="CY10" s="62">
        <f ca="1">AVERAGE(OFFSET($CX$3,0,0,'Données projet'!$E$13+1,1))-AVERAGE(OFFSET($H$3,0,0,'Données projet'!$E$13+1,1))</f>
        <v>365.492319515595</v>
      </c>
      <c r="CZ10" s="62">
        <f t="shared" si="42"/>
        <v>351.38386928091433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3.887142857142857</v>
      </c>
      <c r="DO10" s="13">
        <f>IF('Données projet'!$A$166&gt;35,DO9+DN10-DW9,IF(A10&lt;'Données projet'!$A$166,$DL$205^A10,IF(A10='Données projet'!$A$166,'Données projet'!$B$166,DO9+DN10-DW9)))</f>
        <v>27.209999999999994</v>
      </c>
      <c r="DP10" s="18">
        <f>DO10*VLOOKUP('Données projet'!$B$14,Paramètres!$A$1:$I$89,3,0)*VLOOKUP('Données projet'!$B$14,Paramètres!$A$1:$I$89,5,0)</f>
        <v>22.921703999999995</v>
      </c>
      <c r="DQ10" s="14">
        <f t="shared" si="43"/>
        <v>7.3361166049400817</v>
      </c>
      <c r="DR10" s="22">
        <f t="shared" si="16"/>
        <v>52.699037553603965</v>
      </c>
      <c r="DS10" s="62">
        <f t="shared" si="17"/>
        <v>317.92125977582617</v>
      </c>
      <c r="DT10" s="62">
        <f ca="1">AVERAGE(OFFSET($DS$3,0,0,'Données projet'!$E$14+1,1))-AVERAGE(OFFSET($H$3,0,0,'Données projet'!$E$14+1,1))</f>
        <v>544.89250424794909</v>
      </c>
      <c r="DU10" s="62">
        <f t="shared" si="44"/>
        <v>253.98688498110715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3.887142857142857</v>
      </c>
      <c r="EJ10" s="13">
        <f>IF('Données projet'!$A$192&gt;35,EJ9+EI10-ER9,IF(A10&lt;'Données projet'!$A$192,$EG$205^A10,IF(A10='Données projet'!$A$192,'Données projet'!$B$192,EJ9+EI10-ER9)))</f>
        <v>27.209999999999994</v>
      </c>
      <c r="EK10" s="18">
        <f>EJ10*VLOOKUP('Données projet'!$B$15,Paramètres!$A$1:$I$89,3,0)*VLOOKUP('Données projet'!$B$15,Paramètres!$A$1:$I$89,5,0)</f>
        <v>24.619607999999992</v>
      </c>
      <c r="EL10" s="14">
        <f t="shared" si="45"/>
        <v>7.8142639118614152</v>
      </c>
      <c r="EM10" s="22">
        <f t="shared" si="19"/>
        <v>56.488993579825284</v>
      </c>
      <c r="EN10" s="62">
        <f t="shared" si="20"/>
        <v>321.71121580204749</v>
      </c>
      <c r="EO10" s="62">
        <f ca="1">AVERAGE(OFFSET($EN$3,0,0,'Données projet'!$E$15+1,1))-AVERAGE(OFFSET($H$3,0,0,'Données projet'!$E$15+1,1))</f>
        <v>581.88778927327667</v>
      </c>
      <c r="EP10" s="62">
        <f t="shared" si="46"/>
        <v>269.67340993773422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3.887142857142857</v>
      </c>
      <c r="FE10" s="13">
        <f>IF('Données projet'!$A$218&gt;35,FE9+FD10-FM9,IF(A10&lt;'Données projet'!$A$218,$FB$205^A10,IF(A10='Données projet'!$A$218,'Données projet'!$B$218,FE9+FD10-FM9)))</f>
        <v>27.209999999999994</v>
      </c>
      <c r="FF10" s="18">
        <f>FE10*VLOOKUP('Données projet'!$B$16,Paramètres!$A$1:$I$89,3,0)*VLOOKUP('Données projet'!$B$16,Paramètres!$A$1:$I$89,5,0)</f>
        <v>27.590939999999993</v>
      </c>
      <c r="FG10" s="14">
        <f t="shared" si="47"/>
        <v>8.6419816819814557</v>
      </c>
      <c r="FH10" s="22">
        <f t="shared" si="22"/>
        <v>63.105671929451027</v>
      </c>
      <c r="FI10" s="62">
        <f t="shared" si="23"/>
        <v>328.32789415167326</v>
      </c>
      <c r="FJ10" s="62">
        <f ca="1">AVERAGE(OFFSET($FI$3,0,0,'Données projet'!$E$16+1,1))-AVERAGE(OFFSET($H$3,0,0,'Données projet'!$E$16+1,1))</f>
        <v>646.50767193970182</v>
      </c>
      <c r="FK10" s="62">
        <f t="shared" si="48"/>
        <v>297.06786598620607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3.887142857142857</v>
      </c>
      <c r="FZ10" s="13">
        <f>IF('Données projet'!$A$244&gt;35,FZ9+FY10-GH9,IF(A10&lt;'Données projet'!$A$244,$FW$205^A10,IF(A10='Données projet'!$A$244,'Données projet'!$B$244,FZ9+FY10-GH9)))</f>
        <v>27.209999999999994</v>
      </c>
      <c r="GA10" s="18">
        <f>FZ10*VLOOKUP('Données projet'!$B$17,Paramètres!$A$1:$I$89,3,0)*VLOOKUP('Données projet'!$B$17,Paramètres!$A$1:$I$89,5,0)</f>
        <v>18.252467999999997</v>
      </c>
      <c r="GB10" s="14">
        <f t="shared" si="49"/>
        <v>5.9986818198777838</v>
      </c>
      <c r="GC10" s="22">
        <f t="shared" si="25"/>
        <v>42.237419269620467</v>
      </c>
      <c r="GD10" s="62">
        <f t="shared" si="26"/>
        <v>307.45964149184272</v>
      </c>
      <c r="GE10" s="62">
        <f ca="1">AVERAGE(OFFSET($GD$3,0,0,'Données projet'!$E$17+1,1))-AVERAGE(OFFSET($H$3,0,0,'Données projet'!$E$17+1,1))</f>
        <v>442.85175349826028</v>
      </c>
      <c r="GF10" s="62">
        <f t="shared" si="50"/>
        <v>210.70697808232501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2.9</v>
      </c>
      <c r="GU10" s="13">
        <f>IF('Données projet'!$A$270&gt;35,GU9+GT10-HC9,IF(A10&lt;'Données projet'!$A$270,$GR$205^A10,IF(A10='Données projet'!$A$270,'Données projet'!$B$270,GU9+GT10-HC9)))</f>
        <v>2.8350093286008606</v>
      </c>
      <c r="GV10" s="18">
        <f>GU10*VLOOKUP('Données projet'!$B$18,Paramètres!$A$1:$I$89,3,0)*VLOOKUP('Données projet'!$B$18,Paramètres!$A$1:$I$89,5,0)</f>
        <v>2.6977948770965789</v>
      </c>
      <c r="GW10" s="14">
        <f t="shared" si="51"/>
        <v>1.1076219446307918</v>
      </c>
      <c r="GX10" s="22">
        <f t="shared" si="28"/>
        <v>6.6277676311751712</v>
      </c>
      <c r="GY10" s="62">
        <f t="shared" si="29"/>
        <v>271.8499898533974</v>
      </c>
      <c r="GZ10" s="62">
        <f ca="1">AVERAGE(OFFSET($GY$3,0,0,'Données projet'!$E$18+1,1))-AVERAGE(OFFSET($H$3,0,0,'Données projet'!$E$18+1,1))</f>
        <v>420.2510366318939</v>
      </c>
      <c r="HA10" s="62">
        <f t="shared" si="52"/>
        <v>220.59884411514116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2">
      <c r="A11" s="11">
        <f t="shared" si="31"/>
        <v>8</v>
      </c>
      <c r="B11" s="74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2.9444444444444446</v>
      </c>
      <c r="N11" s="14">
        <f>IF('Données projet'!$A$36&gt;35,N10+M11-V10,IF(A11&lt;'Données projet'!$A$36,$K$205^A11,IF(A11='Données projet'!$A$36,'Données projet'!$B$36,N10+M11-V10)))</f>
        <v>5.8390854514680983</v>
      </c>
      <c r="O11" s="14">
        <f>N11*VLOOKUP('Données projet'!$B$9,Paramètres!$A$1:$I$89,3,0)*VLOOKUP('Données projet'!$B$9,Paramètres!$A$1:$I$89,5,0)</f>
        <v>5.0099353173596288</v>
      </c>
      <c r="P11" s="14">
        <f t="shared" si="33"/>
        <v>1.9139197545041875</v>
      </c>
      <c r="Q11" s="22">
        <f t="shared" si="2"/>
        <v>12.059047583496145</v>
      </c>
      <c r="R11" s="62">
        <f t="shared" si="0"/>
        <v>278.50349202794058</v>
      </c>
      <c r="S11" s="62">
        <f ca="1">AVERAGE(OFFSET($R$3,0,0,'Données projet'!$E$9+1,1))-AVERAGE(OFFSET($H$3,0,0,'Données projet'!$E$9+1,1))</f>
        <v>623.31285537237943</v>
      </c>
      <c r="T11" s="62">
        <f t="shared" si="34"/>
        <v>462.33909258902241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1.1000000000000001</v>
      </c>
      <c r="AI11" s="14">
        <f>IF('Données projet'!$A$62&gt;35,AI10+AH11-AQ10,IF(A11&lt;'Données projet'!$A$62,$AF$205^A11,IF(A11='Données projet'!$A$62,'Données projet'!$B$62,AI10+AH11-AQ10)))</f>
        <v>6.8094831275223076</v>
      </c>
      <c r="AJ11" s="14">
        <f>AI11*VLOOKUP('Données projet'!$B$10,Paramètres!$A$1:$I$89,3,0)*VLOOKUP('Données projet'!$B$10,Paramètres!$A$1:$I$89,5,0)</f>
        <v>5.9487644602034884</v>
      </c>
      <c r="AK11" s="14">
        <f t="shared" si="35"/>
        <v>2.2275915506478068</v>
      </c>
      <c r="AL11" s="22">
        <f t="shared" si="4"/>
        <v>14.240486718899339</v>
      </c>
      <c r="AM11" s="62">
        <f t="shared" si="5"/>
        <v>280.68493116334378</v>
      </c>
      <c r="AN11" s="62">
        <f ca="1">AVERAGE(OFFSET($AM$3,0,0,'Données projet'!$E$10+1,1))-AVERAGE(OFFSET($H$3,0,0,'Données projet'!$E$10+1,1))</f>
        <v>390.70479111593545</v>
      </c>
      <c r="AO11" s="62">
        <f t="shared" si="36"/>
        <v>374.99493809709708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1.1000000000000001</v>
      </c>
      <c r="BD11" s="13">
        <f>IF('Données projet'!$A$88&gt;35,BD10+BC11-BL10,IF(A11&lt;'Données projet'!$A$88,$BA$205^A11,IF(A11='Données projet'!$A$88,'Données projet'!$B$88,BD10+BC11-BL10)))</f>
        <v>6.8094831275223076</v>
      </c>
      <c r="BE11" s="14">
        <f>BD11*VLOOKUP('Données projet'!$B$11,Paramètres!$A$1:$I$89,3,0)*VLOOKUP('Données projet'!$B$11,Paramètres!$A$1:$I$89,5,0)</f>
        <v>5.4176247762567487</v>
      </c>
      <c r="BF11" s="14">
        <f t="shared" si="37"/>
        <v>2.0509054013412618</v>
      </c>
      <c r="BG11" s="22">
        <f t="shared" si="7"/>
        <v>13.007690059316532</v>
      </c>
      <c r="BH11" s="62">
        <f t="shared" si="8"/>
        <v>279.45213450376099</v>
      </c>
      <c r="BI11" s="62">
        <f ca="1">AVERAGE(OFFSET($BH$3,0,0,'Données projet'!$E$11+1,1))-AVERAGE(OFFSET($H$3,0,0,'Données projet'!$E$11+1,1))</f>
        <v>359.18294335011535</v>
      </c>
      <c r="BJ11" s="62">
        <f t="shared" si="38"/>
        <v>345.47508134331241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1.1000000000000001</v>
      </c>
      <c r="BY11" s="13">
        <f>IF('Données projet'!$A$114&gt;35,BY10+BX11-CG10,IF(A11&lt;'Données projet'!$A$114,$BV$205^A11,IF(A11='Données projet'!$A$114,'Données projet'!$B$114,BY10+BX11-CG10)))</f>
        <v>6.8094831275223076</v>
      </c>
      <c r="BZ11" s="14">
        <f>BY11*VLOOKUP('Données projet'!$B$12,Paramètres!$A$1:$I$89,3,0)*VLOOKUP('Données projet'!$B$12,Paramètres!$A$1:$I$89,5,0)</f>
        <v>4.9927130290993551</v>
      </c>
      <c r="CA11" s="14">
        <f t="shared" si="39"/>
        <v>1.9081050833380053</v>
      </c>
      <c r="CB11" s="22">
        <f t="shared" si="10"/>
        <v>12.018924879161736</v>
      </c>
      <c r="CC11" s="62">
        <f t="shared" si="11"/>
        <v>278.46336932360617</v>
      </c>
      <c r="CD11" s="62">
        <f ca="1">AVERAGE(OFFSET($CC$3,0,0,'Données projet'!$E$12+1,1))-AVERAGE(OFFSET($H$3,0,0,'Données projet'!$E$12+1,1))</f>
        <v>333.9187211440219</v>
      </c>
      <c r="CE11" s="62">
        <f t="shared" si="40"/>
        <v>321.81422611044997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1.1000000000000001</v>
      </c>
      <c r="CT11" s="13">
        <f>IF('Données projet'!$A$140&gt;35,CT10+CS11-DB10,IF(A11&lt;'Données projet'!$A$140,$CQ$205^A11,IF(A11='Données projet'!$A$140,'Données projet'!$B$140,CT10+CS11-DB10)))</f>
        <v>6.8094831275223076</v>
      </c>
      <c r="CU11" s="18">
        <f>CT11*VLOOKUP('Données projet'!$B$13,Paramètres!$A$1:$I$89,3,0)*VLOOKUP('Données projet'!$B$13,Paramètres!$A$1:$I$89,5,0)</f>
        <v>5.5238527130460966</v>
      </c>
      <c r="CV11" s="14">
        <f t="shared" si="41"/>
        <v>2.0863980862538192</v>
      </c>
      <c r="CW11" s="22">
        <f t="shared" si="13"/>
        <v>13.25452014211402</v>
      </c>
      <c r="CX11" s="62">
        <f t="shared" si="14"/>
        <v>279.69896458655847</v>
      </c>
      <c r="CY11" s="62">
        <f ca="1">AVERAGE(OFFSET($CX$3,0,0,'Données projet'!$E$13+1,1))-AVERAGE(OFFSET($H$3,0,0,'Données projet'!$E$13+1,1))</f>
        <v>365.492319515595</v>
      </c>
      <c r="CZ11" s="62">
        <f t="shared" si="42"/>
        <v>351.38386928091433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3.887142857142857</v>
      </c>
      <c r="DO11" s="13">
        <f>IF('Données projet'!$A$166&gt;35,DO10+DN11-DW10,IF(A11&lt;'Données projet'!$A$166,$DL$205^A11,IF(A11='Données projet'!$A$166,'Données projet'!$B$166,DO10+DN11-DW10)))</f>
        <v>31.097142857142849</v>
      </c>
      <c r="DP11" s="18">
        <f>DO11*VLOOKUP('Données projet'!$B$14,Paramètres!$A$1:$I$89,3,0)*VLOOKUP('Données projet'!$B$14,Paramètres!$A$1:$I$89,5,0)</f>
        <v>26.196233142857135</v>
      </c>
      <c r="DQ11" s="14">
        <f t="shared" si="43"/>
        <v>8.2548257459913721</v>
      </c>
      <c r="DR11" s="22">
        <f t="shared" si="16"/>
        <v>60.002260898077814</v>
      </c>
      <c r="DS11" s="62">
        <f t="shared" si="17"/>
        <v>326.44670534252225</v>
      </c>
      <c r="DT11" s="62">
        <f ca="1">AVERAGE(OFFSET($DS$3,0,0,'Données projet'!$E$14+1,1))-AVERAGE(OFFSET($H$3,0,0,'Données projet'!$E$14+1,1))</f>
        <v>544.89250424794909</v>
      </c>
      <c r="DU11" s="62">
        <f t="shared" si="44"/>
        <v>253.98688498110715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3.887142857142857</v>
      </c>
      <c r="EJ11" s="13">
        <f>IF('Données projet'!$A$192&gt;35,EJ10+EI11-ER10,IF(A11&lt;'Données projet'!$A$192,$EG$205^A11,IF(A11='Données projet'!$A$192,'Données projet'!$B$192,EJ10+EI11-ER10)))</f>
        <v>31.097142857142849</v>
      </c>
      <c r="EK11" s="18">
        <f>EJ11*VLOOKUP('Données projet'!$B$15,Paramètres!$A$1:$I$89,3,0)*VLOOKUP('Données projet'!$B$15,Paramètres!$A$1:$I$89,5,0)</f>
        <v>28.136694857142849</v>
      </c>
      <c r="EL11" s="14">
        <f t="shared" si="45"/>
        <v>8.792851913254415</v>
      </c>
      <c r="EM11" s="22">
        <f t="shared" si="19"/>
        <v>64.318960625108559</v>
      </c>
      <c r="EN11" s="62">
        <f t="shared" si="20"/>
        <v>330.76340506955302</v>
      </c>
      <c r="EO11" s="62">
        <f ca="1">AVERAGE(OFFSET($EN$3,0,0,'Données projet'!$E$15+1,1))-AVERAGE(OFFSET($H$3,0,0,'Données projet'!$E$15+1,1))</f>
        <v>581.88778927327667</v>
      </c>
      <c r="EP11" s="62">
        <f t="shared" si="46"/>
        <v>269.67340993773422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3.887142857142857</v>
      </c>
      <c r="FE11" s="13">
        <f>IF('Données projet'!$A$218&gt;35,FE10+FD11-FM10,IF(A11&lt;'Données projet'!$A$218,$FB$205^A11,IF(A11='Données projet'!$A$218,'Données projet'!$B$218,FE10+FD11-FM10)))</f>
        <v>31.097142857142849</v>
      </c>
      <c r="FF11" s="18">
        <f>FE11*VLOOKUP('Données projet'!$B$16,Paramètres!$A$1:$I$89,3,0)*VLOOKUP('Données projet'!$B$16,Paramètres!$A$1:$I$89,5,0)</f>
        <v>31.532502857142852</v>
      </c>
      <c r="FG11" s="14">
        <f t="shared" si="47"/>
        <v>9.7242255986999844</v>
      </c>
      <c r="FH11" s="22">
        <f t="shared" si="22"/>
        <v>71.855468727259591</v>
      </c>
      <c r="FI11" s="62">
        <f t="shared" si="23"/>
        <v>338.29991317170402</v>
      </c>
      <c r="FJ11" s="62">
        <f ca="1">AVERAGE(OFFSET($FI$3,0,0,'Données projet'!$E$16+1,1))-AVERAGE(OFFSET($H$3,0,0,'Données projet'!$E$16+1,1))</f>
        <v>646.50767193970182</v>
      </c>
      <c r="FK11" s="62">
        <f t="shared" si="48"/>
        <v>297.06786598620607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3.887142857142857</v>
      </c>
      <c r="FZ11" s="13">
        <f>IF('Données projet'!$A$244&gt;35,FZ10+FY11-GH10,IF(A11&lt;'Données projet'!$A$244,$FW$205^A11,IF(A11='Données projet'!$A$244,'Données projet'!$B$244,FZ10+FY11-GH10)))</f>
        <v>31.097142857142849</v>
      </c>
      <c r="GA11" s="18">
        <f>FZ11*VLOOKUP('Données projet'!$B$17,Paramètres!$A$1:$I$89,3,0)*VLOOKUP('Données projet'!$B$17,Paramètres!$A$1:$I$89,5,0)</f>
        <v>20.859963428571422</v>
      </c>
      <c r="GB11" s="14">
        <f t="shared" si="49"/>
        <v>6.7499026794901864</v>
      </c>
      <c r="GC11" s="22">
        <f t="shared" si="25"/>
        <v>48.087183471540634</v>
      </c>
      <c r="GD11" s="62">
        <f t="shared" si="26"/>
        <v>314.5316279159851</v>
      </c>
      <c r="GE11" s="62">
        <f ca="1">AVERAGE(OFFSET($GD$3,0,0,'Données projet'!$E$17+1,1))-AVERAGE(OFFSET($H$3,0,0,'Données projet'!$E$17+1,1))</f>
        <v>442.85175349826028</v>
      </c>
      <c r="GF11" s="62">
        <f t="shared" si="50"/>
        <v>210.70697808232501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2.9</v>
      </c>
      <c r="GU11" s="13">
        <f>IF('Données projet'!$A$270&gt;35,GU10+GT11-HC10,IF(A11&lt;'Données projet'!$A$270,$GR$205^A11,IF(A11='Données projet'!$A$270,'Données projet'!$B$270,GU10+GT11-HC10)))</f>
        <v>3.2900699687263724</v>
      </c>
      <c r="GV11" s="18">
        <f>GU11*VLOOKUP('Données projet'!$B$18,Paramètres!$A$1:$I$89,3,0)*VLOOKUP('Données projet'!$B$18,Paramètres!$A$1:$I$89,5,0)</f>
        <v>3.1308305822400162</v>
      </c>
      <c r="GW11" s="14">
        <f t="shared" si="51"/>
        <v>1.2633301433234583</v>
      </c>
      <c r="GX11" s="22">
        <f t="shared" si="28"/>
        <v>7.6531632636897173</v>
      </c>
      <c r="GY11" s="62">
        <f t="shared" si="29"/>
        <v>274.09760770813415</v>
      </c>
      <c r="GZ11" s="62">
        <f ca="1">AVERAGE(OFFSET($GY$3,0,0,'Données projet'!$E$18+1,1))-AVERAGE(OFFSET($H$3,0,0,'Données projet'!$E$18+1,1))</f>
        <v>420.2510366318939</v>
      </c>
      <c r="HA11" s="62">
        <f t="shared" si="52"/>
        <v>220.59884411514116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2">
      <c r="A12" s="11">
        <f t="shared" si="31"/>
        <v>9</v>
      </c>
      <c r="B12" s="74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2.9444444444444446</v>
      </c>
      <c r="N12" s="14">
        <f>IF('Données projet'!$A$36&gt;35,N11+M12-V11,IF(A12&lt;'Données projet'!$A$36,$K$205^A12,IF(A12='Données projet'!$A$36,'Données projet'!$B$36,N11+M12-V11)))</f>
        <v>7.2801098892805198</v>
      </c>
      <c r="O12" s="14">
        <f>N12*VLOOKUP('Données projet'!$B$9,Paramètres!$A$1:$I$89,3,0)*VLOOKUP('Données projet'!$B$9,Paramètres!$A$1:$I$89,5,0)</f>
        <v>6.2463342850026864</v>
      </c>
      <c r="P12" s="14">
        <f t="shared" si="33"/>
        <v>2.3257686468678105</v>
      </c>
      <c r="Q12" s="22">
        <f t="shared" si="2"/>
        <v>14.929745939674447</v>
      </c>
      <c r="R12" s="62">
        <f t="shared" si="0"/>
        <v>282.59641260634112</v>
      </c>
      <c r="S12" s="62">
        <f ca="1">AVERAGE(OFFSET($R$3,0,0,'Données projet'!$E$9+1,1))-AVERAGE(OFFSET($H$3,0,0,'Données projet'!$E$9+1,1))</f>
        <v>623.31285537237943</v>
      </c>
      <c r="T12" s="62">
        <f t="shared" si="34"/>
        <v>462.33909258902241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1.1000000000000001</v>
      </c>
      <c r="AI12" s="14">
        <f>IF('Données projet'!$A$62&gt;35,AI11+AH12-AQ11,IF(A12&lt;'Données projet'!$A$62,$AF$205^A12,IF(A12='Données projet'!$A$62,'Données projet'!$B$62,AI11+AH12-AQ11)))</f>
        <v>8.6547278641645029</v>
      </c>
      <c r="AJ12" s="14">
        <f>AI12*VLOOKUP('Données projet'!$B$10,Paramètres!$A$1:$I$89,3,0)*VLOOKUP('Données projet'!$B$10,Paramètres!$A$1:$I$89,5,0)</f>
        <v>7.5607702621341106</v>
      </c>
      <c r="AK12" s="14">
        <f t="shared" si="35"/>
        <v>2.7532967338924581</v>
      </c>
      <c r="AL12" s="22">
        <f t="shared" si="4"/>
        <v>17.963666684746272</v>
      </c>
      <c r="AM12" s="62">
        <f t="shared" si="5"/>
        <v>285.63033335141296</v>
      </c>
      <c r="AN12" s="62">
        <f ca="1">AVERAGE(OFFSET($AM$3,0,0,'Données projet'!$E$10+1,1))-AVERAGE(OFFSET($H$3,0,0,'Données projet'!$E$10+1,1))</f>
        <v>390.70479111593545</v>
      </c>
      <c r="AO12" s="62">
        <f t="shared" si="36"/>
        <v>374.99493809709708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1.1000000000000001</v>
      </c>
      <c r="BD12" s="13">
        <f>IF('Données projet'!$A$88&gt;35,BD11+BC12-BL11,IF(A12&lt;'Données projet'!$A$88,$BA$205^A12,IF(A12='Données projet'!$A$88,'Données projet'!$B$88,BD11+BC12-BL11)))</f>
        <v>8.6547278641645029</v>
      </c>
      <c r="BE12" s="14">
        <f>BD12*VLOOKUP('Données projet'!$B$11,Paramètres!$A$1:$I$89,3,0)*VLOOKUP('Données projet'!$B$11,Paramètres!$A$1:$I$89,5,0)</f>
        <v>6.8857014887292793</v>
      </c>
      <c r="BF12" s="14">
        <f t="shared" si="37"/>
        <v>2.5349131627802968</v>
      </c>
      <c r="BG12" s="22">
        <f t="shared" si="7"/>
        <v>16.407570518045844</v>
      </c>
      <c r="BH12" s="62">
        <f t="shared" si="8"/>
        <v>284.0742371847125</v>
      </c>
      <c r="BI12" s="62">
        <f ca="1">AVERAGE(OFFSET($BH$3,0,0,'Données projet'!$E$11+1,1))-AVERAGE(OFFSET($H$3,0,0,'Données projet'!$E$11+1,1))</f>
        <v>359.18294335011535</v>
      </c>
      <c r="BJ12" s="62">
        <f t="shared" si="38"/>
        <v>345.47508134331241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1.1000000000000001</v>
      </c>
      <c r="BY12" s="13">
        <f>IF('Données projet'!$A$114&gt;35,BY11+BX12-CG11,IF(A12&lt;'Données projet'!$A$114,$BV$205^A12,IF(A12='Données projet'!$A$114,'Données projet'!$B$114,BY11+BX12-CG11)))</f>
        <v>8.6547278641645029</v>
      </c>
      <c r="BZ12" s="14">
        <f>BY12*VLOOKUP('Données projet'!$B$12,Paramètres!$A$1:$I$89,3,0)*VLOOKUP('Données projet'!$B$12,Paramètres!$A$1:$I$89,5,0)</f>
        <v>6.3456464700054127</v>
      </c>
      <c r="CA12" s="14">
        <f t="shared" si="39"/>
        <v>2.3584123814576028</v>
      </c>
      <c r="CB12" s="22">
        <f t="shared" si="10"/>
        <v>15.159569166298086</v>
      </c>
      <c r="CC12" s="62">
        <f t="shared" si="11"/>
        <v>282.82623583296476</v>
      </c>
      <c r="CD12" s="62">
        <f ca="1">AVERAGE(OFFSET($CC$3,0,0,'Données projet'!$E$12+1,1))-AVERAGE(OFFSET($H$3,0,0,'Données projet'!$E$12+1,1))</f>
        <v>333.9187211440219</v>
      </c>
      <c r="CE12" s="62">
        <f t="shared" si="40"/>
        <v>321.81422611044997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1.1000000000000001</v>
      </c>
      <c r="CT12" s="13">
        <f>IF('Données projet'!$A$140&gt;35,CT11+CS12-DB11,IF(A12&lt;'Données projet'!$A$140,$CQ$205^A12,IF(A12='Données projet'!$A$140,'Données projet'!$B$140,CT11+CS12-DB11)))</f>
        <v>8.6547278641645029</v>
      </c>
      <c r="CU12" s="18">
        <f>CT12*VLOOKUP('Données projet'!$B$13,Paramètres!$A$1:$I$89,3,0)*VLOOKUP('Données projet'!$B$13,Paramètres!$A$1:$I$89,5,0)</f>
        <v>7.0207152434102458</v>
      </c>
      <c r="CV12" s="14">
        <f t="shared" si="41"/>
        <v>2.5787820189978565</v>
      </c>
      <c r="CW12" s="22">
        <f t="shared" si="13"/>
        <v>16.71912439869411</v>
      </c>
      <c r="CX12" s="62">
        <f t="shared" si="14"/>
        <v>284.38579106536082</v>
      </c>
      <c r="CY12" s="62">
        <f ca="1">AVERAGE(OFFSET($CX$3,0,0,'Données projet'!$E$13+1,1))-AVERAGE(OFFSET($H$3,0,0,'Données projet'!$E$13+1,1))</f>
        <v>365.492319515595</v>
      </c>
      <c r="CZ12" s="62">
        <f t="shared" si="42"/>
        <v>351.38386928091433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3.887142857142857</v>
      </c>
      <c r="DO12" s="13">
        <f>IF('Données projet'!$A$166&gt;35,DO11+DN12-DW11,IF(A12&lt;'Données projet'!$A$166,$DL$205^A12,IF(A12='Données projet'!$A$166,'Données projet'!$B$166,DO11+DN12-DW11)))</f>
        <v>34.984285714285704</v>
      </c>
      <c r="DP12" s="18">
        <f>DO12*VLOOKUP('Données projet'!$B$14,Paramètres!$A$1:$I$89,3,0)*VLOOKUP('Données projet'!$B$14,Paramètres!$A$1:$I$89,5,0)</f>
        <v>29.470762285714283</v>
      </c>
      <c r="DQ12" s="14">
        <f t="shared" si="43"/>
        <v>9.1602279023938724</v>
      </c>
      <c r="DR12" s="22">
        <f t="shared" si="16"/>
        <v>67.282307910955041</v>
      </c>
      <c r="DS12" s="62">
        <f t="shared" si="17"/>
        <v>334.9489745776217</v>
      </c>
      <c r="DT12" s="62">
        <f ca="1">AVERAGE(OFFSET($DS$3,0,0,'Données projet'!$E$14+1,1))-AVERAGE(OFFSET($H$3,0,0,'Données projet'!$E$14+1,1))</f>
        <v>544.89250424794909</v>
      </c>
      <c r="DU12" s="62">
        <f t="shared" si="44"/>
        <v>253.98688498110715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3.887142857142857</v>
      </c>
      <c r="EJ12" s="13">
        <f>IF('Données projet'!$A$192&gt;35,EJ11+EI12-ER11,IF(A12&lt;'Données projet'!$A$192,$EG$205^A12,IF(A12='Données projet'!$A$192,'Données projet'!$B$192,EJ11+EI12-ER11)))</f>
        <v>34.984285714285704</v>
      </c>
      <c r="EK12" s="18">
        <f>EJ12*VLOOKUP('Données projet'!$B$15,Paramètres!$A$1:$I$89,3,0)*VLOOKUP('Données projet'!$B$15,Paramètres!$A$1:$I$89,5,0)</f>
        <v>31.653781714285703</v>
      </c>
      <c r="EL12" s="14">
        <f t="shared" si="45"/>
        <v>9.757265618420071</v>
      </c>
      <c r="EM12" s="22">
        <f t="shared" si="19"/>
        <v>72.124240771129223</v>
      </c>
      <c r="EN12" s="62">
        <f t="shared" si="20"/>
        <v>339.79090743779591</v>
      </c>
      <c r="EO12" s="62">
        <f ca="1">AVERAGE(OFFSET($EN$3,0,0,'Données projet'!$E$15+1,1))-AVERAGE(OFFSET($H$3,0,0,'Données projet'!$E$15+1,1))</f>
        <v>581.88778927327667</v>
      </c>
      <c r="EP12" s="62">
        <f t="shared" si="46"/>
        <v>269.67340993773422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3.887142857142857</v>
      </c>
      <c r="FE12" s="13">
        <f>IF('Données projet'!$A$218&gt;35,FE11+FD12-FM11,IF(A12&lt;'Données projet'!$A$218,$FB$205^A12,IF(A12='Données projet'!$A$218,'Données projet'!$B$218,FE11+FD12-FM11)))</f>
        <v>34.984285714285704</v>
      </c>
      <c r="FF12" s="18">
        <f>FE12*VLOOKUP('Données projet'!$B$16,Paramètres!$A$1:$I$89,3,0)*VLOOKUP('Données projet'!$B$16,Paramètres!$A$1:$I$89,5,0)</f>
        <v>35.474065714285707</v>
      </c>
      <c r="FG12" s="14">
        <f t="shared" si="47"/>
        <v>10.790793821618898</v>
      </c>
      <c r="FH12" s="22">
        <f t="shared" si="22"/>
        <v>80.577963691700518</v>
      </c>
      <c r="FI12" s="62">
        <f t="shared" si="23"/>
        <v>348.2446303583672</v>
      </c>
      <c r="FJ12" s="62">
        <f ca="1">AVERAGE(OFFSET($FI$3,0,0,'Données projet'!$E$16+1,1))-AVERAGE(OFFSET($H$3,0,0,'Données projet'!$E$16+1,1))</f>
        <v>646.50767193970182</v>
      </c>
      <c r="FK12" s="62">
        <f t="shared" si="48"/>
        <v>297.06786598620607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3.887142857142857</v>
      </c>
      <c r="FZ12" s="13">
        <f>IF('Données projet'!$A$244&gt;35,FZ11+FY12-GH11,IF(A12&lt;'Données projet'!$A$244,$FW$205^A12,IF(A12='Données projet'!$A$244,'Données projet'!$B$244,FZ11+FY12-GH11)))</f>
        <v>34.984285714285704</v>
      </c>
      <c r="GA12" s="18">
        <f>FZ12*VLOOKUP('Données projet'!$B$17,Paramètres!$A$1:$I$89,3,0)*VLOOKUP('Données projet'!$B$17,Paramètres!$A$1:$I$89,5,0)</f>
        <v>23.467458857142852</v>
      </c>
      <c r="GB12" s="14">
        <f t="shared" si="49"/>
        <v>7.4902425279097828</v>
      </c>
      <c r="GC12" s="22">
        <f t="shared" si="25"/>
        <v>53.917996578966665</v>
      </c>
      <c r="GD12" s="62">
        <f t="shared" si="26"/>
        <v>321.58466324563335</v>
      </c>
      <c r="GE12" s="62">
        <f ca="1">AVERAGE(OFFSET($GD$3,0,0,'Données projet'!$E$17+1,1))-AVERAGE(OFFSET($H$3,0,0,'Données projet'!$E$17+1,1))</f>
        <v>442.85175349826028</v>
      </c>
      <c r="GF12" s="62">
        <f t="shared" si="50"/>
        <v>210.70697808232501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2.9</v>
      </c>
      <c r="GU12" s="13">
        <f>IF('Données projet'!$A$270&gt;35,GU11+GT12-HC11,IF(A12&lt;'Données projet'!$A$270,$GR$205^A12,IF(A12='Données projet'!$A$270,'Données projet'!$B$270,GU11+GT12-HC11)))</f>
        <v>3.8181745258867665</v>
      </c>
      <c r="GV12" s="18">
        <f>GU12*VLOOKUP('Données projet'!$B$18,Paramètres!$A$1:$I$89,3,0)*VLOOKUP('Données projet'!$B$18,Paramètres!$A$1:$I$89,5,0)</f>
        <v>3.6333748788338469</v>
      </c>
      <c r="GW12" s="14">
        <f t="shared" si="51"/>
        <v>1.4409276186394731</v>
      </c>
      <c r="GX12" s="22">
        <f t="shared" si="28"/>
        <v>8.8377435164326972</v>
      </c>
      <c r="GY12" s="62">
        <f t="shared" si="29"/>
        <v>276.50441018309937</v>
      </c>
      <c r="GZ12" s="62">
        <f ca="1">AVERAGE(OFFSET($GY$3,0,0,'Données projet'!$E$18+1,1))-AVERAGE(OFFSET($H$3,0,0,'Données projet'!$E$18+1,1))</f>
        <v>420.2510366318939</v>
      </c>
      <c r="HA12" s="62">
        <f t="shared" si="52"/>
        <v>220.59884411514116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2">
      <c r="A13" s="11">
        <f t="shared" si="31"/>
        <v>10</v>
      </c>
      <c r="B13" s="74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2.9444444444444446</v>
      </c>
      <c r="N13" s="14">
        <f>IF('Données projet'!$A$36&gt;35,N12+M13-V12,IF(A13&lt;'Données projet'!$A$36,$K$205^A13,IF(A13='Données projet'!$A$36,'Données projet'!$B$36,N12+M13-V12)))</f>
        <v>9.0767638940228981</v>
      </c>
      <c r="O13" s="14">
        <f>N13*VLOOKUP('Données projet'!$B$9,Paramètres!$A$1:$I$89,3,0)*VLOOKUP('Données projet'!$B$9,Paramètres!$A$1:$I$89,5,0)</f>
        <v>7.7878634210716475</v>
      </c>
      <c r="P13" s="14">
        <f t="shared" si="33"/>
        <v>2.8262416885678747</v>
      </c>
      <c r="Q13" s="22">
        <f t="shared" si="2"/>
        <v>18.486233065955503</v>
      </c>
      <c r="R13" s="62">
        <f t="shared" si="0"/>
        <v>287.37512195484436</v>
      </c>
      <c r="S13" s="62">
        <f ca="1">AVERAGE(OFFSET($R$3,0,0,'Données projet'!$E$9+1,1))-AVERAGE(OFFSET($H$3,0,0,'Données projet'!$E$9+1,1))</f>
        <v>623.31285537237943</v>
      </c>
      <c r="T13" s="62">
        <f t="shared" si="34"/>
        <v>462.33909258902241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11</v>
      </c>
      <c r="AG13" s="13">
        <f>VLOOKUP(A13,'Données projet'!$A$61:$I$81,9,0)</f>
        <v>1.1000000000000001</v>
      </c>
      <c r="AH13" s="13">
        <f t="array" ref="AH13">INDEX(AG:AG,MIN(IF(ISNUMBER(AG13:AG209),ROW(AG13:AG209),"")))</f>
        <v>1.1000000000000001</v>
      </c>
      <c r="AI13" s="14">
        <f>IF('Données projet'!$A$62&gt;35,AI12+AH13-AQ12,IF(A13&lt;'Données projet'!$A$62,$AF$205^A13,IF(A13='Données projet'!$A$62,'Données projet'!$B$62,AI12+AH13-AQ12)))</f>
        <v>11</v>
      </c>
      <c r="AJ13" s="14">
        <f>AI13*VLOOKUP('Données projet'!$B$10,Paramètres!$A$1:$I$89,3,0)*VLOOKUP('Données projet'!$B$10,Paramètres!$A$1:$I$89,5,0)</f>
        <v>9.6096000000000004</v>
      </c>
      <c r="AK13" s="14">
        <f t="shared" si="35"/>
        <v>3.4030668246422207</v>
      </c>
      <c r="AL13" s="22">
        <f t="shared" si="4"/>
        <v>22.663728052918533</v>
      </c>
      <c r="AM13" s="62">
        <f t="shared" si="5"/>
        <v>291.5526169418074</v>
      </c>
      <c r="AN13" s="62">
        <f ca="1">AVERAGE(OFFSET($AM$3,0,0,'Données projet'!$E$10+1,1))-AVERAGE(OFFSET($H$3,0,0,'Données projet'!$E$10+1,1))</f>
        <v>390.70479111593545</v>
      </c>
      <c r="AO13" s="62">
        <f t="shared" si="36"/>
        <v>374.99493809709708</v>
      </c>
      <c r="AP13" s="16">
        <f>IF(ISNA(VLOOKUP(A13,'Données projet'!$A$61:$I$81,3,0)),0,VLOOKUP(A13,'Données projet'!$A$61:$I$81,3,0))</f>
        <v>1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>
        <f>VLOOKUP(A13,'Données projet'!$A$87:$I$107,2,0)</f>
        <v>11</v>
      </c>
      <c r="BB13" s="13">
        <f>VLOOKUP(A13,'Données projet'!$A$87:$I$107,9,0)</f>
        <v>1.1000000000000001</v>
      </c>
      <c r="BC13" s="13">
        <f t="array" ref="BC13">INDEX(BB:BB,MIN(IF(ISNUMBER(BB13:BB209),ROW(BB13:BB209),"")))</f>
        <v>1.1000000000000001</v>
      </c>
      <c r="BD13" s="13">
        <f>IF('Données projet'!$A$88&gt;35,BD12+BC13-BL12,IF(A13&lt;'Données projet'!$A$88,$BA$205^A13,IF(A13='Données projet'!$A$88,'Données projet'!$B$88,BD12+BC13-BL12)))</f>
        <v>11</v>
      </c>
      <c r="BE13" s="14">
        <f>BD13*VLOOKUP('Données projet'!$B$11,Paramètres!$A$1:$I$89,3,0)*VLOOKUP('Données projet'!$B$11,Paramètres!$A$1:$I$89,5,0)</f>
        <v>8.7516000000000016</v>
      </c>
      <c r="BF13" s="14">
        <f t="shared" si="37"/>
        <v>3.1331453604025001</v>
      </c>
      <c r="BG13" s="22">
        <f t="shared" si="7"/>
        <v>20.699264836034356</v>
      </c>
      <c r="BH13" s="62">
        <f t="shared" si="8"/>
        <v>289.58815372492319</v>
      </c>
      <c r="BI13" s="62">
        <f ca="1">AVERAGE(OFFSET($BH$3,0,0,'Données projet'!$E$11+1,1))-AVERAGE(OFFSET($H$3,0,0,'Données projet'!$E$11+1,1))</f>
        <v>359.18294335011535</v>
      </c>
      <c r="BJ13" s="62">
        <f t="shared" si="38"/>
        <v>345.47508134331241</v>
      </c>
      <c r="BK13" s="16">
        <f>IF(ISNA(VLOOKUP(A13,'Données projet'!$A$87:$I$107,3,0)),0,VLOOKUP(A13,'Données projet'!$A$87:$I$107,3,0))</f>
        <v>1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11</v>
      </c>
      <c r="BW13" s="13">
        <f>VLOOKUP(A13,'Données projet'!$A$113:$I$133,9,0)</f>
        <v>1.1000000000000001</v>
      </c>
      <c r="BX13" s="13">
        <f t="array" ref="BX13">INDEX(BW:BW,MIN(IF(ISNUMBER(BW13:BW209),ROW(BW13:BW209),"")))</f>
        <v>1.1000000000000001</v>
      </c>
      <c r="BY13" s="13">
        <f>IF('Données projet'!$A$114&gt;35,BY12+BX13-CG12,IF(A13&lt;'Données projet'!$A$114,$BV$205^A13,IF(A13='Données projet'!$A$114,'Données projet'!$B$114,BY12+BX13-CG12)))</f>
        <v>11</v>
      </c>
      <c r="BZ13" s="14">
        <f>BY13*VLOOKUP('Données projet'!$B$12,Paramètres!$A$1:$I$89,3,0)*VLOOKUP('Données projet'!$B$12,Paramètres!$A$1:$I$89,5,0)</f>
        <v>8.0652000000000008</v>
      </c>
      <c r="CA13" s="14">
        <f t="shared" si="39"/>
        <v>2.9149909035839161</v>
      </c>
      <c r="CB13" s="22">
        <f t="shared" si="10"/>
        <v>19.123832490408656</v>
      </c>
      <c r="CC13" s="62">
        <f t="shared" si="11"/>
        <v>288.01272137929749</v>
      </c>
      <c r="CD13" s="62">
        <f ca="1">AVERAGE(OFFSET($CC$3,0,0,'Données projet'!$E$12+1,1))-AVERAGE(OFFSET($H$3,0,0,'Données projet'!$E$12+1,1))</f>
        <v>333.9187211440219</v>
      </c>
      <c r="CE13" s="62">
        <f t="shared" si="40"/>
        <v>321.81422611044997</v>
      </c>
      <c r="CF13" s="16">
        <f>IF(ISNA(VLOOKUP(A13,'Données projet'!$A$113:$I$133,3,0)),0,VLOOKUP(A13,'Données projet'!$A$113:$I$133,3,0))</f>
        <v>1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11</v>
      </c>
      <c r="CR13" s="13">
        <f>VLOOKUP(A13,'Données projet'!$A$139:$I$159,9,0)</f>
        <v>1.1000000000000001</v>
      </c>
      <c r="CS13" s="13">
        <f t="array" ref="CS13">INDEX(CR:CR,MIN(IF(ISNUMBER(CR13:CR209),ROW(CR13:CR209),"")))</f>
        <v>1.1000000000000001</v>
      </c>
      <c r="CT13" s="13">
        <f>IF('Données projet'!$A$140&gt;35,CT12+CS13-DB12,IF(A13&lt;'Données projet'!$A$140,$CQ$205^A13,IF(A13='Données projet'!$A$140,'Données projet'!$B$140,CT12+CS13-DB12)))</f>
        <v>11</v>
      </c>
      <c r="CU13" s="18">
        <f>CT13*VLOOKUP('Données projet'!$B$13,Paramètres!$A$1:$I$89,3,0)*VLOOKUP('Données projet'!$B$13,Paramètres!$A$1:$I$89,5,0)</f>
        <v>8.9232000000000014</v>
      </c>
      <c r="CV13" s="14">
        <f t="shared" si="41"/>
        <v>3.187367140202428</v>
      </c>
      <c r="CW13" s="22">
        <f t="shared" si="13"/>
        <v>21.092571102519226</v>
      </c>
      <c r="CX13" s="62">
        <f t="shared" si="14"/>
        <v>289.98145999140809</v>
      </c>
      <c r="CY13" s="62">
        <f ca="1">AVERAGE(OFFSET($CX$3,0,0,'Données projet'!$E$13+1,1))-AVERAGE(OFFSET($H$3,0,0,'Données projet'!$E$13+1,1))</f>
        <v>365.492319515595</v>
      </c>
      <c r="CZ13" s="62">
        <f t="shared" si="42"/>
        <v>351.38386928091433</v>
      </c>
      <c r="DA13" s="16">
        <f>IF(ISNA(VLOOKUP(A13,'Données projet'!$A$139:$I$159,3,0)),0,VLOOKUP(A13,'Données projet'!$A$139:$I$159,3,0))</f>
        <v>1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3.887142857142857</v>
      </c>
      <c r="DO13" s="13">
        <f>IF('Données projet'!$A$166&gt;35,DO12+DN13-DW12,IF(A13&lt;'Données projet'!$A$166,$DL$205^A13,IF(A13='Données projet'!$A$166,'Données projet'!$B$166,DO12+DN13-DW12)))</f>
        <v>38.871428571428559</v>
      </c>
      <c r="DP13" s="18">
        <f>DO13*VLOOKUP('Données projet'!$B$14,Paramètres!$A$1:$I$89,3,0)*VLOOKUP('Données projet'!$B$14,Paramètres!$A$1:$I$89,5,0)</f>
        <v>32.74529142857142</v>
      </c>
      <c r="DQ13" s="14">
        <f t="shared" si="43"/>
        <v>10.053970289623409</v>
      </c>
      <c r="DR13" s="22">
        <f t="shared" si="16"/>
        <v>74.542047492522656</v>
      </c>
      <c r="DS13" s="62">
        <f t="shared" si="17"/>
        <v>343.43093638141153</v>
      </c>
      <c r="DT13" s="62">
        <f ca="1">AVERAGE(OFFSET($DS$3,0,0,'Données projet'!$E$14+1,1))-AVERAGE(OFFSET($H$3,0,0,'Données projet'!$E$14+1,1))</f>
        <v>544.89250424794909</v>
      </c>
      <c r="DU13" s="62">
        <f t="shared" si="44"/>
        <v>253.98688498110715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3.887142857142857</v>
      </c>
      <c r="EJ13" s="13">
        <f>IF('Données projet'!$A$192&gt;35,EJ12+EI13-ER12,IF(A13&lt;'Données projet'!$A$192,$EG$205^A13,IF(A13='Données projet'!$A$192,'Données projet'!$B$192,EJ12+EI13-ER12)))</f>
        <v>38.871428571428559</v>
      </c>
      <c r="EK13" s="18">
        <f>EJ13*VLOOKUP('Données projet'!$B$15,Paramètres!$A$1:$I$89,3,0)*VLOOKUP('Données projet'!$B$15,Paramètres!$A$1:$I$89,5,0)</f>
        <v>35.170868571428556</v>
      </c>
      <c r="EL13" s="14">
        <f t="shared" si="45"/>
        <v>10.709259603674569</v>
      </c>
      <c r="EM13" s="22">
        <f t="shared" si="19"/>
        <v>79.90788990497127</v>
      </c>
      <c r="EN13" s="62">
        <f t="shared" si="20"/>
        <v>348.79677879386014</v>
      </c>
      <c r="EO13" s="62">
        <f ca="1">AVERAGE(OFFSET($EN$3,0,0,'Données projet'!$E$15+1,1))-AVERAGE(OFFSET($H$3,0,0,'Données projet'!$E$15+1,1))</f>
        <v>581.88778927327667</v>
      </c>
      <c r="EP13" s="62">
        <f t="shared" si="46"/>
        <v>269.67340993773422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3.887142857142857</v>
      </c>
      <c r="FE13" s="13">
        <f>IF('Données projet'!$A$218&gt;35,FE12+FD13-FM12,IF(A13&lt;'Données projet'!$A$218,$FB$205^A13,IF(A13='Données projet'!$A$218,'Données projet'!$B$218,FE12+FD13-FM12)))</f>
        <v>38.871428571428559</v>
      </c>
      <c r="FF13" s="18">
        <f>FE13*VLOOKUP('Données projet'!$B$16,Paramètres!$A$1:$I$89,3,0)*VLOOKUP('Données projet'!$B$16,Paramètres!$A$1:$I$89,5,0)</f>
        <v>39.415628571428563</v>
      </c>
      <c r="FG13" s="14">
        <f t="shared" si="47"/>
        <v>11.843626778724154</v>
      </c>
      <c r="FH13" s="22">
        <f t="shared" si="22"/>
        <v>89.276536401515969</v>
      </c>
      <c r="FI13" s="62">
        <f t="shared" si="23"/>
        <v>358.16542529040481</v>
      </c>
      <c r="FJ13" s="62">
        <f ca="1">AVERAGE(OFFSET($FI$3,0,0,'Données projet'!$E$16+1,1))-AVERAGE(OFFSET($H$3,0,0,'Données projet'!$E$16+1,1))</f>
        <v>646.50767193970182</v>
      </c>
      <c r="FK13" s="62">
        <f t="shared" si="48"/>
        <v>297.06786598620607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3.887142857142857</v>
      </c>
      <c r="FZ13" s="13">
        <f>IF('Données projet'!$A$244&gt;35,FZ12+FY13-GH12,IF(A13&lt;'Données projet'!$A$244,$FW$205^A13,IF(A13='Données projet'!$A$244,'Données projet'!$B$244,FZ12+FY13-GH12)))</f>
        <v>38.871428571428559</v>
      </c>
      <c r="GA13" s="18">
        <f>FZ13*VLOOKUP('Données projet'!$B$17,Paramètres!$A$1:$I$89,3,0)*VLOOKUP('Données projet'!$B$17,Paramètres!$A$1:$I$89,5,0)</f>
        <v>26.074954285714277</v>
      </c>
      <c r="GB13" s="14">
        <f t="shared" si="49"/>
        <v>8.221048279595589</v>
      </c>
      <c r="GC13" s="22">
        <f t="shared" si="25"/>
        <v>59.732204467914677</v>
      </c>
      <c r="GD13" s="62">
        <f t="shared" si="26"/>
        <v>328.62109335680356</v>
      </c>
      <c r="GE13" s="62">
        <f ca="1">AVERAGE(OFFSET($GD$3,0,0,'Données projet'!$E$17+1,1))-AVERAGE(OFFSET($H$3,0,0,'Données projet'!$E$17+1,1))</f>
        <v>442.85175349826028</v>
      </c>
      <c r="GF13" s="62">
        <f t="shared" si="50"/>
        <v>210.70697808232501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2.9</v>
      </c>
      <c r="GU13" s="13">
        <f>IF('Données projet'!$A$270&gt;35,GU12+GT13-HC12,IF(A13&lt;'Données projet'!$A$270,$GR$205^A13,IF(A13='Données projet'!$A$270,'Données projet'!$B$270,GU12+GT13-HC12)))</f>
        <v>4.4310476216936321</v>
      </c>
      <c r="GV13" s="18">
        <f>GU13*VLOOKUP('Données projet'!$B$18,Paramètres!$A$1:$I$89,3,0)*VLOOKUP('Données projet'!$B$18,Paramètres!$A$1:$I$89,5,0)</f>
        <v>4.2165849168036607</v>
      </c>
      <c r="GW13" s="14">
        <f t="shared" si="51"/>
        <v>1.6434915395083884</v>
      </c>
      <c r="GX13" s="22">
        <f t="shared" si="28"/>
        <v>10.206299828076817</v>
      </c>
      <c r="GY13" s="62">
        <f t="shared" si="29"/>
        <v>279.09518871696565</v>
      </c>
      <c r="GZ13" s="62">
        <f ca="1">AVERAGE(OFFSET($GY$3,0,0,'Données projet'!$E$18+1,1))-AVERAGE(OFFSET($H$3,0,0,'Données projet'!$E$18+1,1))</f>
        <v>420.2510366318939</v>
      </c>
      <c r="HA13" s="62">
        <f t="shared" si="52"/>
        <v>220.59884411514116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2">
      <c r="A14" s="11">
        <f t="shared" si="31"/>
        <v>11</v>
      </c>
      <c r="B14" s="74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2.9444444444444446</v>
      </c>
      <c r="N14" s="14">
        <f>IF('Données projet'!$A$36&gt;35,N13+M14-V13,IF(A14&lt;'Données projet'!$A$36,$K$205^A14,IF(A14='Données projet'!$A$36,'Données projet'!$B$36,N13+M14-V13)))</f>
        <v>11.316813075740528</v>
      </c>
      <c r="O14" s="14">
        <f>N14*VLOOKUP('Données projet'!$B$9,Paramètres!$A$1:$I$89,3,0)*VLOOKUP('Données projet'!$B$9,Paramètres!$A$1:$I$89,5,0)</f>
        <v>9.7098256189853736</v>
      </c>
      <c r="P14" s="14">
        <f t="shared" si="33"/>
        <v>3.4344095630303602</v>
      </c>
      <c r="Q14" s="22">
        <f t="shared" si="2"/>
        <v>22.892876275344069</v>
      </c>
      <c r="R14" s="62">
        <f t="shared" si="0"/>
        <v>293.00398738645521</v>
      </c>
      <c r="S14" s="62">
        <f ca="1">AVERAGE(OFFSET($R$3,0,0,'Données projet'!$E$9+1,1))-AVERAGE(OFFSET($H$3,0,0,'Données projet'!$E$9+1,1))</f>
        <v>623.31285537237943</v>
      </c>
      <c r="T14" s="62">
        <f t="shared" si="34"/>
        <v>462.33909258902241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10.8</v>
      </c>
      <c r="AI14" s="14">
        <f>IF('Données projet'!$A$62&gt;35,AI13+AH14-AQ13,IF(A14&lt;'Données projet'!$A$62,$AF$205^A14,IF(A14='Données projet'!$A$62,'Données projet'!$B$62,AI13+AH14-AQ13)))</f>
        <v>21.8</v>
      </c>
      <c r="AJ14" s="14">
        <f>AI14*VLOOKUP('Données projet'!$B$10,Paramètres!$A$1:$I$89,3,0)*VLOOKUP('Données projet'!$B$10,Paramètres!$A$1:$I$89,5,0)</f>
        <v>19.044480000000004</v>
      </c>
      <c r="AK14" s="14">
        <f t="shared" si="35"/>
        <v>6.2281069020478963</v>
      </c>
      <c r="AL14" s="22">
        <f t="shared" si="4"/>
        <v>44.016422187733419</v>
      </c>
      <c r="AM14" s="62">
        <f t="shared" si="5"/>
        <v>314.12753329884458</v>
      </c>
      <c r="AN14" s="62">
        <f ca="1">AVERAGE(OFFSET($AM$3,0,0,'Données projet'!$E$10+1,1))-AVERAGE(OFFSET($H$3,0,0,'Données projet'!$E$10+1,1))</f>
        <v>390.70479111593545</v>
      </c>
      <c r="AO14" s="62">
        <f t="shared" si="36"/>
        <v>374.99493809709708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10.8</v>
      </c>
      <c r="BD14" s="13">
        <f>IF('Données projet'!$A$88&gt;35,BD13+BC14-BL13,IF(A14&lt;'Données projet'!$A$88,$BA$205^A14,IF(A14='Données projet'!$A$88,'Données projet'!$B$88,BD13+BC14-BL13)))</f>
        <v>21.8</v>
      </c>
      <c r="BE14" s="14">
        <f>BD14*VLOOKUP('Données projet'!$B$11,Paramètres!$A$1:$I$89,3,0)*VLOOKUP('Données projet'!$B$11,Paramètres!$A$1:$I$89,5,0)</f>
        <v>17.344080000000002</v>
      </c>
      <c r="BF14" s="14">
        <f t="shared" si="37"/>
        <v>5.7341113912136308</v>
      </c>
      <c r="BG14" s="22">
        <f t="shared" si="7"/>
        <v>40.194516673030414</v>
      </c>
      <c r="BH14" s="62">
        <f t="shared" si="8"/>
        <v>310.30562778414156</v>
      </c>
      <c r="BI14" s="62">
        <f ca="1">AVERAGE(OFFSET($BH$3,0,0,'Données projet'!$E$11+1,1))-AVERAGE(OFFSET($H$3,0,0,'Données projet'!$E$11+1,1))</f>
        <v>359.18294335011535</v>
      </c>
      <c r="BJ14" s="62">
        <f t="shared" si="38"/>
        <v>345.47508134331241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10.8</v>
      </c>
      <c r="BY14" s="13">
        <f>IF('Données projet'!$A$114&gt;35,BY13+BX14-CG13,IF(A14&lt;'Données projet'!$A$114,$BV$205^A14,IF(A14='Données projet'!$A$114,'Données projet'!$B$114,BY13+BX14-CG13)))</f>
        <v>21.8</v>
      </c>
      <c r="BZ14" s="14">
        <f>BY14*VLOOKUP('Données projet'!$B$12,Paramètres!$A$1:$I$89,3,0)*VLOOKUP('Données projet'!$B$12,Paramètres!$A$1:$I$89,5,0)</f>
        <v>15.983760000000002</v>
      </c>
      <c r="CA14" s="14">
        <f t="shared" si="39"/>
        <v>5.3348570279475842</v>
      </c>
      <c r="CB14" s="22">
        <f t="shared" si="10"/>
        <v>37.129924657008708</v>
      </c>
      <c r="CC14" s="62">
        <f t="shared" si="11"/>
        <v>307.24103576811984</v>
      </c>
      <c r="CD14" s="62">
        <f ca="1">AVERAGE(OFFSET($CC$3,0,0,'Données projet'!$E$12+1,1))-AVERAGE(OFFSET($H$3,0,0,'Données projet'!$E$12+1,1))</f>
        <v>333.9187211440219</v>
      </c>
      <c r="CE14" s="62">
        <f t="shared" si="40"/>
        <v>321.81422611044997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10.8</v>
      </c>
      <c r="CT14" s="13">
        <f>IF('Données projet'!$A$140&gt;35,CT13+CS14-DB13,IF(A14&lt;'Données projet'!$A$140,$CQ$205^A14,IF(A14='Données projet'!$A$140,'Données projet'!$B$140,CT13+CS14-DB13)))</f>
        <v>21.8</v>
      </c>
      <c r="CU14" s="18">
        <f>CT14*VLOOKUP('Données projet'!$B$13,Paramètres!$A$1:$I$89,3,0)*VLOOKUP('Données projet'!$B$13,Paramètres!$A$1:$I$89,5,0)</f>
        <v>17.684160000000002</v>
      </c>
      <c r="CV14" s="14">
        <f t="shared" si="41"/>
        <v>5.8333451290197509</v>
      </c>
      <c r="CW14" s="22">
        <f t="shared" si="13"/>
        <v>40.959654766376069</v>
      </c>
      <c r="CX14" s="62">
        <f t="shared" si="14"/>
        <v>311.07076587748719</v>
      </c>
      <c r="CY14" s="62">
        <f ca="1">AVERAGE(OFFSET($CX$3,0,0,'Données projet'!$E$13+1,1))-AVERAGE(OFFSET($H$3,0,0,'Données projet'!$E$13+1,1))</f>
        <v>365.492319515595</v>
      </c>
      <c r="CZ14" s="62">
        <f t="shared" si="42"/>
        <v>351.38386928091433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3.887142857142857</v>
      </c>
      <c r="DO14" s="13">
        <f>IF('Données projet'!$A$166&gt;35,DO13+DN14-DW13,IF(A14&lt;'Données projet'!$A$166,$DL$205^A14,IF(A14='Données projet'!$A$166,'Données projet'!$B$166,DO13+DN14-DW13)))</f>
        <v>42.758571428571415</v>
      </c>
      <c r="DP14" s="18">
        <f>DO14*VLOOKUP('Données projet'!$B$14,Paramètres!$A$1:$I$89,3,0)*VLOOKUP('Données projet'!$B$14,Paramètres!$A$1:$I$89,5,0)</f>
        <v>36.019820571428568</v>
      </c>
      <c r="DQ14" s="14">
        <f t="shared" si="43"/>
        <v>10.937351616069227</v>
      </c>
      <c r="DR14" s="22">
        <f t="shared" si="16"/>
        <v>81.783741559891993</v>
      </c>
      <c r="DS14" s="62">
        <f t="shared" si="17"/>
        <v>351.89485267100315</v>
      </c>
      <c r="DT14" s="62">
        <f ca="1">AVERAGE(OFFSET($DS$3,0,0,'Données projet'!$E$14+1,1))-AVERAGE(OFFSET($H$3,0,0,'Données projet'!$E$14+1,1))</f>
        <v>544.89250424794909</v>
      </c>
      <c r="DU14" s="62">
        <f t="shared" si="44"/>
        <v>253.98688498110715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3.887142857142857</v>
      </c>
      <c r="EJ14" s="13">
        <f>IF('Données projet'!$A$192&gt;35,EJ13+EI14-ER13,IF(A14&lt;'Données projet'!$A$192,$EG$205^A14,IF(A14='Données projet'!$A$192,'Données projet'!$B$192,EJ13+EI14-ER13)))</f>
        <v>42.758571428571415</v>
      </c>
      <c r="EK14" s="18">
        <f>EJ14*VLOOKUP('Données projet'!$B$15,Paramètres!$A$1:$I$89,3,0)*VLOOKUP('Données projet'!$B$15,Paramètres!$A$1:$I$89,5,0)</f>
        <v>38.687955428571414</v>
      </c>
      <c r="EL14" s="14">
        <f t="shared" si="45"/>
        <v>11.650217223542473</v>
      </c>
      <c r="EM14" s="22">
        <f t="shared" si="19"/>
        <v>87.672317369098337</v>
      </c>
      <c r="EN14" s="62">
        <f t="shared" si="20"/>
        <v>357.78342848020947</v>
      </c>
      <c r="EO14" s="62">
        <f ca="1">AVERAGE(OFFSET($EN$3,0,0,'Données projet'!$E$15+1,1))-AVERAGE(OFFSET($H$3,0,0,'Données projet'!$E$15+1,1))</f>
        <v>581.88778927327667</v>
      </c>
      <c r="EP14" s="62">
        <f t="shared" si="46"/>
        <v>269.67340993773422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3.887142857142857</v>
      </c>
      <c r="FE14" s="13">
        <f>IF('Données projet'!$A$218&gt;35,FE13+FD14-FM13,IF(A14&lt;'Données projet'!$A$218,$FB$205^A14,IF(A14='Données projet'!$A$218,'Données projet'!$B$218,FE13+FD14-FM13)))</f>
        <v>42.758571428571415</v>
      </c>
      <c r="FF14" s="18">
        <f>FE14*VLOOKUP('Données projet'!$B$16,Paramètres!$A$1:$I$89,3,0)*VLOOKUP('Données projet'!$B$16,Paramètres!$A$1:$I$89,5,0)</f>
        <v>43.357191428571419</v>
      </c>
      <c r="FG14" s="14">
        <f t="shared" si="47"/>
        <v>12.884254354928219</v>
      </c>
      <c r="FH14" s="22">
        <f t="shared" si="22"/>
        <v>97.953851406261848</v>
      </c>
      <c r="FI14" s="62">
        <f t="shared" si="23"/>
        <v>368.06496251737298</v>
      </c>
      <c r="FJ14" s="62">
        <f ca="1">AVERAGE(OFFSET($FI$3,0,0,'Données projet'!$E$16+1,1))-AVERAGE(OFFSET($H$3,0,0,'Données projet'!$E$16+1,1))</f>
        <v>646.50767193970182</v>
      </c>
      <c r="FK14" s="62">
        <f t="shared" si="48"/>
        <v>297.06786598620607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3.887142857142857</v>
      </c>
      <c r="FZ14" s="13">
        <f>IF('Données projet'!$A$244&gt;35,FZ13+FY14-GH13,IF(A14&lt;'Données projet'!$A$244,$FW$205^A14,IF(A14='Données projet'!$A$244,'Données projet'!$B$244,FZ13+FY14-GH13)))</f>
        <v>42.758571428571415</v>
      </c>
      <c r="GA14" s="18">
        <f>FZ14*VLOOKUP('Données projet'!$B$17,Paramètres!$A$1:$I$89,3,0)*VLOOKUP('Données projet'!$B$17,Paramètres!$A$1:$I$89,5,0)</f>
        <v>28.682449714285706</v>
      </c>
      <c r="GB14" s="14">
        <f t="shared" si="49"/>
        <v>8.9433818776468605</v>
      </c>
      <c r="GC14" s="22">
        <f t="shared" si="25"/>
        <v>65.531656689282556</v>
      </c>
      <c r="GD14" s="62">
        <f t="shared" si="26"/>
        <v>335.6427678003937</v>
      </c>
      <c r="GE14" s="62">
        <f ca="1">AVERAGE(OFFSET($GD$3,0,0,'Données projet'!$E$17+1,1))-AVERAGE(OFFSET($H$3,0,0,'Données projet'!$E$17+1,1))</f>
        <v>442.85175349826028</v>
      </c>
      <c r="GF14" s="62">
        <f t="shared" si="50"/>
        <v>210.70697808232501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2.9</v>
      </c>
      <c r="GU14" s="13">
        <f>IF('Données projet'!$A$270&gt;35,GU13+GT14-HC13,IF(A14&lt;'Données projet'!$A$270,$GR$205^A14,IF(A14='Données projet'!$A$270,'Données projet'!$B$270,GU13+GT14-HC13)))</f>
        <v>5.1422958517478392</v>
      </c>
      <c r="GV14" s="18">
        <f>GU14*VLOOKUP('Données projet'!$B$18,Paramètres!$A$1:$I$89,3,0)*VLOOKUP('Données projet'!$B$18,Paramètres!$A$1:$I$89,5,0)</f>
        <v>4.8934087325232438</v>
      </c>
      <c r="GW14" s="14">
        <f t="shared" si="51"/>
        <v>1.8745316596721227</v>
      </c>
      <c r="GX14" s="22">
        <f t="shared" si="28"/>
        <v>11.787496183073594</v>
      </c>
      <c r="GY14" s="62">
        <f t="shared" si="29"/>
        <v>281.89860729418473</v>
      </c>
      <c r="GZ14" s="62">
        <f ca="1">AVERAGE(OFFSET($GY$3,0,0,'Données projet'!$E$18+1,1))-AVERAGE(OFFSET($H$3,0,0,'Données projet'!$E$18+1,1))</f>
        <v>420.2510366318939</v>
      </c>
      <c r="HA14" s="62">
        <f t="shared" si="52"/>
        <v>220.59884411514116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2">
      <c r="A15" s="11">
        <f t="shared" si="31"/>
        <v>12</v>
      </c>
      <c r="B15" s="74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2.9444444444444446</v>
      </c>
      <c r="N15" s="14">
        <f>IF('Données projet'!$A$36&gt;35,N14+M15-V14,IF(A15&lt;'Données projet'!$A$36,$K$205^A15,IF(A15='Données projet'!$A$36,'Données projet'!$B$36,N14+M15-V14)))</f>
        <v>14.109682667364172</v>
      </c>
      <c r="O15" s="14">
        <f>N15*VLOOKUP('Données projet'!$B$9,Paramètres!$A$1:$I$89,3,0)*VLOOKUP('Données projet'!$B$9,Paramètres!$A$1:$I$89,5,0)</f>
        <v>12.106107728598461</v>
      </c>
      <c r="P15" s="14">
        <f t="shared" si="33"/>
        <v>4.1734466993200732</v>
      </c>
      <c r="Q15" s="22">
        <f t="shared" si="2"/>
        <v>28.353557295291441</v>
      </c>
      <c r="R15" s="62">
        <f t="shared" si="0"/>
        <v>299.68689062862478</v>
      </c>
      <c r="S15" s="62">
        <f ca="1">AVERAGE(OFFSET($R$3,0,0,'Données projet'!$E$9+1,1))-AVERAGE(OFFSET($H$3,0,0,'Données projet'!$E$9+1,1))</f>
        <v>623.31285537237943</v>
      </c>
      <c r="T15" s="62">
        <f t="shared" si="34"/>
        <v>462.33909258902241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10.8</v>
      </c>
      <c r="AI15" s="14">
        <f>IF('Données projet'!$A$62&gt;35,AI14+AH15-AQ14,IF(A15&lt;'Données projet'!$A$62,$AF$205^A15,IF(A15='Données projet'!$A$62,'Données projet'!$B$62,AI14+AH15-AQ14)))</f>
        <v>32.6</v>
      </c>
      <c r="AJ15" s="14">
        <f>AI15*VLOOKUP('Données projet'!$B$10,Paramètres!$A$1:$I$89,3,0)*VLOOKUP('Données projet'!$B$10,Paramètres!$A$1:$I$89,5,0)</f>
        <v>28.479360000000007</v>
      </c>
      <c r="AK15" s="14">
        <f t="shared" si="35"/>
        <v>8.8874050121326551</v>
      </c>
      <c r="AL15" s="22">
        <f t="shared" si="4"/>
        <v>65.080449062797712</v>
      </c>
      <c r="AM15" s="62">
        <f t="shared" si="5"/>
        <v>336.41378239613101</v>
      </c>
      <c r="AN15" s="62">
        <f ca="1">AVERAGE(OFFSET($AM$3,0,0,'Données projet'!$E$10+1,1))-AVERAGE(OFFSET($H$3,0,0,'Données projet'!$E$10+1,1))</f>
        <v>390.70479111593545</v>
      </c>
      <c r="AO15" s="62">
        <f t="shared" si="36"/>
        <v>374.99493809709708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10.8</v>
      </c>
      <c r="BD15" s="13">
        <f>IF('Données projet'!$A$88&gt;35,BD14+BC15-BL14,IF(A15&lt;'Données projet'!$A$88,$BA$205^A15,IF(A15='Données projet'!$A$88,'Données projet'!$B$88,BD14+BC15-BL14)))</f>
        <v>32.6</v>
      </c>
      <c r="BE15" s="14">
        <f>BD15*VLOOKUP('Données projet'!$B$11,Paramètres!$A$1:$I$89,3,0)*VLOOKUP('Données projet'!$B$11,Paramètres!$A$1:$I$89,5,0)</f>
        <v>25.936560000000004</v>
      </c>
      <c r="BF15" s="14">
        <f t="shared" si="37"/>
        <v>8.1824816304360635</v>
      </c>
      <c r="BG15" s="22">
        <f t="shared" si="7"/>
        <v>59.423997506342801</v>
      </c>
      <c r="BH15" s="62">
        <f t="shared" si="8"/>
        <v>330.75733083967611</v>
      </c>
      <c r="BI15" s="62">
        <f ca="1">AVERAGE(OFFSET($BH$3,0,0,'Données projet'!$E$11+1,1))-AVERAGE(OFFSET($H$3,0,0,'Données projet'!$E$11+1,1))</f>
        <v>359.18294335011535</v>
      </c>
      <c r="BJ15" s="62">
        <f t="shared" si="38"/>
        <v>345.47508134331241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10.8</v>
      </c>
      <c r="BY15" s="13">
        <f>IF('Données projet'!$A$114&gt;35,BY14+BX15-CG14,IF(A15&lt;'Données projet'!$A$114,$BV$205^A15,IF(A15='Données projet'!$A$114,'Données projet'!$B$114,BY14+BX15-CG14)))</f>
        <v>32.6</v>
      </c>
      <c r="BZ15" s="14">
        <f>BY15*VLOOKUP('Données projet'!$B$12,Paramètres!$A$1:$I$89,3,0)*VLOOKUP('Données projet'!$B$12,Paramètres!$A$1:$I$89,5,0)</f>
        <v>23.90232</v>
      </c>
      <c r="CA15" s="14">
        <f t="shared" si="39"/>
        <v>7.6127522913266521</v>
      </c>
      <c r="CB15" s="22">
        <f t="shared" si="10"/>
        <v>54.88875090739392</v>
      </c>
      <c r="CC15" s="62">
        <f t="shared" si="11"/>
        <v>326.22208424072721</v>
      </c>
      <c r="CD15" s="62">
        <f ca="1">AVERAGE(OFFSET($CC$3,0,0,'Données projet'!$E$12+1,1))-AVERAGE(OFFSET($H$3,0,0,'Données projet'!$E$12+1,1))</f>
        <v>333.9187211440219</v>
      </c>
      <c r="CE15" s="62">
        <f t="shared" si="40"/>
        <v>321.81422611044997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10.8</v>
      </c>
      <c r="CT15" s="13">
        <f>IF('Données projet'!$A$140&gt;35,CT14+CS15-DB14,IF(A15&lt;'Données projet'!$A$140,$CQ$205^A15,IF(A15='Données projet'!$A$140,'Données projet'!$B$140,CT14+CS15-DB14)))</f>
        <v>32.6</v>
      </c>
      <c r="CU15" s="18">
        <f>CT15*VLOOKUP('Données projet'!$B$13,Paramètres!$A$1:$I$89,3,0)*VLOOKUP('Données projet'!$B$13,Paramètres!$A$1:$I$89,5,0)</f>
        <v>26.445120000000003</v>
      </c>
      <c r="CV15" s="14">
        <f t="shared" si="41"/>
        <v>8.3240865246071554</v>
      </c>
      <c r="CW15" s="22">
        <f t="shared" si="13"/>
        <v>60.556368030357454</v>
      </c>
      <c r="CX15" s="62">
        <f t="shared" si="14"/>
        <v>331.88970136369079</v>
      </c>
      <c r="CY15" s="62">
        <f ca="1">AVERAGE(OFFSET($CX$3,0,0,'Données projet'!$E$13+1,1))-AVERAGE(OFFSET($H$3,0,0,'Données projet'!$E$13+1,1))</f>
        <v>365.492319515595</v>
      </c>
      <c r="CZ15" s="62">
        <f t="shared" si="42"/>
        <v>351.38386928091433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3.887142857142857</v>
      </c>
      <c r="DO15" s="13">
        <f>IF('Données projet'!$A$166&gt;35,DO14+DN15-DW14,IF(A15&lt;'Données projet'!$A$166,$DL$205^A15,IF(A15='Données projet'!$A$166,'Données projet'!$B$166,DO14+DN15-DW14)))</f>
        <v>46.64571428571427</v>
      </c>
      <c r="DP15" s="18">
        <f>DO15*VLOOKUP('Données projet'!$B$14,Paramètres!$A$1:$I$89,3,0)*VLOOKUP('Données projet'!$B$14,Paramètres!$A$1:$I$89,5,0)</f>
        <v>39.294349714285708</v>
      </c>
      <c r="DQ15" s="14">
        <f t="shared" si="43"/>
        <v>11.81142091775143</v>
      </c>
      <c r="DR15" s="22">
        <f t="shared" si="16"/>
        <v>89.00921718413133</v>
      </c>
      <c r="DS15" s="62">
        <f t="shared" si="17"/>
        <v>360.34255051746464</v>
      </c>
      <c r="DT15" s="62">
        <f ca="1">AVERAGE(OFFSET($DS$3,0,0,'Données projet'!$E$14+1,1))-AVERAGE(OFFSET($H$3,0,0,'Données projet'!$E$14+1,1))</f>
        <v>544.89250424794909</v>
      </c>
      <c r="DU15" s="62">
        <f t="shared" si="44"/>
        <v>253.98688498110715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3.887142857142857</v>
      </c>
      <c r="EJ15" s="13">
        <f>IF('Données projet'!$A$192&gt;35,EJ14+EI15-ER14,IF(A15&lt;'Données projet'!$A$192,$EG$205^A15,IF(A15='Données projet'!$A$192,'Données projet'!$B$192,EJ14+EI15-ER14)))</f>
        <v>46.64571428571427</v>
      </c>
      <c r="EK15" s="18">
        <f>EJ15*VLOOKUP('Données projet'!$B$15,Paramètres!$A$1:$I$89,3,0)*VLOOKUP('Données projet'!$B$15,Paramètres!$A$1:$I$89,5,0)</f>
        <v>42.205042285714271</v>
      </c>
      <c r="EL15" s="14">
        <f t="shared" si="45"/>
        <v>12.581255887241159</v>
      </c>
      <c r="EM15" s="22">
        <f t="shared" si="19"/>
        <v>95.419469317897367</v>
      </c>
      <c r="EN15" s="62">
        <f t="shared" si="20"/>
        <v>366.7528026512307</v>
      </c>
      <c r="EO15" s="62">
        <f ca="1">AVERAGE(OFFSET($EN$3,0,0,'Données projet'!$E$15+1,1))-AVERAGE(OFFSET($H$3,0,0,'Données projet'!$E$15+1,1))</f>
        <v>581.88778927327667</v>
      </c>
      <c r="EP15" s="62">
        <f t="shared" si="46"/>
        <v>269.67340993773422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3.887142857142857</v>
      </c>
      <c r="FE15" s="13">
        <f>IF('Données projet'!$A$218&gt;35,FE14+FD15-FM14,IF(A15&lt;'Données projet'!$A$218,$FB$205^A15,IF(A15='Données projet'!$A$218,'Données projet'!$B$218,FE14+FD15-FM14)))</f>
        <v>46.64571428571427</v>
      </c>
      <c r="FF15" s="18">
        <f>FE15*VLOOKUP('Données projet'!$B$16,Paramètres!$A$1:$I$89,3,0)*VLOOKUP('Données projet'!$B$16,Paramètres!$A$1:$I$89,5,0)</f>
        <v>47.298754285714274</v>
      </c>
      <c r="FG15" s="14">
        <f t="shared" si="47"/>
        <v>13.913912319856609</v>
      </c>
      <c r="FH15" s="22">
        <f t="shared" si="22"/>
        <v>106.6120610047026</v>
      </c>
      <c r="FI15" s="62">
        <f t="shared" si="23"/>
        <v>377.9453943380359</v>
      </c>
      <c r="FJ15" s="62">
        <f ca="1">AVERAGE(OFFSET($FI$3,0,0,'Données projet'!$E$16+1,1))-AVERAGE(OFFSET($H$3,0,0,'Données projet'!$E$16+1,1))</f>
        <v>646.50767193970182</v>
      </c>
      <c r="FK15" s="62">
        <f t="shared" si="48"/>
        <v>297.06786598620607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3.887142857142857</v>
      </c>
      <c r="FZ15" s="13">
        <f>IF('Données projet'!$A$244&gt;35,FZ14+FY15-GH14,IF(A15&lt;'Données projet'!$A$244,$FW$205^A15,IF(A15='Données projet'!$A$244,'Données projet'!$B$244,FZ14+FY15-GH14)))</f>
        <v>46.64571428571427</v>
      </c>
      <c r="GA15" s="18">
        <f>FZ15*VLOOKUP('Données projet'!$B$17,Paramètres!$A$1:$I$89,3,0)*VLOOKUP('Données projet'!$B$17,Paramètres!$A$1:$I$89,5,0)</f>
        <v>31.289945142857132</v>
      </c>
      <c r="GB15" s="14">
        <f t="shared" si="49"/>
        <v>9.6581011101333694</v>
      </c>
      <c r="GC15" s="22">
        <f t="shared" si="25"/>
        <v>71.317847223958452</v>
      </c>
      <c r="GD15" s="62">
        <f t="shared" si="26"/>
        <v>342.65118055729175</v>
      </c>
      <c r="GE15" s="62">
        <f ca="1">AVERAGE(OFFSET($GD$3,0,0,'Données projet'!$E$17+1,1))-AVERAGE(OFFSET($H$3,0,0,'Données projet'!$E$17+1,1))</f>
        <v>442.85175349826028</v>
      </c>
      <c r="GF15" s="62">
        <f t="shared" si="50"/>
        <v>210.70697808232501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2.9</v>
      </c>
      <c r="GU15" s="13">
        <f>IF('Données projet'!$A$270&gt;35,GU14+GT15-HC14,IF(A15&lt;'Données projet'!$A$270,$GR$205^A15,IF(A15='Données projet'!$A$270,'Données projet'!$B$270,GU14+GT15-HC14)))</f>
        <v>5.9677098701087603</v>
      </c>
      <c r="GV15" s="18">
        <f>GU15*VLOOKUP('Données projet'!$B$18,Paramètres!$A$1:$I$89,3,0)*VLOOKUP('Données projet'!$B$18,Paramètres!$A$1:$I$89,5,0)</f>
        <v>5.6788727123954965</v>
      </c>
      <c r="GW15" s="14">
        <f t="shared" si="51"/>
        <v>2.138051129952403</v>
      </c>
      <c r="GX15" s="22">
        <f t="shared" si="28"/>
        <v>13.614475692089258</v>
      </c>
      <c r="GY15" s="62">
        <f t="shared" si="29"/>
        <v>284.94780902542254</v>
      </c>
      <c r="GZ15" s="62">
        <f ca="1">AVERAGE(OFFSET($GY$3,0,0,'Données projet'!$E$18+1,1))-AVERAGE(OFFSET($H$3,0,0,'Données projet'!$E$18+1,1))</f>
        <v>420.2510366318939</v>
      </c>
      <c r="HA15" s="62">
        <f t="shared" si="52"/>
        <v>220.59884411514116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2">
      <c r="A16" s="11">
        <f t="shared" si="31"/>
        <v>13</v>
      </c>
      <c r="B16" s="74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2.9444444444444446</v>
      </c>
      <c r="N16" s="14">
        <f>IF('Données projet'!$A$36&gt;35,N15+M16-V15,IF(A16&lt;'Données projet'!$A$36,$K$205^A16,IF(A16='Données projet'!$A$36,'Données projet'!$B$36,N15+M16-V15)))</f>
        <v>17.591802890204555</v>
      </c>
      <c r="O16" s="14">
        <f>N16*VLOOKUP('Données projet'!$B$9,Paramètres!$A$1:$I$89,3,0)*VLOOKUP('Données projet'!$B$9,Paramètres!$A$1:$I$89,5,0)</f>
        <v>15.09376687979551</v>
      </c>
      <c r="P16" s="14">
        <f t="shared" si="33"/>
        <v>5.0715143410843257</v>
      </c>
      <c r="Q16" s="22">
        <f t="shared" si="2"/>
        <v>35.121198126365712</v>
      </c>
      <c r="R16" s="62">
        <f t="shared" si="0"/>
        <v>307.67675368192124</v>
      </c>
      <c r="S16" s="62">
        <f ca="1">AVERAGE(OFFSET($R$3,0,0,'Données projet'!$E$9+1,1))-AVERAGE(OFFSET($H$3,0,0,'Données projet'!$E$9+1,1))</f>
        <v>623.31285537237943</v>
      </c>
      <c r="T16" s="62">
        <f t="shared" si="34"/>
        <v>462.33909258902241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10.8</v>
      </c>
      <c r="AI16" s="14">
        <f>IF('Données projet'!$A$62&gt;35,AI15+AH16-AQ15,IF(A16&lt;'Données projet'!$A$62,$AF$205^A16,IF(A16='Données projet'!$A$62,'Données projet'!$B$62,AI15+AH16-AQ15)))</f>
        <v>43.400000000000006</v>
      </c>
      <c r="AJ16" s="14">
        <f>AI16*VLOOKUP('Données projet'!$B$10,Paramètres!$A$1:$I$89,3,0)*VLOOKUP('Données projet'!$B$10,Paramètres!$A$1:$I$89,5,0)</f>
        <v>37.914240000000007</v>
      </c>
      <c r="AK16" s="14">
        <f t="shared" si="35"/>
        <v>11.444104784431099</v>
      </c>
      <c r="AL16" s="22">
        <f t="shared" si="4"/>
        <v>85.965783832884156</v>
      </c>
      <c r="AM16" s="62">
        <f t="shared" si="5"/>
        <v>358.52133938843969</v>
      </c>
      <c r="AN16" s="62">
        <f ca="1">AVERAGE(OFFSET($AM$3,0,0,'Données projet'!$E$10+1,1))-AVERAGE(OFFSET($H$3,0,0,'Données projet'!$E$10+1,1))</f>
        <v>390.70479111593545</v>
      </c>
      <c r="AO16" s="62">
        <f t="shared" si="36"/>
        <v>374.99493809709708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10.8</v>
      </c>
      <c r="BD16" s="13">
        <f>IF('Données projet'!$A$88&gt;35,BD15+BC16-BL15,IF(A16&lt;'Données projet'!$A$88,$BA$205^A16,IF(A16='Données projet'!$A$88,'Données projet'!$B$88,BD15+BC16-BL15)))</f>
        <v>43.400000000000006</v>
      </c>
      <c r="BE16" s="14">
        <f>BD16*VLOOKUP('Données projet'!$B$11,Paramètres!$A$1:$I$89,3,0)*VLOOKUP('Données projet'!$B$11,Paramètres!$A$1:$I$89,5,0)</f>
        <v>34.529040000000009</v>
      </c>
      <c r="BF16" s="14">
        <f t="shared" si="37"/>
        <v>10.536391336679102</v>
      </c>
      <c r="BG16" s="22">
        <f t="shared" si="7"/>
        <v>78.488959578049446</v>
      </c>
      <c r="BH16" s="62">
        <f t="shared" si="8"/>
        <v>351.04451513360499</v>
      </c>
      <c r="BI16" s="62">
        <f ca="1">AVERAGE(OFFSET($BH$3,0,0,'Données projet'!$E$11+1,1))-AVERAGE(OFFSET($H$3,0,0,'Données projet'!$E$11+1,1))</f>
        <v>359.18294335011535</v>
      </c>
      <c r="BJ16" s="62">
        <f t="shared" si="38"/>
        <v>345.47508134331241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10.8</v>
      </c>
      <c r="BY16" s="13">
        <f>IF('Données projet'!$A$114&gt;35,BY15+BX16-CG15,IF(A16&lt;'Données projet'!$A$114,$BV$205^A16,IF(A16='Données projet'!$A$114,'Données projet'!$B$114,BY15+BX16-CG15)))</f>
        <v>43.400000000000006</v>
      </c>
      <c r="BZ16" s="14">
        <f>BY16*VLOOKUP('Données projet'!$B$12,Paramètres!$A$1:$I$89,3,0)*VLOOKUP('Données projet'!$B$12,Paramètres!$A$1:$I$89,5,0)</f>
        <v>31.820880000000006</v>
      </c>
      <c r="CA16" s="14">
        <f t="shared" si="39"/>
        <v>9.8027641140385384</v>
      </c>
      <c r="CB16" s="22">
        <f t="shared" si="10"/>
        <v>72.494513498617124</v>
      </c>
      <c r="CC16" s="62">
        <f t="shared" si="11"/>
        <v>345.0500690541727</v>
      </c>
      <c r="CD16" s="62">
        <f ca="1">AVERAGE(OFFSET($CC$3,0,0,'Données projet'!$E$12+1,1))-AVERAGE(OFFSET($H$3,0,0,'Données projet'!$E$12+1,1))</f>
        <v>333.9187211440219</v>
      </c>
      <c r="CE16" s="62">
        <f t="shared" si="40"/>
        <v>321.81422611044997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10.8</v>
      </c>
      <c r="CT16" s="13">
        <f>IF('Données projet'!$A$140&gt;35,CT15+CS16-DB15,IF(A16&lt;'Données projet'!$A$140,$CQ$205^A16,IF(A16='Données projet'!$A$140,'Données projet'!$B$140,CT15+CS16-DB15)))</f>
        <v>43.400000000000006</v>
      </c>
      <c r="CU16" s="18">
        <f>CT16*VLOOKUP('Données projet'!$B$13,Paramètres!$A$1:$I$89,3,0)*VLOOKUP('Données projet'!$B$13,Paramètres!$A$1:$I$89,5,0)</f>
        <v>35.206080000000007</v>
      </c>
      <c r="CV16" s="14">
        <f t="shared" si="41"/>
        <v>10.718732666310196</v>
      </c>
      <c r="CW16" s="22">
        <f t="shared" si="13"/>
        <v>79.985715393823597</v>
      </c>
      <c r="CX16" s="62">
        <f t="shared" si="14"/>
        <v>352.54127094937917</v>
      </c>
      <c r="CY16" s="62">
        <f ca="1">AVERAGE(OFFSET($CX$3,0,0,'Données projet'!$E$13+1,1))-AVERAGE(OFFSET($H$3,0,0,'Données projet'!$E$13+1,1))</f>
        <v>365.492319515595</v>
      </c>
      <c r="CZ16" s="62">
        <f t="shared" si="42"/>
        <v>351.38386928091433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3.887142857142857</v>
      </c>
      <c r="DO16" s="13">
        <f>IF('Données projet'!$A$166&gt;35,DO15+DN16-DW15,IF(A16&lt;'Données projet'!$A$166,$DL$205^A16,IF(A16='Données projet'!$A$166,'Données projet'!$B$166,DO15+DN16-DW15)))</f>
        <v>50.532857142857125</v>
      </c>
      <c r="DP16" s="18">
        <f>DO16*VLOOKUP('Données projet'!$B$14,Paramètres!$A$1:$I$89,3,0)*VLOOKUP('Données projet'!$B$14,Paramètres!$A$1:$I$89,5,0)</f>
        <v>42.568878857142849</v>
      </c>
      <c r="DQ16" s="14">
        <f t="shared" si="43"/>
        <v>12.677042421276782</v>
      </c>
      <c r="DR16" s="22">
        <f t="shared" si="16"/>
        <v>96.219979559914179</v>
      </c>
      <c r="DS16" s="62">
        <f t="shared" si="17"/>
        <v>368.77553511546972</v>
      </c>
      <c r="DT16" s="62">
        <f ca="1">AVERAGE(OFFSET($DS$3,0,0,'Données projet'!$E$14+1,1))-AVERAGE(OFFSET($H$3,0,0,'Données projet'!$E$14+1,1))</f>
        <v>544.89250424794909</v>
      </c>
      <c r="DU16" s="62">
        <f t="shared" si="44"/>
        <v>253.98688498110715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3.887142857142857</v>
      </c>
      <c r="EJ16" s="13">
        <f>IF('Données projet'!$A$192&gt;35,EJ15+EI16-ER15,IF(A16&lt;'Données projet'!$A$192,$EG$205^A16,IF(A16='Données projet'!$A$192,'Données projet'!$B$192,EJ15+EI16-ER15)))</f>
        <v>50.532857142857125</v>
      </c>
      <c r="EK16" s="18">
        <f>EJ16*VLOOKUP('Données projet'!$B$15,Paramètres!$A$1:$I$89,3,0)*VLOOKUP('Données projet'!$B$15,Paramètres!$A$1:$I$89,5,0)</f>
        <v>45.722129142857128</v>
      </c>
      <c r="EL16" s="14">
        <f t="shared" si="45"/>
        <v>13.50329614922042</v>
      </c>
      <c r="EM16" s="22">
        <f t="shared" si="19"/>
        <v>103.1509490503684</v>
      </c>
      <c r="EN16" s="62">
        <f t="shared" si="20"/>
        <v>375.70650460592395</v>
      </c>
      <c r="EO16" s="62">
        <f ca="1">AVERAGE(OFFSET($EN$3,0,0,'Données projet'!$E$15+1,1))-AVERAGE(OFFSET($H$3,0,0,'Données projet'!$E$15+1,1))</f>
        <v>581.88778927327667</v>
      </c>
      <c r="EP16" s="62">
        <f t="shared" si="46"/>
        <v>269.67340993773422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3.887142857142857</v>
      </c>
      <c r="FE16" s="13">
        <f>IF('Données projet'!$A$218&gt;35,FE15+FD16-FM15,IF(A16&lt;'Données projet'!$A$218,$FB$205^A16,IF(A16='Données projet'!$A$218,'Données projet'!$B$218,FE15+FD16-FM15)))</f>
        <v>50.532857142857125</v>
      </c>
      <c r="FF16" s="18">
        <f>FE16*VLOOKUP('Données projet'!$B$16,Paramètres!$A$1:$I$89,3,0)*VLOOKUP('Données projet'!$B$16,Paramètres!$A$1:$I$89,5,0)</f>
        <v>51.240317142857123</v>
      </c>
      <c r="FG16" s="14">
        <f t="shared" si="47"/>
        <v>14.933618736730883</v>
      </c>
      <c r="FH16" s="22">
        <f t="shared" si="22"/>
        <v>115.25293832361577</v>
      </c>
      <c r="FI16" s="62">
        <f t="shared" si="23"/>
        <v>387.80849387917129</v>
      </c>
      <c r="FJ16" s="62">
        <f ca="1">AVERAGE(OFFSET($FI$3,0,0,'Données projet'!$E$16+1,1))-AVERAGE(OFFSET($H$3,0,0,'Données projet'!$E$16+1,1))</f>
        <v>646.50767193970182</v>
      </c>
      <c r="FK16" s="62">
        <f t="shared" si="48"/>
        <v>297.06786598620607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3.887142857142857</v>
      </c>
      <c r="FZ16" s="13">
        <f>IF('Données projet'!$A$244&gt;35,FZ15+FY16-GH15,IF(A16&lt;'Données projet'!$A$244,$FW$205^A16,IF(A16='Données projet'!$A$244,'Données projet'!$B$244,FZ15+FY16-GH15)))</f>
        <v>50.532857142857125</v>
      </c>
      <c r="GA16" s="18">
        <f>FZ16*VLOOKUP('Données projet'!$B$17,Paramètres!$A$1:$I$89,3,0)*VLOOKUP('Données projet'!$B$17,Paramètres!$A$1:$I$89,5,0)</f>
        <v>33.897440571428561</v>
      </c>
      <c r="GB16" s="14">
        <f t="shared" si="49"/>
        <v>10.365912647997442</v>
      </c>
      <c r="GC16" s="22">
        <f t="shared" si="25"/>
        <v>77.09200685716695</v>
      </c>
      <c r="GD16" s="62">
        <f t="shared" si="26"/>
        <v>349.64756241272249</v>
      </c>
      <c r="GE16" s="62">
        <f ca="1">AVERAGE(OFFSET($GD$3,0,0,'Données projet'!$E$17+1,1))-AVERAGE(OFFSET($H$3,0,0,'Données projet'!$E$17+1,1))</f>
        <v>442.85175349826028</v>
      </c>
      <c r="GF16" s="62">
        <f t="shared" si="50"/>
        <v>210.70697808232501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2.9</v>
      </c>
      <c r="GU16" s="13">
        <f>IF('Données projet'!$A$270&gt;35,GU15+GT16-HC15,IF(A16&lt;'Données projet'!$A$270,$GR$205^A16,IF(A16='Données projet'!$A$270,'Données projet'!$B$270,GU15+GT16-HC15)))</f>
        <v>6.9256149627580559</v>
      </c>
      <c r="GV16" s="18">
        <f>GU16*VLOOKUP('Données projet'!$B$18,Paramètres!$A$1:$I$89,3,0)*VLOOKUP('Données projet'!$B$18,Paramètres!$A$1:$I$89,5,0)</f>
        <v>6.5904151985605655</v>
      </c>
      <c r="GW16" s="14">
        <f t="shared" si="51"/>
        <v>2.4386158594356919</v>
      </c>
      <c r="GX16" s="22">
        <f t="shared" si="28"/>
        <v>15.725562426010145</v>
      </c>
      <c r="GY16" s="62">
        <f t="shared" si="29"/>
        <v>288.28111798156567</v>
      </c>
      <c r="GZ16" s="62">
        <f ca="1">AVERAGE(OFFSET($GY$3,0,0,'Données projet'!$E$18+1,1))-AVERAGE(OFFSET($H$3,0,0,'Données projet'!$E$18+1,1))</f>
        <v>420.2510366318939</v>
      </c>
      <c r="HA16" s="62">
        <f t="shared" si="52"/>
        <v>220.59884411514116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2">
      <c r="A17" s="11">
        <f t="shared" si="31"/>
        <v>14</v>
      </c>
      <c r="B17" s="74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2.9444444444444446</v>
      </c>
      <c r="N17" s="14">
        <f>IF('Données projet'!$A$36&gt;35,N16+M17-V16,IF(A17&lt;'Données projet'!$A$36,$K$205^A17,IF(A17='Données projet'!$A$36,'Données projet'!$B$36,N16+M17-V16)))</f>
        <v>21.933273499029138</v>
      </c>
      <c r="O17" s="14">
        <f>N17*VLOOKUP('Données projet'!$B$9,Paramètres!$A$1:$I$89,3,0)*VLOOKUP('Données projet'!$B$9,Paramètres!$A$1:$I$89,5,0)</f>
        <v>18.818748662167003</v>
      </c>
      <c r="P17" s="14">
        <f t="shared" si="33"/>
        <v>6.162833639642324</v>
      </c>
      <c r="Q17" s="22">
        <f t="shared" si="2"/>
        <v>43.509589175651236</v>
      </c>
      <c r="R17" s="62">
        <f t="shared" si="0"/>
        <v>317.287366953429</v>
      </c>
      <c r="S17" s="62">
        <f ca="1">AVERAGE(OFFSET($R$3,0,0,'Données projet'!$E$9+1,1))-AVERAGE(OFFSET($H$3,0,0,'Données projet'!$E$9+1,1))</f>
        <v>623.31285537237943</v>
      </c>
      <c r="T17" s="62">
        <f t="shared" si="34"/>
        <v>462.33909258902241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10.8</v>
      </c>
      <c r="AI17" s="14">
        <f>IF('Données projet'!$A$62&gt;35,AI16+AH17-AQ16,IF(A17&lt;'Données projet'!$A$62,$AF$205^A17,IF(A17='Données projet'!$A$62,'Données projet'!$B$62,AI16+AH17-AQ16)))</f>
        <v>54.2</v>
      </c>
      <c r="AJ17" s="14">
        <f>AI17*VLOOKUP('Données projet'!$B$10,Paramètres!$A$1:$I$89,3,0)*VLOOKUP('Données projet'!$B$10,Paramètres!$A$1:$I$89,5,0)</f>
        <v>47.349120000000006</v>
      </c>
      <c r="AK17" s="14">
        <f t="shared" si="35"/>
        <v>13.927003034591849</v>
      </c>
      <c r="AL17" s="22">
        <f t="shared" si="4"/>
        <v>106.72258095191415</v>
      </c>
      <c r="AM17" s="62">
        <f t="shared" si="5"/>
        <v>380.50035872969192</v>
      </c>
      <c r="AN17" s="62">
        <f ca="1">AVERAGE(OFFSET($AM$3,0,0,'Données projet'!$E$10+1,1))-AVERAGE(OFFSET($H$3,0,0,'Données projet'!$E$10+1,1))</f>
        <v>390.70479111593545</v>
      </c>
      <c r="AO17" s="62">
        <f t="shared" si="36"/>
        <v>374.99493809709708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10.8</v>
      </c>
      <c r="BD17" s="13">
        <f>IF('Données projet'!$A$88&gt;35,BD16+BC17-BL16,IF(A17&lt;'Données projet'!$A$88,$BA$205^A17,IF(A17='Données projet'!$A$88,'Données projet'!$B$88,BD16+BC17-BL16)))</f>
        <v>54.2</v>
      </c>
      <c r="BE17" s="14">
        <f>BD17*VLOOKUP('Données projet'!$B$11,Paramètres!$A$1:$I$89,3,0)*VLOOKUP('Données projet'!$B$11,Paramètres!$A$1:$I$89,5,0)</f>
        <v>43.121520000000004</v>
      </c>
      <c r="BF17" s="14">
        <f t="shared" si="37"/>
        <v>12.822353245070515</v>
      </c>
      <c r="BG17" s="22">
        <f t="shared" si="7"/>
        <v>97.435579235164482</v>
      </c>
      <c r="BH17" s="62">
        <f t="shared" si="8"/>
        <v>371.21335701294225</v>
      </c>
      <c r="BI17" s="62">
        <f ca="1">AVERAGE(OFFSET($BH$3,0,0,'Données projet'!$E$11+1,1))-AVERAGE(OFFSET($H$3,0,0,'Données projet'!$E$11+1,1))</f>
        <v>359.18294335011535</v>
      </c>
      <c r="BJ17" s="62">
        <f t="shared" si="38"/>
        <v>345.47508134331241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10.8</v>
      </c>
      <c r="BY17" s="13">
        <f>IF('Données projet'!$A$114&gt;35,BY16+BX17-CG16,IF(A17&lt;'Données projet'!$A$114,$BV$205^A17,IF(A17='Données projet'!$A$114,'Données projet'!$B$114,BY16+BX17-CG16)))</f>
        <v>54.2</v>
      </c>
      <c r="BZ17" s="14">
        <f>BY17*VLOOKUP('Données projet'!$B$12,Paramètres!$A$1:$I$89,3,0)*VLOOKUP('Données projet'!$B$12,Paramètres!$A$1:$I$89,5,0)</f>
        <v>39.739440000000002</v>
      </c>
      <c r="CA17" s="14">
        <f t="shared" si="39"/>
        <v>11.929559204083212</v>
      </c>
      <c r="CB17" s="22">
        <f t="shared" si="10"/>
        <v>89.990173613778268</v>
      </c>
      <c r="CC17" s="62">
        <f t="shared" si="11"/>
        <v>363.76795139155604</v>
      </c>
      <c r="CD17" s="62">
        <f ca="1">AVERAGE(OFFSET($CC$3,0,0,'Données projet'!$E$12+1,1))-AVERAGE(OFFSET($H$3,0,0,'Données projet'!$E$12+1,1))</f>
        <v>333.9187211440219</v>
      </c>
      <c r="CE17" s="62">
        <f t="shared" si="40"/>
        <v>321.81422611044997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10.8</v>
      </c>
      <c r="CT17" s="13">
        <f>IF('Données projet'!$A$140&gt;35,CT16+CS17-DB16,IF(A17&lt;'Données projet'!$A$140,$CQ$205^A17,IF(A17='Données projet'!$A$140,'Données projet'!$B$140,CT16+CS17-DB16)))</f>
        <v>54.2</v>
      </c>
      <c r="CU17" s="18">
        <f>CT17*VLOOKUP('Données projet'!$B$13,Paramètres!$A$1:$I$89,3,0)*VLOOKUP('Données projet'!$B$13,Paramètres!$A$1:$I$89,5,0)</f>
        <v>43.967040000000004</v>
      </c>
      <c r="CV17" s="14">
        <f t="shared" si="41"/>
        <v>13.04425511497986</v>
      </c>
      <c r="CW17" s="22">
        <f t="shared" si="13"/>
        <v>99.294672325256599</v>
      </c>
      <c r="CX17" s="62">
        <f t="shared" si="14"/>
        <v>373.07245010303438</v>
      </c>
      <c r="CY17" s="62">
        <f ca="1">AVERAGE(OFFSET($CX$3,0,0,'Données projet'!$E$13+1,1))-AVERAGE(OFFSET($H$3,0,0,'Données projet'!$E$13+1,1))</f>
        <v>365.492319515595</v>
      </c>
      <c r="CZ17" s="62">
        <f t="shared" si="42"/>
        <v>351.38386928091433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3.887142857142857</v>
      </c>
      <c r="DO17" s="13">
        <f>IF('Données projet'!$A$166&gt;35,DO16+DN17-DW16,IF(A17&lt;'Données projet'!$A$166,$DL$205^A17,IF(A17='Données projet'!$A$166,'Données projet'!$B$166,DO16+DN17-DW16)))</f>
        <v>54.41999999999998</v>
      </c>
      <c r="DP17" s="18">
        <f>DO17*VLOOKUP('Données projet'!$B$14,Paramètres!$A$1:$I$89,3,0)*VLOOKUP('Données projet'!$B$14,Paramètres!$A$1:$I$89,5,0)</f>
        <v>45.843407999999989</v>
      </c>
      <c r="DQ17" s="14">
        <f t="shared" si="43"/>
        <v>13.534939842446031</v>
      </c>
      <c r="DR17" s="22">
        <f t="shared" si="16"/>
        <v>103.41728915892681</v>
      </c>
      <c r="DS17" s="62">
        <f t="shared" si="17"/>
        <v>377.19506693670456</v>
      </c>
      <c r="DT17" s="62">
        <f ca="1">AVERAGE(OFFSET($DS$3,0,0,'Données projet'!$E$14+1,1))-AVERAGE(OFFSET($H$3,0,0,'Données projet'!$E$14+1,1))</f>
        <v>544.89250424794909</v>
      </c>
      <c r="DU17" s="62">
        <f t="shared" si="44"/>
        <v>253.98688498110715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3.887142857142857</v>
      </c>
      <c r="EJ17" s="13">
        <f>IF('Données projet'!$A$192&gt;35,EJ16+EI17-ER16,IF(A17&lt;'Données projet'!$A$192,$EG$205^A17,IF(A17='Données projet'!$A$192,'Données projet'!$B$192,EJ16+EI17-ER16)))</f>
        <v>54.41999999999998</v>
      </c>
      <c r="EK17" s="18">
        <f>EJ17*VLOOKUP('Données projet'!$B$15,Paramètres!$A$1:$I$89,3,0)*VLOOKUP('Données projet'!$B$15,Paramètres!$A$1:$I$89,5,0)</f>
        <v>49.239215999999978</v>
      </c>
      <c r="EL17" s="14">
        <f t="shared" si="45"/>
        <v>14.417108895027585</v>
      </c>
      <c r="EM17" s="22">
        <f t="shared" si="19"/>
        <v>110.86809919217301</v>
      </c>
      <c r="EN17" s="62">
        <f t="shared" si="20"/>
        <v>384.64587696995079</v>
      </c>
      <c r="EO17" s="62">
        <f ca="1">AVERAGE(OFFSET($EN$3,0,0,'Données projet'!$E$15+1,1))-AVERAGE(OFFSET($H$3,0,0,'Données projet'!$E$15+1,1))</f>
        <v>581.88778927327667</v>
      </c>
      <c r="EP17" s="62">
        <f t="shared" si="46"/>
        <v>269.67340993773422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3.887142857142857</v>
      </c>
      <c r="FE17" s="13">
        <f>IF('Données projet'!$A$218&gt;35,FE16+FD17-FM16,IF(A17&lt;'Données projet'!$A$218,$FB$205^A17,IF(A17='Données projet'!$A$218,'Données projet'!$B$218,FE16+FD17-FM16)))</f>
        <v>54.41999999999998</v>
      </c>
      <c r="FF17" s="18">
        <f>FE17*VLOOKUP('Données projet'!$B$16,Paramètres!$A$1:$I$89,3,0)*VLOOKUP('Données projet'!$B$16,Paramètres!$A$1:$I$89,5,0)</f>
        <v>55.181879999999985</v>
      </c>
      <c r="FG17" s="14">
        <f t="shared" si="47"/>
        <v>15.944226146347479</v>
      </c>
      <c r="FH17" s="22">
        <f t="shared" si="22"/>
        <v>123.87796820488852</v>
      </c>
      <c r="FI17" s="62">
        <f t="shared" si="23"/>
        <v>397.6557459826663</v>
      </c>
      <c r="FJ17" s="62">
        <f ca="1">AVERAGE(OFFSET($FI$3,0,0,'Données projet'!$E$16+1,1))-AVERAGE(OFFSET($H$3,0,0,'Données projet'!$E$16+1,1))</f>
        <v>646.50767193970182</v>
      </c>
      <c r="FK17" s="62">
        <f t="shared" si="48"/>
        <v>297.06786598620607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3.887142857142857</v>
      </c>
      <c r="FZ17" s="13">
        <f>IF('Données projet'!$A$244&gt;35,FZ16+FY17-GH16,IF(A17&lt;'Données projet'!$A$244,$FW$205^A17,IF(A17='Données projet'!$A$244,'Données projet'!$B$244,FZ16+FY17-GH16)))</f>
        <v>54.41999999999998</v>
      </c>
      <c r="GA17" s="18">
        <f>FZ17*VLOOKUP('Données projet'!$B$17,Paramètres!$A$1:$I$89,3,0)*VLOOKUP('Données projet'!$B$17,Paramètres!$A$1:$I$89,5,0)</f>
        <v>36.504935999999987</v>
      </c>
      <c r="GB17" s="14">
        <f t="shared" si="49"/>
        <v>11.06740826765847</v>
      </c>
      <c r="GC17" s="22">
        <f t="shared" si="25"/>
        <v>82.855166266171821</v>
      </c>
      <c r="GD17" s="62">
        <f t="shared" si="26"/>
        <v>356.63294404394958</v>
      </c>
      <c r="GE17" s="62">
        <f ca="1">AVERAGE(OFFSET($GD$3,0,0,'Données projet'!$E$17+1,1))-AVERAGE(OFFSET($H$3,0,0,'Données projet'!$E$17+1,1))</f>
        <v>442.85175349826028</v>
      </c>
      <c r="GF17" s="62">
        <f t="shared" si="50"/>
        <v>210.70697808232501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2.9</v>
      </c>
      <c r="GU17" s="13">
        <f>IF('Données projet'!$A$270&gt;35,GU16+GT17-HC16,IF(A17&lt;'Données projet'!$A$270,$GR$205^A17,IF(A17='Données projet'!$A$270,'Données projet'!$B$270,GU16+GT17-HC16)))</f>
        <v>8.0372778932539042</v>
      </c>
      <c r="GV17" s="18">
        <f>GU17*VLOOKUP('Données projet'!$B$18,Paramètres!$A$1:$I$89,3,0)*VLOOKUP('Données projet'!$B$18,Paramètres!$A$1:$I$89,5,0)</f>
        <v>7.6482736432204161</v>
      </c>
      <c r="GW17" s="14">
        <f t="shared" si="51"/>
        <v>2.7814336273724503</v>
      </c>
      <c r="GX17" s="22">
        <f t="shared" si="28"/>
        <v>18.165073496282574</v>
      </c>
      <c r="GY17" s="62">
        <f t="shared" si="29"/>
        <v>291.94285127406033</v>
      </c>
      <c r="GZ17" s="62">
        <f ca="1">AVERAGE(OFFSET($GY$3,0,0,'Données projet'!$E$18+1,1))-AVERAGE(OFFSET($H$3,0,0,'Données projet'!$E$18+1,1))</f>
        <v>420.2510366318939</v>
      </c>
      <c r="HA17" s="62">
        <f t="shared" si="52"/>
        <v>220.59884411514116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2">
      <c r="A18" s="11">
        <f t="shared" si="31"/>
        <v>15</v>
      </c>
      <c r="B18" s="74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2.9444444444444446</v>
      </c>
      <c r="N18" s="14">
        <f>IF('Données projet'!$A$36&gt;35,N17+M18-V17,IF(A18&lt;'Données projet'!$A$36,$K$205^A18,IF(A18='Données projet'!$A$36,'Données projet'!$B$36,N17+M18-V17)))</f>
        <v>27.346173066268364</v>
      </c>
      <c r="O18" s="14">
        <f>N18*VLOOKUP('Données projet'!$B$9,Paramètres!$A$1:$I$89,3,0)*VLOOKUP('Données projet'!$B$9,Paramètres!$A$1:$I$89,5,0)</f>
        <v>23.463016490858259</v>
      </c>
      <c r="P18" s="14">
        <f t="shared" si="33"/>
        <v>7.4889896617716278</v>
      </c>
      <c r="Q18" s="22">
        <f t="shared" si="2"/>
        <v>53.908077382497048</v>
      </c>
      <c r="R18" s="62">
        <f t="shared" si="0"/>
        <v>328.90807738249703</v>
      </c>
      <c r="S18" s="62">
        <f ca="1">AVERAGE(OFFSET($R$3,0,0,'Données projet'!$E$9+1,1))-AVERAGE(OFFSET($H$3,0,0,'Données projet'!$E$9+1,1))</f>
        <v>623.31285537237943</v>
      </c>
      <c r="T18" s="62">
        <f t="shared" si="34"/>
        <v>462.33909258902241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65</v>
      </c>
      <c r="AG18" s="13">
        <f>VLOOKUP(A18,'Données projet'!$A$61:$I$81,9,0)</f>
        <v>10.8</v>
      </c>
      <c r="AH18" s="13">
        <f t="array" ref="AH18">INDEX(AG:AG,MIN(IF(ISNUMBER(AG18:AG214),ROW(AG18:AG214),"")))</f>
        <v>10.8</v>
      </c>
      <c r="AI18" s="14">
        <f>IF('Données projet'!$A$62&gt;35,AI17+AH18-AQ17,IF(A18&lt;'Données projet'!$A$62,$AF$205^A18,IF(A18='Données projet'!$A$62,'Données projet'!$B$62,AI17+AH18-AQ17)))</f>
        <v>65</v>
      </c>
      <c r="AJ18" s="14">
        <f>AI18*VLOOKUP('Données projet'!$B$10,Paramètres!$A$1:$I$89,3,0)*VLOOKUP('Données projet'!$B$10,Paramètres!$A$1:$I$89,5,0)</f>
        <v>56.784000000000013</v>
      </c>
      <c r="AK18" s="14">
        <f t="shared" si="35"/>
        <v>16.352574732529362</v>
      </c>
      <c r="AL18" s="22">
        <f t="shared" si="4"/>
        <v>127.37953432582198</v>
      </c>
      <c r="AM18" s="62">
        <f t="shared" si="5"/>
        <v>402.37953432582196</v>
      </c>
      <c r="AN18" s="62">
        <f ca="1">AVERAGE(OFFSET($AM$3,0,0,'Données projet'!$E$10+1,1))-AVERAGE(OFFSET($H$3,0,0,'Données projet'!$E$10+1,1))</f>
        <v>390.70479111593545</v>
      </c>
      <c r="AO18" s="62">
        <f t="shared" si="36"/>
        <v>374.99493809709708</v>
      </c>
      <c r="AP18" s="16">
        <f>IF(ISNA(VLOOKUP(A18,'Données projet'!$A$61:$I$81,3,0)),0,VLOOKUP(A18,'Données projet'!$A$61:$I$81,3,0))</f>
        <v>2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0.10600000000000001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65</v>
      </c>
      <c r="BB18" s="13">
        <f>VLOOKUP(A18,'Données projet'!$A$87:$I$107,9,0)</f>
        <v>10.8</v>
      </c>
      <c r="BC18" s="13">
        <f t="array" ref="BC18">INDEX(BB:BB,MIN(IF(ISNUMBER(BB18:BB214),ROW(BB18:BB214),"")))</f>
        <v>10.8</v>
      </c>
      <c r="BD18" s="13">
        <f>IF('Données projet'!$A$88&gt;35,BD17+BC18-BL17,IF(A18&lt;'Données projet'!$A$88,$BA$205^A18,IF(A18='Données projet'!$A$88,'Données projet'!$B$88,BD17+BC18-BL17)))</f>
        <v>65</v>
      </c>
      <c r="BE18" s="14">
        <f>BD18*VLOOKUP('Données projet'!$B$11,Paramètres!$A$1:$I$89,3,0)*VLOOKUP('Données projet'!$B$11,Paramètres!$A$1:$I$89,5,0)</f>
        <v>51.713999999999999</v>
      </c>
      <c r="BF18" s="14">
        <f t="shared" si="37"/>
        <v>15.055535578337075</v>
      </c>
      <c r="BG18" s="22">
        <f t="shared" si="7"/>
        <v>116.29027446560372</v>
      </c>
      <c r="BH18" s="62">
        <f t="shared" si="8"/>
        <v>391.29027446560372</v>
      </c>
      <c r="BI18" s="62">
        <f ca="1">AVERAGE(OFFSET($BH$3,0,0,'Données projet'!$E$11+1,1))-AVERAGE(OFFSET($H$3,0,0,'Données projet'!$E$11+1,1))</f>
        <v>359.18294335011535</v>
      </c>
      <c r="BJ18" s="62">
        <f t="shared" si="38"/>
        <v>345.47508134331241</v>
      </c>
      <c r="BK18" s="16">
        <f>IF(ISNA(VLOOKUP(A18,'Données projet'!$A$87:$I$107,3,0)),0,VLOOKUP(A18,'Données projet'!$A$87:$I$107,3,0))</f>
        <v>2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0.10600000000000001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65</v>
      </c>
      <c r="BW18" s="13">
        <f>VLOOKUP(A18,'Données projet'!$A$113:$I$133,9,0)</f>
        <v>10.8</v>
      </c>
      <c r="BX18" s="13">
        <f t="array" ref="BX18">INDEX(BW:BW,MIN(IF(ISNUMBER(BW18:BW214),ROW(BW18:BW214),"")))</f>
        <v>10.8</v>
      </c>
      <c r="BY18" s="13">
        <f>IF('Données projet'!$A$114&gt;35,BY17+BX18-CG17,IF(A18&lt;'Données projet'!$A$114,$BV$205^A18,IF(A18='Données projet'!$A$114,'Données projet'!$B$114,BY17+BX18-CG17)))</f>
        <v>65</v>
      </c>
      <c r="BZ18" s="14">
        <f>BY18*VLOOKUP('Données projet'!$B$12,Paramètres!$A$1:$I$89,3,0)*VLOOKUP('Données projet'!$B$12,Paramètres!$A$1:$I$89,5,0)</f>
        <v>47.657999999999994</v>
      </c>
      <c r="CA18" s="14">
        <f t="shared" si="39"/>
        <v>14.007249652087213</v>
      </c>
      <c r="CB18" s="22">
        <f t="shared" si="10"/>
        <v>107.40030981071855</v>
      </c>
      <c r="CC18" s="62">
        <f t="shared" si="11"/>
        <v>382.40030981071857</v>
      </c>
      <c r="CD18" s="62">
        <f ca="1">AVERAGE(OFFSET($CC$3,0,0,'Données projet'!$E$12+1,1))-AVERAGE(OFFSET($H$3,0,0,'Données projet'!$E$12+1,1))</f>
        <v>333.9187211440219</v>
      </c>
      <c r="CE18" s="62">
        <f t="shared" si="40"/>
        <v>321.81422611044997</v>
      </c>
      <c r="CF18" s="16">
        <f>IF(ISNA(VLOOKUP(A18,'Données projet'!$A$113:$I$133,3,0)),0,VLOOKUP(A18,'Données projet'!$A$113:$I$133,3,0))</f>
        <v>2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8.6000000000000007E-2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65</v>
      </c>
      <c r="CR18" s="13">
        <f>VLOOKUP(A18,'Données projet'!$A$139:$I$159,9,0)</f>
        <v>10.8</v>
      </c>
      <c r="CS18" s="13">
        <f t="array" ref="CS18">INDEX(CR:CR,MIN(IF(ISNUMBER(CR18:CR214),ROW(CR18:CR214),"")))</f>
        <v>10.8</v>
      </c>
      <c r="CT18" s="13">
        <f>IF('Données projet'!$A$140&gt;35,CT17+CS18-DB17,IF(A18&lt;'Données projet'!$A$140,$CQ$205^A18,IF(A18='Données projet'!$A$140,'Données projet'!$B$140,CT17+CS18-DB17)))</f>
        <v>65</v>
      </c>
      <c r="CU18" s="18">
        <f>CT18*VLOOKUP('Données projet'!$B$13,Paramètres!$A$1:$I$89,3,0)*VLOOKUP('Données projet'!$B$13,Paramètres!$A$1:$I$89,5,0)</f>
        <v>52.728000000000009</v>
      </c>
      <c r="CV18" s="14">
        <f t="shared" si="41"/>
        <v>15.316084592505286</v>
      </c>
      <c r="CW18" s="22">
        <f t="shared" si="13"/>
        <v>118.51011399861339</v>
      </c>
      <c r="CX18" s="62">
        <f t="shared" si="14"/>
        <v>393.51011399861341</v>
      </c>
      <c r="CY18" s="62">
        <f ca="1">AVERAGE(OFFSET($CX$3,0,0,'Données projet'!$E$13+1,1))-AVERAGE(OFFSET($H$3,0,0,'Données projet'!$E$13+1,1))</f>
        <v>365.492319515595</v>
      </c>
      <c r="CZ18" s="62">
        <f t="shared" si="42"/>
        <v>351.38386928091433</v>
      </c>
      <c r="DA18" s="16">
        <f>IF(ISNA(VLOOKUP(A18,'Données projet'!$A$139:$I$159,3,0)),0,VLOOKUP(A18,'Données projet'!$A$139:$I$159,3,0))</f>
        <v>2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8.6000000000000007E-2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3.887142857142857</v>
      </c>
      <c r="DO18" s="13">
        <f>IF('Données projet'!$A$166&gt;35,DO17+DN18-DW17,IF(A18&lt;'Données projet'!$A$166,$DL$205^A18,IF(A18='Données projet'!$A$166,'Données projet'!$B$166,DO17+DN18-DW17)))</f>
        <v>58.307142857142836</v>
      </c>
      <c r="DP18" s="18">
        <f>DO18*VLOOKUP('Données projet'!$B$14,Paramètres!$A$1:$I$89,3,0)*VLOOKUP('Données projet'!$B$14,Paramètres!$A$1:$I$89,5,0)</f>
        <v>49.11793714285713</v>
      </c>
      <c r="DQ18" s="14">
        <f t="shared" si="43"/>
        <v>14.385727650638332</v>
      </c>
      <c r="DR18" s="22">
        <f t="shared" si="16"/>
        <v>110.6022161820046</v>
      </c>
      <c r="DS18" s="62">
        <f t="shared" si="17"/>
        <v>385.60221618200461</v>
      </c>
      <c r="DT18" s="62">
        <f ca="1">AVERAGE(OFFSET($DS$3,0,0,'Données projet'!$E$14+1,1))-AVERAGE(OFFSET($H$3,0,0,'Données projet'!$E$14+1,1))</f>
        <v>544.89250424794909</v>
      </c>
      <c r="DU18" s="62">
        <f t="shared" si="44"/>
        <v>253.98688498110715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3.887142857142857</v>
      </c>
      <c r="EJ18" s="13">
        <f>IF('Données projet'!$A$192&gt;35,EJ17+EI18-ER17,IF(A18&lt;'Données projet'!$A$192,$EG$205^A18,IF(A18='Données projet'!$A$192,'Données projet'!$B$192,EJ17+EI18-ER17)))</f>
        <v>58.307142857142836</v>
      </c>
      <c r="EK18" s="18">
        <f>EJ18*VLOOKUP('Données projet'!$B$15,Paramètres!$A$1:$I$89,3,0)*VLOOKUP('Données projet'!$B$15,Paramètres!$A$1:$I$89,5,0)</f>
        <v>52.756302857142842</v>
      </c>
      <c r="EL18" s="14">
        <f t="shared" si="45"/>
        <v>15.323348643415981</v>
      </c>
      <c r="EM18" s="22">
        <f t="shared" si="19"/>
        <v>118.57205969680662</v>
      </c>
      <c r="EN18" s="62">
        <f t="shared" si="20"/>
        <v>393.5720596968066</v>
      </c>
      <c r="EO18" s="62">
        <f ca="1">AVERAGE(OFFSET($EN$3,0,0,'Données projet'!$E$15+1,1))-AVERAGE(OFFSET($H$3,0,0,'Données projet'!$E$15+1,1))</f>
        <v>581.88778927327667</v>
      </c>
      <c r="EP18" s="62">
        <f t="shared" si="46"/>
        <v>269.67340993773422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3.887142857142857</v>
      </c>
      <c r="FE18" s="13">
        <f>IF('Données projet'!$A$218&gt;35,FE17+FD18-FM17,IF(A18&lt;'Données projet'!$A$218,$FB$205^A18,IF(A18='Données projet'!$A$218,'Données projet'!$B$218,FE17+FD18-FM17)))</f>
        <v>58.307142857142836</v>
      </c>
      <c r="FF18" s="18">
        <f>FE18*VLOOKUP('Données projet'!$B$16,Paramètres!$A$1:$I$89,3,0)*VLOOKUP('Données projet'!$B$16,Paramètres!$A$1:$I$89,5,0)</f>
        <v>59.123442857142841</v>
      </c>
      <c r="FG18" s="14">
        <f t="shared" si="47"/>
        <v>16.946458396677293</v>
      </c>
      <c r="FH18" s="22">
        <f t="shared" si="22"/>
        <v>132.4884113504034</v>
      </c>
      <c r="FI18" s="62">
        <f t="shared" si="23"/>
        <v>407.4884113504034</v>
      </c>
      <c r="FJ18" s="62">
        <f ca="1">AVERAGE(OFFSET($FI$3,0,0,'Données projet'!$E$16+1,1))-AVERAGE(OFFSET($H$3,0,0,'Données projet'!$E$16+1,1))</f>
        <v>646.50767193970182</v>
      </c>
      <c r="FK18" s="62">
        <f t="shared" si="48"/>
        <v>297.06786598620607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3.887142857142857</v>
      </c>
      <c r="FZ18" s="13">
        <f>IF('Données projet'!$A$244&gt;35,FZ17+FY18-GH17,IF(A18&lt;'Données projet'!$A$244,$FW$205^A18,IF(A18='Données projet'!$A$244,'Données projet'!$B$244,FZ17+FY18-GH17)))</f>
        <v>58.307142857142836</v>
      </c>
      <c r="GA18" s="18">
        <f>FZ18*VLOOKUP('Données projet'!$B$17,Paramètres!$A$1:$I$89,3,0)*VLOOKUP('Données projet'!$B$17,Paramètres!$A$1:$I$89,5,0)</f>
        <v>39.112431428571419</v>
      </c>
      <c r="GB18" s="14">
        <f t="shared" si="49"/>
        <v>11.763090415641251</v>
      </c>
      <c r="GC18" s="22">
        <f t="shared" si="25"/>
        <v>88.60820054533707</v>
      </c>
      <c r="GD18" s="62">
        <f t="shared" si="26"/>
        <v>363.60820054533707</v>
      </c>
      <c r="GE18" s="62">
        <f ca="1">AVERAGE(OFFSET($GD$3,0,0,'Données projet'!$E$17+1,1))-AVERAGE(OFFSET($H$3,0,0,'Données projet'!$E$17+1,1))</f>
        <v>442.85175349826028</v>
      </c>
      <c r="GF18" s="62">
        <f t="shared" si="50"/>
        <v>210.70697808232501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2.9</v>
      </c>
      <c r="GU18" s="13">
        <f>IF('Données projet'!$A$270&gt;35,GU17+GT18-HC17,IF(A18&lt;'Données projet'!$A$270,$GR$205^A18,IF(A18='Données projet'!$A$270,'Données projet'!$B$270,GU17+GT18-HC17)))</f>
        <v>9.3273790530888068</v>
      </c>
      <c r="GV18" s="18">
        <f>GU18*VLOOKUP('Données projet'!$B$18,Paramètres!$A$1:$I$89,3,0)*VLOOKUP('Données projet'!$B$18,Paramètres!$A$1:$I$89,5,0)</f>
        <v>8.8759339069193093</v>
      </c>
      <c r="GW18" s="14">
        <f t="shared" si="51"/>
        <v>3.1724443165347496</v>
      </c>
      <c r="GX18" s="22">
        <f t="shared" si="28"/>
        <v>20.984258739182483</v>
      </c>
      <c r="GY18" s="62">
        <f t="shared" si="29"/>
        <v>295.98425873918251</v>
      </c>
      <c r="GZ18" s="62">
        <f ca="1">AVERAGE(OFFSET($GY$3,0,0,'Données projet'!$E$18+1,1))-AVERAGE(OFFSET($H$3,0,0,'Données projet'!$E$18+1,1))</f>
        <v>420.2510366318939</v>
      </c>
      <c r="HA18" s="62">
        <f t="shared" si="52"/>
        <v>220.59884411514116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 x14ac:dyDescent="0.2">
      <c r="A19" s="11">
        <f t="shared" si="31"/>
        <v>16</v>
      </c>
      <c r="B19" s="74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2.9444444444444446</v>
      </c>
      <c r="N19" s="14">
        <f>IF('Données projet'!$A$36&gt;35,N18+M19-V18,IF(A19&lt;'Données projet'!$A$36,$K$205^A19,IF(A19='Données projet'!$A$36,'Données projet'!$B$36,N18+M19-V18)))</f>
        <v>34.094918909546408</v>
      </c>
      <c r="O19" s="14">
        <f>N19*VLOOKUP('Données projet'!$B$9,Paramètres!$A$1:$I$89,3,0)*VLOOKUP('Données projet'!$B$9,Paramètres!$A$1:$I$89,5,0)</f>
        <v>29.253440424390821</v>
      </c>
      <c r="P19" s="14">
        <f t="shared" si="33"/>
        <v>9.1005160018204485</v>
      </c>
      <c r="Q19" s="22">
        <f t="shared" si="2"/>
        <v>66.799807442317956</v>
      </c>
      <c r="R19" s="62">
        <f t="shared" si="0"/>
        <v>343.02202966454018</v>
      </c>
      <c r="S19" s="62">
        <f ca="1">AVERAGE(OFFSET($R$3,0,0,'Données projet'!$E$9+1,1))-AVERAGE(OFFSET($H$3,0,0,'Données projet'!$E$9+1,1))</f>
        <v>623.31285537237943</v>
      </c>
      <c r="T19" s="62">
        <f t="shared" si="34"/>
        <v>462.33909258902241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7.4</v>
      </c>
      <c r="AI19" s="14">
        <f>IF('Données projet'!$A$62&gt;35,AI18+AH19-AQ18,IF(A19&lt;'Données projet'!$A$62,$AF$205^A19,IF(A19='Données projet'!$A$62,'Données projet'!$B$62,AI18+AH19-AQ18)))</f>
        <v>72.400000000000006</v>
      </c>
      <c r="AJ19" s="14">
        <f>AI19*VLOOKUP('Données projet'!$B$10,Paramètres!$A$1:$I$89,3,0)*VLOOKUP('Données projet'!$B$10,Paramètres!$A$1:$I$89,5,0)</f>
        <v>63.248640000000009</v>
      </c>
      <c r="AK19" s="14">
        <f t="shared" si="35"/>
        <v>17.987089587314237</v>
      </c>
      <c r="AL19" s="22">
        <f t="shared" si="4"/>
        <v>141.48556236457227</v>
      </c>
      <c r="AM19" s="62">
        <f t="shared" si="5"/>
        <v>417.7077845867945</v>
      </c>
      <c r="AN19" s="62">
        <f ca="1">AVERAGE(OFFSET($AM$3,0,0,'Données projet'!$E$10+1,1))-AVERAGE(OFFSET($H$3,0,0,'Données projet'!$E$10+1,1))</f>
        <v>390.70479111593545</v>
      </c>
      <c r="AO19" s="62">
        <f t="shared" si="36"/>
        <v>374.99493809709708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7.4</v>
      </c>
      <c r="BD19" s="13">
        <f>IF('Données projet'!$A$88&gt;35,BD18+BC19-BL18,IF(A19&lt;'Données projet'!$A$88,$BA$205^A19,IF(A19='Données projet'!$A$88,'Données projet'!$B$88,BD18+BC19-BL18)))</f>
        <v>72.400000000000006</v>
      </c>
      <c r="BE19" s="14">
        <f>BD19*VLOOKUP('Données projet'!$B$11,Paramètres!$A$1:$I$89,3,0)*VLOOKUP('Données projet'!$B$11,Paramètres!$A$1:$I$89,5,0)</f>
        <v>57.601440000000011</v>
      </c>
      <c r="BF19" s="14">
        <f t="shared" si="37"/>
        <v>16.560405420061855</v>
      </c>
      <c r="BG19" s="22">
        <f t="shared" si="7"/>
        <v>129.16521410660775</v>
      </c>
      <c r="BH19" s="62">
        <f t="shared" si="8"/>
        <v>405.38743632882995</v>
      </c>
      <c r="BI19" s="62">
        <f ca="1">AVERAGE(OFFSET($BH$3,0,0,'Données projet'!$E$11+1,1))-AVERAGE(OFFSET($H$3,0,0,'Données projet'!$E$11+1,1))</f>
        <v>359.18294335011535</v>
      </c>
      <c r="BJ19" s="62">
        <f t="shared" si="38"/>
        <v>345.47508134331241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7.4</v>
      </c>
      <c r="BY19" s="13">
        <f>IF('Données projet'!$A$114&gt;35,BY18+BX19-CG18,IF(A19&lt;'Données projet'!$A$114,$BV$205^A19,IF(A19='Données projet'!$A$114,'Données projet'!$B$114,BY18+BX19-CG18)))</f>
        <v>72.400000000000006</v>
      </c>
      <c r="BZ19" s="14">
        <f>BY19*VLOOKUP('Données projet'!$B$12,Paramètres!$A$1:$I$89,3,0)*VLOOKUP('Données projet'!$B$12,Paramètres!$A$1:$I$89,5,0)</f>
        <v>53.083680000000001</v>
      </c>
      <c r="CA19" s="14">
        <f t="shared" si="39"/>
        <v>15.407338506931149</v>
      </c>
      <c r="CB19" s="22">
        <f t="shared" si="10"/>
        <v>119.28852389957176</v>
      </c>
      <c r="CC19" s="62">
        <f t="shared" si="11"/>
        <v>395.510746121794</v>
      </c>
      <c r="CD19" s="62">
        <f ca="1">AVERAGE(OFFSET($CC$3,0,0,'Données projet'!$E$12+1,1))-AVERAGE(OFFSET($H$3,0,0,'Données projet'!$E$12+1,1))</f>
        <v>333.9187211440219</v>
      </c>
      <c r="CE19" s="62">
        <f t="shared" si="40"/>
        <v>321.81422611044997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7.4</v>
      </c>
      <c r="CT19" s="13">
        <f>IF('Données projet'!$A$140&gt;35,CT18+CS19-DB18,IF(A19&lt;'Données projet'!$A$140,$CQ$205^A19,IF(A19='Données projet'!$A$140,'Données projet'!$B$140,CT18+CS19-DB18)))</f>
        <v>72.400000000000006</v>
      </c>
      <c r="CU19" s="18">
        <f>CT19*VLOOKUP('Données projet'!$B$13,Paramètres!$A$1:$I$89,3,0)*VLOOKUP('Données projet'!$B$13,Paramètres!$A$1:$I$89,5,0)</f>
        <v>58.730880000000006</v>
      </c>
      <c r="CV19" s="14">
        <f t="shared" si="41"/>
        <v>16.846997503350572</v>
      </c>
      <c r="CW19" s="22">
        <f t="shared" si="13"/>
        <v>131.63146998500227</v>
      </c>
      <c r="CX19" s="62">
        <f t="shared" si="14"/>
        <v>407.85369220722453</v>
      </c>
      <c r="CY19" s="62">
        <f ca="1">AVERAGE(OFFSET($CX$3,0,0,'Données projet'!$E$13+1,1))-AVERAGE(OFFSET($H$3,0,0,'Données projet'!$E$13+1,1))</f>
        <v>365.492319515595</v>
      </c>
      <c r="CZ19" s="62">
        <f t="shared" si="42"/>
        <v>351.38386928091433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3.887142857142857</v>
      </c>
      <c r="DO19" s="13">
        <f>IF('Données projet'!$A$166&gt;35,DO18+DN19-DW18,IF(A19&lt;'Données projet'!$A$166,$DL$205^A19,IF(A19='Données projet'!$A$166,'Données projet'!$B$166,DO18+DN19-DW18)))</f>
        <v>62.194285714285691</v>
      </c>
      <c r="DP19" s="18">
        <f>DO19*VLOOKUP('Données projet'!$B$14,Paramètres!$A$1:$I$89,3,0)*VLOOKUP('Données projet'!$B$14,Paramètres!$A$1:$I$89,5,0)</f>
        <v>52.392466285714271</v>
      </c>
      <c r="DQ19" s="14">
        <f t="shared" si="43"/>
        <v>15.229933750866339</v>
      </c>
      <c r="DR19" s="22">
        <f t="shared" si="16"/>
        <v>117.77568006371125</v>
      </c>
      <c r="DS19" s="62">
        <f t="shared" si="17"/>
        <v>393.99790228593349</v>
      </c>
      <c r="DT19" s="62">
        <f ca="1">AVERAGE(OFFSET($DS$3,0,0,'Données projet'!$E$14+1,1))-AVERAGE(OFFSET($H$3,0,0,'Données projet'!$E$14+1,1))</f>
        <v>544.89250424794909</v>
      </c>
      <c r="DU19" s="62">
        <f t="shared" si="44"/>
        <v>253.98688498110715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3.887142857142857</v>
      </c>
      <c r="EJ19" s="13">
        <f>IF('Données projet'!$A$192&gt;35,EJ18+EI19-ER18,IF(A19&lt;'Données projet'!$A$192,$EG$205^A19,IF(A19='Données projet'!$A$192,'Données projet'!$B$192,EJ18+EI19-ER18)))</f>
        <v>62.194285714285691</v>
      </c>
      <c r="EK19" s="18">
        <f>EJ19*VLOOKUP('Données projet'!$B$15,Paramètres!$A$1:$I$89,3,0)*VLOOKUP('Données projet'!$B$15,Paramètres!$A$1:$I$89,5,0)</f>
        <v>56.273389714285692</v>
      </c>
      <c r="EL19" s="14">
        <f t="shared" si="45"/>
        <v>16.222577706752112</v>
      </c>
      <c r="EM19" s="22">
        <f t="shared" si="19"/>
        <v>126.26380992497417</v>
      </c>
      <c r="EN19" s="62">
        <f t="shared" si="20"/>
        <v>402.4860321471964</v>
      </c>
      <c r="EO19" s="62">
        <f ca="1">AVERAGE(OFFSET($EN$3,0,0,'Données projet'!$E$15+1,1))-AVERAGE(OFFSET($H$3,0,0,'Données projet'!$E$15+1,1))</f>
        <v>581.88778927327667</v>
      </c>
      <c r="EP19" s="62">
        <f t="shared" si="46"/>
        <v>269.67340993773422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3.887142857142857</v>
      </c>
      <c r="FE19" s="13">
        <f>IF('Données projet'!$A$218&gt;35,FE18+FD19-FM18,IF(A19&lt;'Données projet'!$A$218,$FB$205^A19,IF(A19='Données projet'!$A$218,'Données projet'!$B$218,FE18+FD19-FM18)))</f>
        <v>62.194285714285691</v>
      </c>
      <c r="FF19" s="18">
        <f>FE19*VLOOKUP('Données projet'!$B$16,Paramètres!$A$1:$I$89,3,0)*VLOOKUP('Données projet'!$B$16,Paramètres!$A$1:$I$89,5,0)</f>
        <v>63.065005714285689</v>
      </c>
      <c r="FG19" s="14">
        <f t="shared" si="47"/>
        <v>17.940937362438909</v>
      </c>
      <c r="FH19" s="22">
        <f t="shared" si="22"/>
        <v>141.08535085862869</v>
      </c>
      <c r="FI19" s="62">
        <f t="shared" si="23"/>
        <v>417.30757308085094</v>
      </c>
      <c r="FJ19" s="62">
        <f ca="1">AVERAGE(OFFSET($FI$3,0,0,'Données projet'!$E$16+1,1))-AVERAGE(OFFSET($H$3,0,0,'Données projet'!$E$16+1,1))</f>
        <v>646.50767193970182</v>
      </c>
      <c r="FK19" s="62">
        <f t="shared" si="48"/>
        <v>297.06786598620607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3.887142857142857</v>
      </c>
      <c r="FZ19" s="13">
        <f>IF('Données projet'!$A$244&gt;35,FZ18+FY19-GH18,IF(A19&lt;'Données projet'!$A$244,$FW$205^A19,IF(A19='Données projet'!$A$244,'Données projet'!$B$244,FZ18+FY19-GH18)))</f>
        <v>62.194285714285691</v>
      </c>
      <c r="GA19" s="18">
        <f>FZ19*VLOOKUP('Données projet'!$B$17,Paramètres!$A$1:$I$89,3,0)*VLOOKUP('Données projet'!$B$17,Paramètres!$A$1:$I$89,5,0)</f>
        <v>41.719926857142838</v>
      </c>
      <c r="GB19" s="14">
        <f t="shared" si="49"/>
        <v>12.453390755504644</v>
      </c>
      <c r="GC19" s="22">
        <f t="shared" si="25"/>
        <v>94.351861508694356</v>
      </c>
      <c r="GD19" s="62">
        <f t="shared" si="26"/>
        <v>370.57408373091658</v>
      </c>
      <c r="GE19" s="62">
        <f ca="1">AVERAGE(OFFSET($GD$3,0,0,'Données projet'!$E$17+1,1))-AVERAGE(OFFSET($H$3,0,0,'Données projet'!$E$17+1,1))</f>
        <v>442.85175349826028</v>
      </c>
      <c r="GF19" s="62">
        <f t="shared" si="50"/>
        <v>210.70697808232501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2.9</v>
      </c>
      <c r="GU19" s="13">
        <f>IF('Données projet'!$A$270&gt;35,GU18+GT19-HC18,IF(A19&lt;'Données projet'!$A$270,$GR$205^A19,IF(A19='Données projet'!$A$270,'Données projet'!$B$270,GU18+GT19-HC18)))</f>
        <v>10.824560399115153</v>
      </c>
      <c r="GV19" s="18">
        <f>GU19*VLOOKUP('Données projet'!$B$18,Paramètres!$A$1:$I$89,3,0)*VLOOKUP('Données projet'!$B$18,Paramètres!$A$1:$I$89,5,0)</f>
        <v>10.30065167579798</v>
      </c>
      <c r="GW19" s="14">
        <f t="shared" si="51"/>
        <v>3.6184228314738633</v>
      </c>
      <c r="GX19" s="22">
        <f t="shared" si="28"/>
        <v>24.242388100165126</v>
      </c>
      <c r="GY19" s="62">
        <f t="shared" si="29"/>
        <v>300.46461032238733</v>
      </c>
      <c r="GZ19" s="62">
        <f ca="1">AVERAGE(OFFSET($GY$3,0,0,'Données projet'!$E$18+1,1))-AVERAGE(OFFSET($H$3,0,0,'Données projet'!$E$18+1,1))</f>
        <v>420.2510366318939</v>
      </c>
      <c r="HA19" s="62">
        <f t="shared" si="52"/>
        <v>220.59884411514116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</row>
    <row r="20" spans="1:218" s="5" customFormat="1" x14ac:dyDescent="0.2">
      <c r="A20" s="11">
        <f t="shared" si="31"/>
        <v>17</v>
      </c>
      <c r="B20" s="74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2.9444444444444446</v>
      </c>
      <c r="N20" s="14">
        <f>IF('Données projet'!$A$36&gt;35,N19+M20-V19,IF(A20&lt;'Données projet'!$A$36,$K$205^A20,IF(A20='Données projet'!$A$36,'Données projet'!$B$36,N19+M20-V19)))</f>
        <v>42.509183739586916</v>
      </c>
      <c r="O20" s="14">
        <f>N20*VLOOKUP('Données projet'!$B$9,Paramètres!$A$1:$I$89,3,0)*VLOOKUP('Données projet'!$B$9,Paramètres!$A$1:$I$89,5,0)</f>
        <v>36.472879648565581</v>
      </c>
      <c r="P20" s="14">
        <f t="shared" si="33"/>
        <v>11.058820380291177</v>
      </c>
      <c r="Q20" s="22">
        <f t="shared" si="2"/>
        <v>82.784377550258853</v>
      </c>
      <c r="R20" s="62">
        <f t="shared" si="0"/>
        <v>360.22882199470331</v>
      </c>
      <c r="S20" s="62">
        <f ca="1">AVERAGE(OFFSET($R$3,0,0,'Données projet'!$E$9+1,1))-AVERAGE(OFFSET($H$3,0,0,'Données projet'!$E$9+1,1))</f>
        <v>623.31285537237943</v>
      </c>
      <c r="T20" s="62">
        <f t="shared" si="34"/>
        <v>462.33909258902241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7.4</v>
      </c>
      <c r="AI20" s="14">
        <f>IF('Données projet'!$A$62&gt;35,AI19+AH20-AQ19,IF(A20&lt;'Données projet'!$A$62,$AF$205^A20,IF(A20='Données projet'!$A$62,'Données projet'!$B$62,AI19+AH20-AQ19)))</f>
        <v>79.800000000000011</v>
      </c>
      <c r="AJ20" s="14">
        <f>AI20*VLOOKUP('Données projet'!$B$10,Paramètres!$A$1:$I$89,3,0)*VLOOKUP('Données projet'!$B$10,Paramètres!$A$1:$I$89,5,0)</f>
        <v>69.713280000000012</v>
      </c>
      <c r="AK20" s="14">
        <f t="shared" si="35"/>
        <v>19.602237890359675</v>
      </c>
      <c r="AL20" s="22">
        <f t="shared" si="4"/>
        <v>155.55786032570978</v>
      </c>
      <c r="AM20" s="62">
        <f t="shared" si="5"/>
        <v>433.00230477015424</v>
      </c>
      <c r="AN20" s="62">
        <f ca="1">AVERAGE(OFFSET($AM$3,0,0,'Données projet'!$E$10+1,1))-AVERAGE(OFFSET($H$3,0,0,'Données projet'!$E$10+1,1))</f>
        <v>390.70479111593545</v>
      </c>
      <c r="AO20" s="62">
        <f t="shared" si="36"/>
        <v>374.99493809709708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7.4</v>
      </c>
      <c r="BD20" s="13">
        <f>IF('Données projet'!$A$88&gt;35,BD19+BC20-BL19,IF(A20&lt;'Données projet'!$A$88,$BA$205^A20,IF(A20='Données projet'!$A$88,'Données projet'!$B$88,BD19+BC20-BL19)))</f>
        <v>79.800000000000011</v>
      </c>
      <c r="BE20" s="14">
        <f>BD20*VLOOKUP('Données projet'!$B$11,Paramètres!$A$1:$I$89,3,0)*VLOOKUP('Données projet'!$B$11,Paramètres!$A$1:$I$89,5,0)</f>
        <v>63.488880000000016</v>
      </c>
      <c r="BF20" s="14">
        <f t="shared" si="37"/>
        <v>18.047444809181368</v>
      </c>
      <c r="BG20" s="22">
        <f t="shared" si="7"/>
        <v>142.00909904265757</v>
      </c>
      <c r="BH20" s="62">
        <f t="shared" si="8"/>
        <v>419.45354348710202</v>
      </c>
      <c r="BI20" s="62">
        <f ca="1">AVERAGE(OFFSET($BH$3,0,0,'Données projet'!$E$11+1,1))-AVERAGE(OFFSET($H$3,0,0,'Données projet'!$E$11+1,1))</f>
        <v>359.18294335011535</v>
      </c>
      <c r="BJ20" s="62">
        <f t="shared" si="38"/>
        <v>345.47508134331241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7.4</v>
      </c>
      <c r="BY20" s="13">
        <f>IF('Données projet'!$A$114&gt;35,BY19+BX20-CG19,IF(A20&lt;'Données projet'!$A$114,$BV$205^A20,IF(A20='Données projet'!$A$114,'Données projet'!$B$114,BY19+BX20-CG19)))</f>
        <v>79.800000000000011</v>
      </c>
      <c r="BZ20" s="14">
        <f>BY20*VLOOKUP('Données projet'!$B$12,Paramètres!$A$1:$I$89,3,0)*VLOOKUP('Données projet'!$B$12,Paramètres!$A$1:$I$89,5,0)</f>
        <v>58.509360000000001</v>
      </c>
      <c r="CA20" s="14">
        <f t="shared" si="39"/>
        <v>16.790838406851989</v>
      </c>
      <c r="CB20" s="22">
        <f t="shared" si="10"/>
        <v>131.14784555860055</v>
      </c>
      <c r="CC20" s="62">
        <f t="shared" si="11"/>
        <v>408.59229000304504</v>
      </c>
      <c r="CD20" s="62">
        <f ca="1">AVERAGE(OFFSET($CC$3,0,0,'Données projet'!$E$12+1,1))-AVERAGE(OFFSET($H$3,0,0,'Données projet'!$E$12+1,1))</f>
        <v>333.9187211440219</v>
      </c>
      <c r="CE20" s="62">
        <f t="shared" si="40"/>
        <v>321.81422611044997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7.4</v>
      </c>
      <c r="CT20" s="13">
        <f>IF('Données projet'!$A$140&gt;35,CT19+CS20-DB19,IF(A20&lt;'Données projet'!$A$140,$CQ$205^A20,IF(A20='Données projet'!$A$140,'Données projet'!$B$140,CT19+CS20-DB19)))</f>
        <v>79.800000000000011</v>
      </c>
      <c r="CU20" s="18">
        <f>CT20*VLOOKUP('Données projet'!$B$13,Paramètres!$A$1:$I$89,3,0)*VLOOKUP('Données projet'!$B$13,Paramètres!$A$1:$I$89,5,0)</f>
        <v>64.733760000000018</v>
      </c>
      <c r="CV20" s="14">
        <f t="shared" si="41"/>
        <v>18.359771390246543</v>
      </c>
      <c r="CW20" s="22">
        <f t="shared" si="13"/>
        <v>144.72123383801275</v>
      </c>
      <c r="CX20" s="62">
        <f t="shared" si="14"/>
        <v>422.16567828245718</v>
      </c>
      <c r="CY20" s="62">
        <f ca="1">AVERAGE(OFFSET($CX$3,0,0,'Données projet'!$E$13+1,1))-AVERAGE(OFFSET($H$3,0,0,'Données projet'!$E$13+1,1))</f>
        <v>365.492319515595</v>
      </c>
      <c r="CZ20" s="62">
        <f t="shared" si="42"/>
        <v>351.38386928091433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3.887142857142857</v>
      </c>
      <c r="DO20" s="13">
        <f>IF('Données projet'!$A$166&gt;35,DO19+DN20-DW19,IF(A20&lt;'Données projet'!$A$166,$DL$205^A20,IF(A20='Données projet'!$A$166,'Données projet'!$B$166,DO19+DN20-DW19)))</f>
        <v>66.081428571428546</v>
      </c>
      <c r="DP20" s="18">
        <f>DO20*VLOOKUP('Données projet'!$B$14,Paramètres!$A$1:$I$89,3,0)*VLOOKUP('Données projet'!$B$14,Paramètres!$A$1:$I$89,5,0)</f>
        <v>55.666995428571411</v>
      </c>
      <c r="DQ20" s="14">
        <f t="shared" si="43"/>
        <v>16.068016330355185</v>
      </c>
      <c r="DR20" s="22">
        <f t="shared" si="16"/>
        <v>124.93847881346382</v>
      </c>
      <c r="DS20" s="62">
        <f t="shared" si="17"/>
        <v>402.38292325790826</v>
      </c>
      <c r="DT20" s="62">
        <f ca="1">AVERAGE(OFFSET($DS$3,0,0,'Données projet'!$E$14+1,1))-AVERAGE(OFFSET($H$3,0,0,'Données projet'!$E$14+1,1))</f>
        <v>544.89250424794909</v>
      </c>
      <c r="DU20" s="62">
        <f t="shared" si="44"/>
        <v>253.98688498110715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3.887142857142857</v>
      </c>
      <c r="EJ20" s="13">
        <f>IF('Données projet'!$A$192&gt;35,EJ19+EI20-ER19,IF(A20&lt;'Données projet'!$A$192,$EG$205^A20,IF(A20='Données projet'!$A$192,'Données projet'!$B$192,EJ19+EI20-ER19)))</f>
        <v>66.081428571428546</v>
      </c>
      <c r="EK20" s="18">
        <f>EJ20*VLOOKUP('Données projet'!$B$15,Paramètres!$A$1:$I$89,3,0)*VLOOKUP('Données projet'!$B$15,Paramètres!$A$1:$I$89,5,0)</f>
        <v>59.790476571428549</v>
      </c>
      <c r="EL20" s="14">
        <f t="shared" si="45"/>
        <v>17.115284135607041</v>
      </c>
      <c r="EM20" s="22">
        <f t="shared" si="19"/>
        <v>133.94419989808699</v>
      </c>
      <c r="EN20" s="62">
        <f t="shared" si="20"/>
        <v>411.38864434253145</v>
      </c>
      <c r="EO20" s="62">
        <f ca="1">AVERAGE(OFFSET($EN$3,0,0,'Données projet'!$E$15+1,1))-AVERAGE(OFFSET($H$3,0,0,'Données projet'!$E$15+1,1))</f>
        <v>581.88778927327667</v>
      </c>
      <c r="EP20" s="62">
        <f t="shared" si="46"/>
        <v>269.67340993773422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3.887142857142857</v>
      </c>
      <c r="FE20" s="13">
        <f>IF('Données projet'!$A$218&gt;35,FE19+FD20-FM19,IF(A20&lt;'Données projet'!$A$218,$FB$205^A20,IF(A20='Données projet'!$A$218,'Données projet'!$B$218,FE19+FD20-FM19)))</f>
        <v>66.081428571428546</v>
      </c>
      <c r="FF20" s="18">
        <f>FE20*VLOOKUP('Données projet'!$B$16,Paramètres!$A$1:$I$89,3,0)*VLOOKUP('Données projet'!$B$16,Paramètres!$A$1:$I$89,5,0)</f>
        <v>67.006568571428559</v>
      </c>
      <c r="FG20" s="14">
        <f t="shared" si="47"/>
        <v>18.928202790452044</v>
      </c>
      <c r="FH20" s="22">
        <f t="shared" si="22"/>
        <v>149.66972678860873</v>
      </c>
      <c r="FI20" s="62">
        <f t="shared" si="23"/>
        <v>427.11417123305318</v>
      </c>
      <c r="FJ20" s="62">
        <f ca="1">AVERAGE(OFFSET($FI$3,0,0,'Données projet'!$E$16+1,1))-AVERAGE(OFFSET($H$3,0,0,'Données projet'!$E$16+1,1))</f>
        <v>646.50767193970182</v>
      </c>
      <c r="FK20" s="62">
        <f t="shared" si="48"/>
        <v>297.06786598620607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3.887142857142857</v>
      </c>
      <c r="FZ20" s="13">
        <f>IF('Données projet'!$A$244&gt;35,FZ19+FY20-GH19,IF(A20&lt;'Données projet'!$A$244,$FW$205^A20,IF(A20='Données projet'!$A$244,'Données projet'!$B$244,FZ19+FY20-GH19)))</f>
        <v>66.081428571428546</v>
      </c>
      <c r="GA20" s="18">
        <f>FZ20*VLOOKUP('Données projet'!$B$17,Paramètres!$A$1:$I$89,3,0)*VLOOKUP('Données projet'!$B$17,Paramètres!$A$1:$I$89,5,0)</f>
        <v>44.32742228571427</v>
      </c>
      <c r="GB20" s="14">
        <f t="shared" si="49"/>
        <v>13.138683943149809</v>
      </c>
      <c r="GC20" s="22">
        <f t="shared" si="25"/>
        <v>100.08680168193827</v>
      </c>
      <c r="GD20" s="62">
        <f t="shared" si="26"/>
        <v>377.53124612638271</v>
      </c>
      <c r="GE20" s="62">
        <f ca="1">AVERAGE(OFFSET($GD$3,0,0,'Données projet'!$E$17+1,1))-AVERAGE(OFFSET($H$3,0,0,'Données projet'!$E$17+1,1))</f>
        <v>442.85175349826028</v>
      </c>
      <c r="GF20" s="62">
        <f t="shared" si="50"/>
        <v>210.70697808232501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2.9</v>
      </c>
      <c r="GU20" s="13">
        <f>IF('Données projet'!$A$270&gt;35,GU19+GT20-HC19,IF(A20&lt;'Données projet'!$A$270,$GR$205^A20,IF(A20='Données projet'!$A$270,'Données projet'!$B$270,GU19+GT20-HC19)))</f>
        <v>12.562061342976106</v>
      </c>
      <c r="GV20" s="18">
        <f>GU20*VLOOKUP('Données projet'!$B$18,Paramètres!$A$1:$I$89,3,0)*VLOOKUP('Données projet'!$B$18,Paramètres!$A$1:$I$89,5,0)</f>
        <v>11.954057573976064</v>
      </c>
      <c r="GW20" s="14">
        <f t="shared" si="51"/>
        <v>4.1270964849062324</v>
      </c>
      <c r="GX20" s="22">
        <f t="shared" si="28"/>
        <v>28.00800998588667</v>
      </c>
      <c r="GY20" s="62">
        <f t="shared" si="29"/>
        <v>305.4524544303311</v>
      </c>
      <c r="GZ20" s="62">
        <f ca="1">AVERAGE(OFFSET($GY$3,0,0,'Données projet'!$E$18+1,1))-AVERAGE(OFFSET($H$3,0,0,'Données projet'!$E$18+1,1))</f>
        <v>420.2510366318939</v>
      </c>
      <c r="HA20" s="62">
        <f t="shared" si="52"/>
        <v>220.59884411514116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</row>
    <row r="21" spans="1:218" s="5" customFormat="1" x14ac:dyDescent="0.2">
      <c r="A21" s="11">
        <f t="shared" si="31"/>
        <v>18</v>
      </c>
      <c r="B21" s="74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53</v>
      </c>
      <c r="L21" s="13">
        <f>VLOOKUP(A21,'Données projet'!$A$35:$I$55,9,0)</f>
        <v>2.9444444444444446</v>
      </c>
      <c r="M21" s="13">
        <f t="array" ref="M21">INDEX(L:L,MIN(IF(ISNUMBER(L21:L217),ROW(L21:L217),"")))</f>
        <v>2.9444444444444446</v>
      </c>
      <c r="N21" s="14">
        <f>IF('Données projet'!$A$36&gt;35,N20+M21-V20,IF(A21&lt;'Données projet'!$A$36,$K$205^A21,IF(A21='Données projet'!$A$36,'Données projet'!$B$36,N20+M21-V20)))</f>
        <v>53</v>
      </c>
      <c r="O21" s="14">
        <f>N21*VLOOKUP('Données projet'!$B$9,Paramètres!$A$1:$I$89,3,0)*VLOOKUP('Données projet'!$B$9,Paramètres!$A$1:$I$89,5,0)</f>
        <v>45.474000000000004</v>
      </c>
      <c r="P21" s="14">
        <f t="shared" si="33"/>
        <v>13.438524604437738</v>
      </c>
      <c r="Q21" s="22">
        <f t="shared" si="2"/>
        <v>102.60598035272905</v>
      </c>
      <c r="R21" s="62">
        <f t="shared" si="0"/>
        <v>381.27264701939572</v>
      </c>
      <c r="S21" s="62">
        <f ca="1">AVERAGE(OFFSET($R$3,0,0,'Données projet'!$E$9+1,1))-AVERAGE(OFFSET($H$3,0,0,'Données projet'!$E$9+1,1))</f>
        <v>623.31285537237943</v>
      </c>
      <c r="T21" s="62">
        <f t="shared" si="34"/>
        <v>462.33909258902241</v>
      </c>
      <c r="U21" s="16">
        <f>IF(ISNA(VLOOKUP(A21,'Données projet'!$A$35:$I$55,3,0)),0,VLOOKUP(A21,'Données projet'!$A$35:$I$55,3,0))</f>
        <v>1</v>
      </c>
      <c r="V21" s="16">
        <f>IF(ISNA(VLOOKUP(A21,'Données projet'!$A$35:$I$55,4,0)),0,VLOOKUP(A21,'Données projet'!$A$35:$I$55,4,0))</f>
        <v>2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7.4</v>
      </c>
      <c r="AI21" s="14">
        <f>IF('Données projet'!$A$62&gt;35,AI20+AH21-AQ20,IF(A21&lt;'Données projet'!$A$62,$AF$205^A21,IF(A21='Données projet'!$A$62,'Données projet'!$B$62,AI20+AH21-AQ20)))</f>
        <v>87.200000000000017</v>
      </c>
      <c r="AJ21" s="14">
        <f>AI21*VLOOKUP('Données projet'!$B$10,Paramètres!$A$1:$I$89,3,0)*VLOOKUP('Données projet'!$B$10,Paramètres!$A$1:$I$89,5,0)</f>
        <v>76.177920000000029</v>
      </c>
      <c r="AK21" s="14">
        <f t="shared" si="35"/>
        <v>21.200019808856407</v>
      </c>
      <c r="AL21" s="22">
        <f t="shared" si="4"/>
        <v>169.59991183375828</v>
      </c>
      <c r="AM21" s="62">
        <f t="shared" si="5"/>
        <v>448.266578500425</v>
      </c>
      <c r="AN21" s="62">
        <f ca="1">AVERAGE(OFFSET($AM$3,0,0,'Données projet'!$E$10+1,1))-AVERAGE(OFFSET($H$3,0,0,'Données projet'!$E$10+1,1))</f>
        <v>390.70479111593545</v>
      </c>
      <c r="AO21" s="62">
        <f t="shared" si="36"/>
        <v>374.99493809709708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7.4</v>
      </c>
      <c r="BD21" s="13">
        <f>IF('Données projet'!$A$88&gt;35,BD20+BC21-BL20,IF(A21&lt;'Données projet'!$A$88,$BA$205^A21,IF(A21='Données projet'!$A$88,'Données projet'!$B$88,BD20+BC21-BL20)))</f>
        <v>87.200000000000017</v>
      </c>
      <c r="BE21" s="14">
        <f>BD21*VLOOKUP('Données projet'!$B$11,Paramètres!$A$1:$I$89,3,0)*VLOOKUP('Données projet'!$B$11,Paramètres!$A$1:$I$89,5,0)</f>
        <v>69.376320000000021</v>
      </c>
      <c r="BF21" s="14">
        <f t="shared" si="37"/>
        <v>19.518495265382533</v>
      </c>
      <c r="BG21" s="22">
        <f t="shared" si="7"/>
        <v>154.82513658720794</v>
      </c>
      <c r="BH21" s="62">
        <f t="shared" si="8"/>
        <v>433.49180325387465</v>
      </c>
      <c r="BI21" s="62">
        <f ca="1">AVERAGE(OFFSET($BH$3,0,0,'Données projet'!$E$11+1,1))-AVERAGE(OFFSET($H$3,0,0,'Données projet'!$E$11+1,1))</f>
        <v>359.18294335011535</v>
      </c>
      <c r="BJ21" s="62">
        <f t="shared" si="38"/>
        <v>345.47508134331241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7.4</v>
      </c>
      <c r="BY21" s="13">
        <f>IF('Données projet'!$A$114&gt;35,BY20+BX21-CG20,IF(A21&lt;'Données projet'!$A$114,$BV$205^A21,IF(A21='Données projet'!$A$114,'Données projet'!$B$114,BY20+BX21-CG20)))</f>
        <v>87.200000000000017</v>
      </c>
      <c r="BZ21" s="14">
        <f>BY21*VLOOKUP('Données projet'!$B$12,Paramètres!$A$1:$I$89,3,0)*VLOOKUP('Données projet'!$B$12,Paramètres!$A$1:$I$89,5,0)</f>
        <v>63.935040000000015</v>
      </c>
      <c r="CA21" s="14">
        <f t="shared" si="39"/>
        <v>18.159462650314659</v>
      </c>
      <c r="CB21" s="22">
        <f t="shared" si="10"/>
        <v>142.98125878263136</v>
      </c>
      <c r="CC21" s="62">
        <f t="shared" si="11"/>
        <v>421.64792544929804</v>
      </c>
      <c r="CD21" s="62">
        <f ca="1">AVERAGE(OFFSET($CC$3,0,0,'Données projet'!$E$12+1,1))-AVERAGE(OFFSET($H$3,0,0,'Données projet'!$E$12+1,1))</f>
        <v>333.9187211440219</v>
      </c>
      <c r="CE21" s="62">
        <f t="shared" si="40"/>
        <v>321.81422611044997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7.4</v>
      </c>
      <c r="CT21" s="13">
        <f>IF('Données projet'!$A$140&gt;35,CT20+CS21-DB20,IF(A21&lt;'Données projet'!$A$140,$CQ$205^A21,IF(A21='Données projet'!$A$140,'Données projet'!$B$140,CT20+CS21-DB20)))</f>
        <v>87.200000000000017</v>
      </c>
      <c r="CU21" s="18">
        <f>CT21*VLOOKUP('Données projet'!$B$13,Paramètres!$A$1:$I$89,3,0)*VLOOKUP('Données projet'!$B$13,Paramètres!$A$1:$I$89,5,0)</f>
        <v>70.736640000000008</v>
      </c>
      <c r="CV21" s="14">
        <f t="shared" si="41"/>
        <v>19.856279641964903</v>
      </c>
      <c r="CW21" s="22">
        <f t="shared" si="13"/>
        <v>157.78266837642221</v>
      </c>
      <c r="CX21" s="62">
        <f t="shared" si="14"/>
        <v>436.44933504308892</v>
      </c>
      <c r="CY21" s="62">
        <f ca="1">AVERAGE(OFFSET($CX$3,0,0,'Données projet'!$E$13+1,1))-AVERAGE(OFFSET($H$3,0,0,'Données projet'!$E$13+1,1))</f>
        <v>365.492319515595</v>
      </c>
      <c r="CZ21" s="62">
        <f t="shared" si="42"/>
        <v>351.38386928091433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3.887142857142857</v>
      </c>
      <c r="DO21" s="13">
        <f>IF('Données projet'!$A$166&gt;35,DO20+DN21-DW20,IF(A21&lt;'Données projet'!$A$166,$DL$205^A21,IF(A21='Données projet'!$A$166,'Données projet'!$B$166,DO20+DN21-DW20)))</f>
        <v>69.968571428571408</v>
      </c>
      <c r="DP21" s="18">
        <f>DO21*VLOOKUP('Données projet'!$B$14,Paramètres!$A$1:$I$89,3,0)*VLOOKUP('Données projet'!$B$14,Paramètres!$A$1:$I$89,5,0)</f>
        <v>58.941524571428566</v>
      </c>
      <c r="DQ21" s="14">
        <f t="shared" si="43"/>
        <v>16.900376626852889</v>
      </c>
      <c r="DR21" s="22">
        <f t="shared" si="16"/>
        <v>132.09131125367352</v>
      </c>
      <c r="DS21" s="62">
        <f t="shared" si="17"/>
        <v>410.75797792034018</v>
      </c>
      <c r="DT21" s="62">
        <f ca="1">AVERAGE(OFFSET($DS$3,0,0,'Données projet'!$E$14+1,1))-AVERAGE(OFFSET($H$3,0,0,'Données projet'!$E$14+1,1))</f>
        <v>544.89250424794909</v>
      </c>
      <c r="DU21" s="62">
        <f t="shared" si="44"/>
        <v>253.98688498110715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3.887142857142857</v>
      </c>
      <c r="EJ21" s="13">
        <f>IF('Données projet'!$A$192&gt;35,EJ20+EI21-ER20,IF(A21&lt;'Données projet'!$A$192,$EG$205^A21,IF(A21='Données projet'!$A$192,'Données projet'!$B$192,EJ20+EI21-ER20)))</f>
        <v>69.968571428571408</v>
      </c>
      <c r="EK21" s="18">
        <f>EJ21*VLOOKUP('Données projet'!$B$15,Paramètres!$A$1:$I$89,3,0)*VLOOKUP('Données projet'!$B$15,Paramètres!$A$1:$I$89,5,0)</f>
        <v>63.307563428571406</v>
      </c>
      <c r="EL21" s="14">
        <f t="shared" si="45"/>
        <v>18.001895319269028</v>
      </c>
      <c r="EM21" s="22">
        <f t="shared" si="19"/>
        <v>141.61397398582207</v>
      </c>
      <c r="EN21" s="62">
        <f t="shared" si="20"/>
        <v>420.28064065248873</v>
      </c>
      <c r="EO21" s="62">
        <f ca="1">AVERAGE(OFFSET($EN$3,0,0,'Données projet'!$E$15+1,1))-AVERAGE(OFFSET($H$3,0,0,'Données projet'!$E$15+1,1))</f>
        <v>581.88778927327667</v>
      </c>
      <c r="EP21" s="62">
        <f t="shared" si="46"/>
        <v>269.67340993773422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3.887142857142857</v>
      </c>
      <c r="FE21" s="13">
        <f>IF('Données projet'!$A$218&gt;35,FE20+FD21-FM20,IF(A21&lt;'Données projet'!$A$218,$FB$205^A21,IF(A21='Données projet'!$A$218,'Données projet'!$B$218,FE20+FD21-FM20)))</f>
        <v>69.968571428571408</v>
      </c>
      <c r="FF21" s="18">
        <f>FE21*VLOOKUP('Données projet'!$B$16,Paramètres!$A$1:$I$89,3,0)*VLOOKUP('Données projet'!$B$16,Paramètres!$A$1:$I$89,5,0)</f>
        <v>70.948131428571415</v>
      </c>
      <c r="FG21" s="14">
        <f t="shared" si="47"/>
        <v>19.908727340770373</v>
      </c>
      <c r="FH21" s="22">
        <f t="shared" si="22"/>
        <v>158.24236235660359</v>
      </c>
      <c r="FI21" s="62">
        <f t="shared" si="23"/>
        <v>436.90902902327025</v>
      </c>
      <c r="FJ21" s="62">
        <f ca="1">AVERAGE(OFFSET($FI$3,0,0,'Données projet'!$E$16+1,1))-AVERAGE(OFFSET($H$3,0,0,'Données projet'!$E$16+1,1))</f>
        <v>646.50767193970182</v>
      </c>
      <c r="FK21" s="62">
        <f t="shared" si="48"/>
        <v>297.06786598620607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3.887142857142857</v>
      </c>
      <c r="FZ21" s="13">
        <f>IF('Données projet'!$A$244&gt;35,FZ20+FY21-GH20,IF(A21&lt;'Données projet'!$A$244,$FW$205^A21,IF(A21='Données projet'!$A$244,'Données projet'!$B$244,FZ20+FY21-GH20)))</f>
        <v>69.968571428571408</v>
      </c>
      <c r="GA21" s="18">
        <f>FZ21*VLOOKUP('Données projet'!$B$17,Paramètres!$A$1:$I$89,3,0)*VLOOKUP('Données projet'!$B$17,Paramètres!$A$1:$I$89,5,0)</f>
        <v>46.934917714285703</v>
      </c>
      <c r="GB21" s="14">
        <f t="shared" si="49"/>
        <v>13.819298067361865</v>
      </c>
      <c r="GC21" s="22">
        <f t="shared" si="25"/>
        <v>105.8135924863695</v>
      </c>
      <c r="GD21" s="62">
        <f t="shared" si="26"/>
        <v>384.48025915303617</v>
      </c>
      <c r="GE21" s="62">
        <f ca="1">AVERAGE(OFFSET($GD$3,0,0,'Données projet'!$E$17+1,1))-AVERAGE(OFFSET($H$3,0,0,'Données projet'!$E$17+1,1))</f>
        <v>442.85175349826028</v>
      </c>
      <c r="GF21" s="62">
        <f t="shared" si="50"/>
        <v>210.70697808232501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2.9</v>
      </c>
      <c r="GU21" s="13">
        <f>IF('Données projet'!$A$270&gt;35,GU20+GT21-HC20,IF(A21&lt;'Données projet'!$A$270,$GR$205^A21,IF(A21='Données projet'!$A$270,'Données projet'!$B$270,GU20+GT21-HC20)))</f>
        <v>14.578456710130636</v>
      </c>
      <c r="GV21" s="18">
        <f>GU21*VLOOKUP('Données projet'!$B$18,Paramètres!$A$1:$I$89,3,0)*VLOOKUP('Données projet'!$B$18,Paramètres!$A$1:$I$89,5,0)</f>
        <v>13.872859405360312</v>
      </c>
      <c r="GW21" s="14">
        <f t="shared" si="51"/>
        <v>4.70727888614043</v>
      </c>
      <c r="GX21" s="22">
        <f t="shared" si="28"/>
        <v>32.360407524363787</v>
      </c>
      <c r="GY21" s="62">
        <f t="shared" si="29"/>
        <v>311.02707419103047</v>
      </c>
      <c r="GZ21" s="62">
        <f ca="1">AVERAGE(OFFSET($GY$3,0,0,'Données projet'!$E$18+1,1))-AVERAGE(OFFSET($H$3,0,0,'Données projet'!$E$18+1,1))</f>
        <v>420.2510366318939</v>
      </c>
      <c r="HA21" s="62">
        <f t="shared" si="52"/>
        <v>220.59884411514116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</row>
    <row r="22" spans="1:218" s="5" customFormat="1" x14ac:dyDescent="0.2">
      <c r="A22" s="11">
        <f t="shared" si="31"/>
        <v>19</v>
      </c>
      <c r="B22" s="74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20</v>
      </c>
      <c r="N22" s="14">
        <f>IF('Données projet'!$A$36&gt;35,N21+M22-V21,IF(A22&lt;'Données projet'!$A$36,$K$205^A22,IF(A22='Données projet'!$A$36,'Données projet'!$B$36,N21+M22-V21)))</f>
        <v>71</v>
      </c>
      <c r="O22" s="14">
        <f>N22*VLOOKUP('Données projet'!$B$9,Paramètres!$A$1:$I$89,3,0)*VLOOKUP('Données projet'!$B$9,Paramètres!$A$1:$I$89,5,0)</f>
        <v>60.918000000000006</v>
      </c>
      <c r="P22" s="14">
        <f t="shared" si="33"/>
        <v>17.400162706980499</v>
      </c>
      <c r="Q22" s="22">
        <f t="shared" si="2"/>
        <v>136.40413338132439</v>
      </c>
      <c r="R22" s="62">
        <f t="shared" si="0"/>
        <v>416.29302227021321</v>
      </c>
      <c r="S22" s="62">
        <f ca="1">AVERAGE(OFFSET($R$3,0,0,'Données projet'!$E$9+1,1))-AVERAGE(OFFSET($H$3,0,0,'Données projet'!$E$9+1,1))</f>
        <v>623.31285537237943</v>
      </c>
      <c r="T22" s="62">
        <f t="shared" si="34"/>
        <v>462.33909258902241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7.4</v>
      </c>
      <c r="AI22" s="14">
        <f>IF('Données projet'!$A$62&gt;35,AI21+AH22-AQ21,IF(A22&lt;'Données projet'!$A$62,$AF$205^A22,IF(A22='Données projet'!$A$62,'Données projet'!$B$62,AI21+AH22-AQ21)))</f>
        <v>94.600000000000023</v>
      </c>
      <c r="AJ22" s="14">
        <f>AI22*VLOOKUP('Données projet'!$B$10,Paramètres!$A$1:$I$89,3,0)*VLOOKUP('Données projet'!$B$10,Paramètres!$A$1:$I$89,5,0)</f>
        <v>82.642560000000032</v>
      </c>
      <c r="AK22" s="14">
        <f t="shared" si="35"/>
        <v>22.782076653086197</v>
      </c>
      <c r="AL22" s="22">
        <f t="shared" si="4"/>
        <v>183.61457550412516</v>
      </c>
      <c r="AM22" s="62">
        <f t="shared" si="5"/>
        <v>463.50346439301404</v>
      </c>
      <c r="AN22" s="62">
        <f ca="1">AVERAGE(OFFSET($AM$3,0,0,'Données projet'!$E$10+1,1))-AVERAGE(OFFSET($H$3,0,0,'Données projet'!$E$10+1,1))</f>
        <v>390.70479111593545</v>
      </c>
      <c r="AO22" s="62">
        <f t="shared" si="36"/>
        <v>374.99493809709708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7.4</v>
      </c>
      <c r="BD22" s="13">
        <f>IF('Données projet'!$A$88&gt;35,BD21+BC22-BL21,IF(A22&lt;'Données projet'!$A$88,$BA$205^A22,IF(A22='Données projet'!$A$88,'Données projet'!$B$88,BD21+BC22-BL21)))</f>
        <v>94.600000000000023</v>
      </c>
      <c r="BE22" s="14">
        <f>BD22*VLOOKUP('Données projet'!$B$11,Paramètres!$A$1:$I$89,3,0)*VLOOKUP('Données projet'!$B$11,Paramètres!$A$1:$I$89,5,0)</f>
        <v>75.263760000000019</v>
      </c>
      <c r="BF22" s="14">
        <f t="shared" si="37"/>
        <v>20.975067914940396</v>
      </c>
      <c r="BG22" s="22">
        <f t="shared" si="7"/>
        <v>167.6159586185212</v>
      </c>
      <c r="BH22" s="62">
        <f t="shared" si="8"/>
        <v>447.50484750741009</v>
      </c>
      <c r="BI22" s="62">
        <f ca="1">AVERAGE(OFFSET($BH$3,0,0,'Données projet'!$E$11+1,1))-AVERAGE(OFFSET($H$3,0,0,'Données projet'!$E$11+1,1))</f>
        <v>359.18294335011535</v>
      </c>
      <c r="BJ22" s="62">
        <f t="shared" si="38"/>
        <v>345.47508134331241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7.4</v>
      </c>
      <c r="BY22" s="13">
        <f>IF('Données projet'!$A$114&gt;35,BY21+BX22-CG21,IF(A22&lt;'Données projet'!$A$114,$BV$205^A22,IF(A22='Données projet'!$A$114,'Données projet'!$B$114,BY21+BX22-CG21)))</f>
        <v>94.600000000000023</v>
      </c>
      <c r="BZ22" s="14">
        <f>BY22*VLOOKUP('Données projet'!$B$12,Paramètres!$A$1:$I$89,3,0)*VLOOKUP('Données projet'!$B$12,Paramètres!$A$1:$I$89,5,0)</f>
        <v>69.360720000000015</v>
      </c>
      <c r="CA22" s="14">
        <f t="shared" si="39"/>
        <v>19.514617146984691</v>
      </c>
      <c r="CB22" s="22">
        <f t="shared" si="10"/>
        <v>154.791212197665</v>
      </c>
      <c r="CC22" s="62">
        <f t="shared" si="11"/>
        <v>434.68010108655386</v>
      </c>
      <c r="CD22" s="62">
        <f ca="1">AVERAGE(OFFSET($CC$3,0,0,'Données projet'!$E$12+1,1))-AVERAGE(OFFSET($H$3,0,0,'Données projet'!$E$12+1,1))</f>
        <v>333.9187211440219</v>
      </c>
      <c r="CE22" s="62">
        <f t="shared" si="40"/>
        <v>321.81422611044997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7.4</v>
      </c>
      <c r="CT22" s="13">
        <f>IF('Données projet'!$A$140&gt;35,CT21+CS22-DB21,IF(A22&lt;'Données projet'!$A$140,$CQ$205^A22,IF(A22='Données projet'!$A$140,'Données projet'!$B$140,CT21+CS22-DB21)))</f>
        <v>94.600000000000023</v>
      </c>
      <c r="CU22" s="18">
        <f>CT22*VLOOKUP('Données projet'!$B$13,Paramètres!$A$1:$I$89,3,0)*VLOOKUP('Données projet'!$B$13,Paramètres!$A$1:$I$89,5,0)</f>
        <v>76.739520000000027</v>
      </c>
      <c r="CV22" s="14">
        <f t="shared" si="41"/>
        <v>21.338059536122735</v>
      </c>
      <c r="CW22" s="22">
        <f t="shared" si="13"/>
        <v>170.81845102541379</v>
      </c>
      <c r="CX22" s="62">
        <f t="shared" si="14"/>
        <v>450.70733991430268</v>
      </c>
      <c r="CY22" s="62">
        <f ca="1">AVERAGE(OFFSET($CX$3,0,0,'Données projet'!$E$13+1,1))-AVERAGE(OFFSET($H$3,0,0,'Données projet'!$E$13+1,1))</f>
        <v>365.492319515595</v>
      </c>
      <c r="CZ22" s="62">
        <f t="shared" si="42"/>
        <v>351.38386928091433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3.887142857142857</v>
      </c>
      <c r="DO22" s="13">
        <f>IF('Données projet'!$A$166&gt;35,DO21+DN22-DW21,IF(A22&lt;'Données projet'!$A$166,$DL$205^A22,IF(A22='Données projet'!$A$166,'Données projet'!$B$166,DO21+DN22-DW21)))</f>
        <v>73.855714285714271</v>
      </c>
      <c r="DP22" s="18">
        <f>DO22*VLOOKUP('Données projet'!$B$14,Paramètres!$A$1:$I$89,3,0)*VLOOKUP('Données projet'!$B$14,Paramètres!$A$1:$I$89,5,0)</f>
        <v>62.216053714285707</v>
      </c>
      <c r="DQ22" s="14">
        <f t="shared" si="43"/>
        <v>17.727368778192666</v>
      </c>
      <c r="DR22" s="22">
        <f t="shared" si="16"/>
        <v>139.23479417439984</v>
      </c>
      <c r="DS22" s="62">
        <f t="shared" si="17"/>
        <v>419.12368306328869</v>
      </c>
      <c r="DT22" s="62">
        <f ca="1">AVERAGE(OFFSET($DS$3,0,0,'Données projet'!$E$14+1,1))-AVERAGE(OFFSET($H$3,0,0,'Données projet'!$E$14+1,1))</f>
        <v>544.89250424794909</v>
      </c>
      <c r="DU22" s="62">
        <f t="shared" si="44"/>
        <v>253.98688498110715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3.887142857142857</v>
      </c>
      <c r="EJ22" s="13">
        <f>IF('Données projet'!$A$192&gt;35,EJ21+EI22-ER21,IF(A22&lt;'Données projet'!$A$192,$EG$205^A22,IF(A22='Données projet'!$A$192,'Données projet'!$B$192,EJ21+EI22-ER21)))</f>
        <v>73.855714285714271</v>
      </c>
      <c r="EK22" s="18">
        <f>EJ22*VLOOKUP('Données projet'!$B$15,Paramètres!$A$1:$I$89,3,0)*VLOOKUP('Données projet'!$B$15,Paramètres!$A$1:$I$89,5,0)</f>
        <v>66.82465028571427</v>
      </c>
      <c r="EL22" s="14">
        <f t="shared" si="45"/>
        <v>18.882788477272459</v>
      </c>
      <c r="EM22" s="22">
        <f t="shared" si="19"/>
        <v>149.27378917886855</v>
      </c>
      <c r="EN22" s="62">
        <f t="shared" si="20"/>
        <v>429.16267806775738</v>
      </c>
      <c r="EO22" s="62">
        <f ca="1">AVERAGE(OFFSET($EN$3,0,0,'Données projet'!$E$15+1,1))-AVERAGE(OFFSET($H$3,0,0,'Données projet'!$E$15+1,1))</f>
        <v>581.88778927327667</v>
      </c>
      <c r="EP22" s="62">
        <f t="shared" si="46"/>
        <v>269.67340993773422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3.887142857142857</v>
      </c>
      <c r="FE22" s="13">
        <f>IF('Données projet'!$A$218&gt;35,FE21+FD22-FM21,IF(A22&lt;'Données projet'!$A$218,$FB$205^A22,IF(A22='Données projet'!$A$218,'Données projet'!$B$218,FE21+FD22-FM21)))</f>
        <v>73.855714285714271</v>
      </c>
      <c r="FF22" s="18">
        <f>FE22*VLOOKUP('Données projet'!$B$16,Paramètres!$A$1:$I$89,3,0)*VLOOKUP('Données projet'!$B$16,Paramètres!$A$1:$I$89,5,0)</f>
        <v>74.889694285714285</v>
      </c>
      <c r="FG22" s="14">
        <f t="shared" si="47"/>
        <v>20.882928189514811</v>
      </c>
      <c r="FH22" s="22">
        <f t="shared" si="22"/>
        <v>166.80398414435732</v>
      </c>
      <c r="FI22" s="62">
        <f t="shared" si="23"/>
        <v>446.6928730332462</v>
      </c>
      <c r="FJ22" s="62">
        <f ca="1">AVERAGE(OFFSET($FI$3,0,0,'Données projet'!$E$16+1,1))-AVERAGE(OFFSET($H$3,0,0,'Données projet'!$E$16+1,1))</f>
        <v>646.50767193970182</v>
      </c>
      <c r="FK22" s="62">
        <f t="shared" si="48"/>
        <v>297.06786598620607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3.887142857142857</v>
      </c>
      <c r="FZ22" s="13">
        <f>IF('Données projet'!$A$244&gt;35,FZ21+FY22-GH21,IF(A22&lt;'Données projet'!$A$244,$FW$205^A22,IF(A22='Données projet'!$A$244,'Données projet'!$B$244,FZ21+FY22-GH21)))</f>
        <v>73.855714285714271</v>
      </c>
      <c r="GA22" s="18">
        <f>FZ22*VLOOKUP('Données projet'!$B$17,Paramètres!$A$1:$I$89,3,0)*VLOOKUP('Données projet'!$B$17,Paramètres!$A$1:$I$89,5,0)</f>
        <v>49.542413142857136</v>
      </c>
      <c r="GB22" s="14">
        <f t="shared" si="49"/>
        <v>14.495522703715517</v>
      </c>
      <c r="GC22" s="22">
        <f t="shared" si="25"/>
        <v>111.53273826611404</v>
      </c>
      <c r="GD22" s="62">
        <f t="shared" si="26"/>
        <v>391.42162715500291</v>
      </c>
      <c r="GE22" s="62">
        <f ca="1">AVERAGE(OFFSET($GD$3,0,0,'Données projet'!$E$17+1,1))-AVERAGE(OFFSET($H$3,0,0,'Données projet'!$E$17+1,1))</f>
        <v>442.85175349826028</v>
      </c>
      <c r="GF22" s="62">
        <f t="shared" si="50"/>
        <v>210.70697808232501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2.9</v>
      </c>
      <c r="GU22" s="13">
        <f>IF('Données projet'!$A$270&gt;35,GU21+GT22-HC21,IF(A22&lt;'Données projet'!$A$270,$GR$205^A22,IF(A22='Données projet'!$A$270,'Données projet'!$B$270,GU21+GT22-HC21)))</f>
        <v>16.91851315214177</v>
      </c>
      <c r="GV22" s="18">
        <f>GU22*VLOOKUP('Données projet'!$B$18,Paramètres!$A$1:$I$89,3,0)*VLOOKUP('Données projet'!$B$18,Paramètres!$A$1:$I$89,5,0)</f>
        <v>16.099657115578108</v>
      </c>
      <c r="GW22" s="14">
        <f t="shared" si="51"/>
        <v>5.3690226513827009</v>
      </c>
      <c r="GX22" s="22">
        <f t="shared" si="28"/>
        <v>37.391283927456733</v>
      </c>
      <c r="GY22" s="62">
        <f t="shared" si="29"/>
        <v>317.28017281634561</v>
      </c>
      <c r="GZ22" s="62">
        <f ca="1">AVERAGE(OFFSET($GY$3,0,0,'Données projet'!$E$18+1,1))-AVERAGE(OFFSET($H$3,0,0,'Données projet'!$E$18+1,1))</f>
        <v>420.2510366318939</v>
      </c>
      <c r="HA22" s="62">
        <f t="shared" si="52"/>
        <v>220.59884411514116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</row>
    <row r="23" spans="1:218" s="5" customFormat="1" x14ac:dyDescent="0.2">
      <c r="A23" s="11">
        <f t="shared" si="31"/>
        <v>20</v>
      </c>
      <c r="B23" s="74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20</v>
      </c>
      <c r="N23" s="14">
        <f>IF('Données projet'!$A$36&gt;35,N22+M23-V22,IF(A23&lt;'Données projet'!$A$36,$K$205^A23,IF(A23='Données projet'!$A$36,'Données projet'!$B$36,N22+M23-V22)))</f>
        <v>91</v>
      </c>
      <c r="O23" s="14">
        <f>N23*VLOOKUP('Données projet'!$B$9,Paramètres!$A$1:$I$89,3,0)*VLOOKUP('Données projet'!$B$9,Paramètres!$A$1:$I$89,5,0)</f>
        <v>78.078000000000003</v>
      </c>
      <c r="P23" s="14">
        <f t="shared" si="33"/>
        <v>21.666582091642084</v>
      </c>
      <c r="Q23" s="22">
        <f t="shared" si="2"/>
        <v>173.72181380960993</v>
      </c>
      <c r="R23" s="62">
        <f t="shared" si="0"/>
        <v>454.8329249207211</v>
      </c>
      <c r="S23" s="62">
        <f ca="1">AVERAGE(OFFSET($R$3,0,0,'Données projet'!$E$9+1,1))-AVERAGE(OFFSET($H$3,0,0,'Données projet'!$E$9+1,1))</f>
        <v>623.31285537237943</v>
      </c>
      <c r="T23" s="62">
        <f t="shared" si="34"/>
        <v>462.33909258902241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5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102</v>
      </c>
      <c r="AG23" s="13">
        <f>VLOOKUP(A23,'Données projet'!$A$61:$I$81,9,0)</f>
        <v>7.4</v>
      </c>
      <c r="AH23" s="13">
        <f t="array" ref="AH23">INDEX(AG:AG,MIN(IF(ISNUMBER(AG23:AG219),ROW(AG23:AG219),"")))</f>
        <v>7.4</v>
      </c>
      <c r="AI23" s="14">
        <f>IF('Données projet'!$A$62&gt;35,AI22+AH23-AQ22,IF(A23&lt;'Données projet'!$A$62,$AF$205^A23,IF(A23='Données projet'!$A$62,'Données projet'!$B$62,AI22+AH23-AQ22)))</f>
        <v>102.00000000000003</v>
      </c>
      <c r="AJ23" s="14">
        <f>AI23*VLOOKUP('Données projet'!$B$10,Paramètres!$A$1:$I$89,3,0)*VLOOKUP('Données projet'!$B$10,Paramètres!$A$1:$I$89,5,0)</f>
        <v>89.107200000000034</v>
      </c>
      <c r="AK23" s="14">
        <f t="shared" si="35"/>
        <v>24.349778356363352</v>
      </c>
      <c r="AL23" s="22">
        <f t="shared" si="4"/>
        <v>197.60423730399955</v>
      </c>
      <c r="AM23" s="62">
        <f t="shared" si="5"/>
        <v>478.71534841511072</v>
      </c>
      <c r="AN23" s="62">
        <f ca="1">AVERAGE(OFFSET($AM$3,0,0,'Données projet'!$E$10+1,1))-AVERAGE(OFFSET($H$3,0,0,'Données projet'!$E$10+1,1))</f>
        <v>390.70479111593545</v>
      </c>
      <c r="AO23" s="62">
        <f t="shared" si="36"/>
        <v>374.99493809709708</v>
      </c>
      <c r="AP23" s="16">
        <f>IF(ISNA(VLOOKUP(A23,'Données projet'!$A$61:$I$81,3,0)),0,VLOOKUP(A23,'Données projet'!$A$61:$I$81,3,0))</f>
        <v>3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0.10600000000000001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102</v>
      </c>
      <c r="BB23" s="13">
        <f>VLOOKUP(A23,'Données projet'!$A$87:$I$107,9,0)</f>
        <v>7.4</v>
      </c>
      <c r="BC23" s="13">
        <f t="array" ref="BC23">INDEX(BB:BB,MIN(IF(ISNUMBER(BB23:BB219),ROW(BB23:BB219),"")))</f>
        <v>7.4</v>
      </c>
      <c r="BD23" s="13">
        <f>IF('Données projet'!$A$88&gt;35,BD22+BC23-BL22,IF(A23&lt;'Données projet'!$A$88,$BA$205^A23,IF(A23='Données projet'!$A$88,'Données projet'!$B$88,BD22+BC23-BL22)))</f>
        <v>102.00000000000003</v>
      </c>
      <c r="BE23" s="14">
        <f>BD23*VLOOKUP('Données projet'!$B$11,Paramètres!$A$1:$I$89,3,0)*VLOOKUP('Données projet'!$B$11,Paramètres!$A$1:$I$89,5,0)</f>
        <v>81.151200000000031</v>
      </c>
      <c r="BF23" s="14">
        <f t="shared" si="37"/>
        <v>22.418424032002342</v>
      </c>
      <c r="BG23" s="22">
        <f t="shared" si="7"/>
        <v>180.38376185573745</v>
      </c>
      <c r="BH23" s="62">
        <f t="shared" si="8"/>
        <v>461.49487296684856</v>
      </c>
      <c r="BI23" s="62">
        <f ca="1">AVERAGE(OFFSET($BH$3,0,0,'Données projet'!$E$11+1,1))-AVERAGE(OFFSET($H$3,0,0,'Données projet'!$E$11+1,1))</f>
        <v>359.18294335011535</v>
      </c>
      <c r="BJ23" s="62">
        <f t="shared" si="38"/>
        <v>345.47508134331241</v>
      </c>
      <c r="BK23" s="16">
        <f>IF(ISNA(VLOOKUP(A23,'Données projet'!$A$87:$I$107,3,0)),0,VLOOKUP(A23,'Données projet'!$A$87:$I$107,3,0))</f>
        <v>3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0.10600000000000001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102</v>
      </c>
      <c r="BW23" s="13">
        <f>VLOOKUP(A23,'Données projet'!$A$113:$I$133,9,0)</f>
        <v>7.4</v>
      </c>
      <c r="BX23" s="13">
        <f t="array" ref="BX23">INDEX(BW:BW,MIN(IF(ISNUMBER(BW23:BW219),ROW(BW23:BW219),"")))</f>
        <v>7.4</v>
      </c>
      <c r="BY23" s="13">
        <f>IF('Données projet'!$A$114&gt;35,BY22+BX23-CG22,IF(A23&lt;'Données projet'!$A$114,$BV$205^A23,IF(A23='Données projet'!$A$114,'Données projet'!$B$114,BY22+BX23-CG22)))</f>
        <v>102.00000000000003</v>
      </c>
      <c r="BZ23" s="14">
        <f>BY23*VLOOKUP('Données projet'!$B$12,Paramètres!$A$1:$I$89,3,0)*VLOOKUP('Données projet'!$B$12,Paramètres!$A$1:$I$89,5,0)</f>
        <v>74.786400000000015</v>
      </c>
      <c r="CA23" s="14">
        <f t="shared" si="39"/>
        <v>20.857475351088969</v>
      </c>
      <c r="CB23" s="22">
        <f t="shared" si="10"/>
        <v>166.57974956981332</v>
      </c>
      <c r="CC23" s="62">
        <f t="shared" si="11"/>
        <v>447.69086068092446</v>
      </c>
      <c r="CD23" s="62">
        <f ca="1">AVERAGE(OFFSET($CC$3,0,0,'Données projet'!$E$12+1,1))-AVERAGE(OFFSET($H$3,0,0,'Données projet'!$E$12+1,1))</f>
        <v>333.9187211440219</v>
      </c>
      <c r="CE23" s="62">
        <f t="shared" si="40"/>
        <v>321.81422611044997</v>
      </c>
      <c r="CF23" s="16">
        <f>IF(ISNA(VLOOKUP(A23,'Données projet'!$A$113:$I$133,3,0)),0,VLOOKUP(A23,'Données projet'!$A$113:$I$133,3,0))</f>
        <v>3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8.6000000000000007E-2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102</v>
      </c>
      <c r="CR23" s="13">
        <f>VLOOKUP(A23,'Données projet'!$A$139:$I$159,9,0)</f>
        <v>7.4</v>
      </c>
      <c r="CS23" s="13">
        <f t="array" ref="CS23">INDEX(CR:CR,MIN(IF(ISNUMBER(CR23:CR219),ROW(CR23:CR219),"")))</f>
        <v>7.4</v>
      </c>
      <c r="CT23" s="13">
        <f>IF('Données projet'!$A$140&gt;35,CT22+CS23-DB22,IF(A23&lt;'Données projet'!$A$140,$CQ$205^A23,IF(A23='Données projet'!$A$140,'Données projet'!$B$140,CT22+CS23-DB22)))</f>
        <v>102.00000000000003</v>
      </c>
      <c r="CU23" s="18">
        <f>CT23*VLOOKUP('Données projet'!$B$13,Paramètres!$A$1:$I$89,3,0)*VLOOKUP('Données projet'!$B$13,Paramètres!$A$1:$I$89,5,0)</f>
        <v>82.742400000000018</v>
      </c>
      <c r="CV23" s="14">
        <f t="shared" si="41"/>
        <v>22.806394174303204</v>
      </c>
      <c r="CW23" s="22">
        <f t="shared" si="13"/>
        <v>183.83081652024478</v>
      </c>
      <c r="CX23" s="62">
        <f t="shared" si="14"/>
        <v>464.94192763135595</v>
      </c>
      <c r="CY23" s="62">
        <f ca="1">AVERAGE(OFFSET($CX$3,0,0,'Données projet'!$E$13+1,1))-AVERAGE(OFFSET($H$3,0,0,'Données projet'!$E$13+1,1))</f>
        <v>365.492319515595</v>
      </c>
      <c r="CZ23" s="62">
        <f t="shared" si="42"/>
        <v>351.38386928091433</v>
      </c>
      <c r="DA23" s="16">
        <f>IF(ISNA(VLOOKUP(A23,'Données projet'!$A$139:$I$159,3,0)),0,VLOOKUP(A23,'Données projet'!$A$139:$I$159,3,0))</f>
        <v>3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8.6000000000000007E-2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3.887142857142857</v>
      </c>
      <c r="DO23" s="13">
        <f>IF('Données projet'!$A$166&gt;35,DO22+DN23-DW22,IF(A23&lt;'Données projet'!$A$166,$DL$205^A23,IF(A23='Données projet'!$A$166,'Données projet'!$B$166,DO22+DN23-DW22)))</f>
        <v>77.742857142857133</v>
      </c>
      <c r="DP23" s="18">
        <f>DO23*VLOOKUP('Données projet'!$B$14,Paramètres!$A$1:$I$89,3,0)*VLOOKUP('Données projet'!$B$14,Paramètres!$A$1:$I$89,5,0)</f>
        <v>65.490582857142854</v>
      </c>
      <c r="DQ23" s="14">
        <f t="shared" si="43"/>
        <v>18.549307539108288</v>
      </c>
      <c r="DR23" s="22">
        <f t="shared" si="16"/>
        <v>146.36947577347073</v>
      </c>
      <c r="DS23" s="62">
        <f t="shared" si="17"/>
        <v>427.48058688458184</v>
      </c>
      <c r="DT23" s="62">
        <f ca="1">AVERAGE(OFFSET($DS$3,0,0,'Données projet'!$E$14+1,1))-AVERAGE(OFFSET($H$3,0,0,'Données projet'!$E$14+1,1))</f>
        <v>544.89250424794909</v>
      </c>
      <c r="DU23" s="62">
        <f t="shared" si="44"/>
        <v>253.98688498110715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3.887142857142857</v>
      </c>
      <c r="EJ23" s="13">
        <f>IF('Données projet'!$A$192&gt;35,EJ22+EI23-ER22,IF(A23&lt;'Données projet'!$A$192,$EG$205^A23,IF(A23='Données projet'!$A$192,'Données projet'!$B$192,EJ22+EI23-ER22)))</f>
        <v>77.742857142857133</v>
      </c>
      <c r="EK23" s="18">
        <f>EJ23*VLOOKUP('Données projet'!$B$15,Paramètres!$A$1:$I$89,3,0)*VLOOKUP('Données projet'!$B$15,Paramètres!$A$1:$I$89,5,0)</f>
        <v>70.341737142857127</v>
      </c>
      <c r="EL23" s="14">
        <f t="shared" si="45"/>
        <v>19.758298879173367</v>
      </c>
      <c r="EM23" s="22">
        <f t="shared" si="19"/>
        <v>156.92422940503644</v>
      </c>
      <c r="EN23" s="62">
        <f t="shared" si="20"/>
        <v>438.03534051614758</v>
      </c>
      <c r="EO23" s="62">
        <f ca="1">AVERAGE(OFFSET($EN$3,0,0,'Données projet'!$E$15+1,1))-AVERAGE(OFFSET($H$3,0,0,'Données projet'!$E$15+1,1))</f>
        <v>581.88778927327667</v>
      </c>
      <c r="EP23" s="62">
        <f t="shared" si="46"/>
        <v>269.67340993773422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3.887142857142857</v>
      </c>
      <c r="FE23" s="13">
        <f>IF('Données projet'!$A$218&gt;35,FE22+FD23-FM22,IF(A23&lt;'Données projet'!$A$218,$FB$205^A23,IF(A23='Données projet'!$A$218,'Données projet'!$B$218,FE22+FD23-FM22)))</f>
        <v>77.742857142857133</v>
      </c>
      <c r="FF23" s="18">
        <f>FE23*VLOOKUP('Données projet'!$B$16,Paramètres!$A$1:$I$89,3,0)*VLOOKUP('Données projet'!$B$16,Paramètres!$A$1:$I$89,5,0)</f>
        <v>78.83125714285714</v>
      </c>
      <c r="FG23" s="14">
        <f t="shared" si="47"/>
        <v>21.851176119320101</v>
      </c>
      <c r="FH23" s="22">
        <f t="shared" si="22"/>
        <v>175.35523793162534</v>
      </c>
      <c r="FI23" s="62">
        <f t="shared" si="23"/>
        <v>456.46634904273651</v>
      </c>
      <c r="FJ23" s="62">
        <f ca="1">AVERAGE(OFFSET($FI$3,0,0,'Données projet'!$E$16+1,1))-AVERAGE(OFFSET($H$3,0,0,'Données projet'!$E$16+1,1))</f>
        <v>646.50767193970182</v>
      </c>
      <c r="FK23" s="62">
        <f t="shared" si="48"/>
        <v>297.06786598620607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3.887142857142857</v>
      </c>
      <c r="FZ23" s="13">
        <f>IF('Données projet'!$A$244&gt;35,FZ22+FY23-GH22,IF(A23&lt;'Données projet'!$A$244,$FW$205^A23,IF(A23='Données projet'!$A$244,'Données projet'!$B$244,FZ22+FY23-GH22)))</f>
        <v>77.742857142857133</v>
      </c>
      <c r="GA23" s="18">
        <f>FZ23*VLOOKUP('Données projet'!$B$17,Paramètres!$A$1:$I$89,3,0)*VLOOKUP('Données projet'!$B$17,Paramètres!$A$1:$I$89,5,0)</f>
        <v>52.149908571428568</v>
      </c>
      <c r="GB23" s="14">
        <f t="shared" si="49"/>
        <v>15.167615224551032</v>
      </c>
      <c r="GC23" s="22">
        <f t="shared" si="25"/>
        <v>117.2446872779978</v>
      </c>
      <c r="GD23" s="62">
        <f t="shared" si="26"/>
        <v>398.35579838910894</v>
      </c>
      <c r="GE23" s="62">
        <f ca="1">AVERAGE(OFFSET($GD$3,0,0,'Données projet'!$E$17+1,1))-AVERAGE(OFFSET($H$3,0,0,'Données projet'!$E$17+1,1))</f>
        <v>442.85175349826028</v>
      </c>
      <c r="GF23" s="62">
        <f t="shared" si="50"/>
        <v>210.70697808232501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2.9</v>
      </c>
      <c r="GU23" s="13">
        <f>IF('Données projet'!$A$270&gt;35,GU22+GT23-HC22,IF(A23&lt;'Données projet'!$A$270,$GR$205^A23,IF(A23='Données projet'!$A$270,'Données projet'!$B$270,GU22+GT23-HC22)))</f>
        <v>19.634183025716794</v>
      </c>
      <c r="GV23" s="18">
        <f>GU23*VLOOKUP('Données projet'!$B$18,Paramètres!$A$1:$I$89,3,0)*VLOOKUP('Données projet'!$B$18,Paramètres!$A$1:$I$89,5,0)</f>
        <v>18.683888567272103</v>
      </c>
      <c r="GW23" s="14">
        <f t="shared" si="51"/>
        <v>6.1237935818788376</v>
      </c>
      <c r="GX23" s="22">
        <f t="shared" si="28"/>
        <v>43.206713076437893</v>
      </c>
      <c r="GY23" s="62">
        <f t="shared" si="29"/>
        <v>324.31782418754904</v>
      </c>
      <c r="GZ23" s="62">
        <f ca="1">AVERAGE(OFFSET($GY$3,0,0,'Données projet'!$E$18+1,1))-AVERAGE(OFFSET($H$3,0,0,'Données projet'!$E$18+1,1))</f>
        <v>420.2510366318939</v>
      </c>
      <c r="HA23" s="62">
        <f t="shared" si="52"/>
        <v>220.59884411514116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</row>
    <row r="24" spans="1:218" s="5" customFormat="1" x14ac:dyDescent="0.2">
      <c r="A24" s="11">
        <f t="shared" si="31"/>
        <v>21</v>
      </c>
      <c r="B24" s="74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>
        <f>VLOOKUP(A24,'Données projet'!$A$35:$I$55,2,0)</f>
        <v>111</v>
      </c>
      <c r="L24" s="13">
        <f>VLOOKUP(A24,'Données projet'!$A$35:$I$55,9,0)</f>
        <v>20</v>
      </c>
      <c r="M24" s="13">
        <f t="array" ref="M24">INDEX(L:L,MIN(IF(ISNUMBER(L24:L220),ROW(L24:L220),"")))</f>
        <v>20</v>
      </c>
      <c r="N24" s="14">
        <f>IF('Données projet'!$A$36&gt;35,N23+M24-V23,IF(A24&lt;'Données projet'!$A$36,$K$205^A24,IF(A24='Données projet'!$A$36,'Données projet'!$B$36,N23+M24-V23)))</f>
        <v>111</v>
      </c>
      <c r="O24" s="14">
        <f>N24*VLOOKUP('Données projet'!$B$9,Paramètres!$A$1:$I$89,3,0)*VLOOKUP('Données projet'!$B$9,Paramètres!$A$1:$I$89,5,0)</f>
        <v>95.238000000000014</v>
      </c>
      <c r="P24" s="14">
        <f t="shared" si="33"/>
        <v>25.824315354051141</v>
      </c>
      <c r="Q24" s="22">
        <f t="shared" si="2"/>
        <v>210.85019924163907</v>
      </c>
      <c r="R24" s="62">
        <f t="shared" si="0"/>
        <v>493.18353257497239</v>
      </c>
      <c r="S24" s="62">
        <f ca="1">AVERAGE(OFFSET($R$3,0,0,'Données projet'!$E$9+1,1))-AVERAGE(OFFSET($H$3,0,0,'Données projet'!$E$9+1,1))</f>
        <v>623.31285537237943</v>
      </c>
      <c r="T24" s="62">
        <f t="shared" si="34"/>
        <v>462.33909258902241</v>
      </c>
      <c r="U24" s="16">
        <f>IF(ISNA(VLOOKUP(A24,'Données projet'!$A$35:$I$55,3,0)),0,VLOOKUP(A24,'Données projet'!$A$35:$I$55,3,0))</f>
        <v>2</v>
      </c>
      <c r="V24" s="16">
        <f>IF(ISNA(VLOOKUP(A24,'Données projet'!$A$35:$I$55,4,0)),0,VLOOKUP(A24,'Données projet'!$A$35:$I$55,4,0))</f>
        <v>8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7.8</v>
      </c>
      <c r="AI24" s="14">
        <f>IF('Données projet'!$A$62&gt;35,AI23+AH24-AQ23,IF(A24&lt;'Données projet'!$A$62,$AF$205^A24,IF(A24='Données projet'!$A$62,'Données projet'!$B$62,AI23+AH24-AQ23)))</f>
        <v>109.80000000000003</v>
      </c>
      <c r="AJ24" s="14">
        <f>AI24*VLOOKUP('Données projet'!$B$10,Paramètres!$A$1:$I$89,3,0)*VLOOKUP('Données projet'!$B$10,Paramètres!$A$1:$I$89,5,0)</f>
        <v>95.921280000000039</v>
      </c>
      <c r="AK24" s="14">
        <f t="shared" si="35"/>
        <v>25.98795633328076</v>
      </c>
      <c r="AL24" s="22">
        <f t="shared" si="4"/>
        <v>212.32525328046407</v>
      </c>
      <c r="AM24" s="62">
        <f t="shared" si="5"/>
        <v>494.65858661379741</v>
      </c>
      <c r="AN24" s="62">
        <f ca="1">AVERAGE(OFFSET($AM$3,0,0,'Données projet'!$E$10+1,1))-AVERAGE(OFFSET($H$3,0,0,'Données projet'!$E$10+1,1))</f>
        <v>390.70479111593545</v>
      </c>
      <c r="AO24" s="62">
        <f t="shared" si="36"/>
        <v>374.99493809709708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7.8</v>
      </c>
      <c r="BD24" s="13">
        <f>IF('Données projet'!$A$88&gt;35,BD23+BC24-BL23,IF(A24&lt;'Données projet'!$A$88,$BA$205^A24,IF(A24='Données projet'!$A$88,'Données projet'!$B$88,BD23+BC24-BL23)))</f>
        <v>109.80000000000003</v>
      </c>
      <c r="BE24" s="14">
        <f>BD24*VLOOKUP('Données projet'!$B$11,Paramètres!$A$1:$I$89,3,0)*VLOOKUP('Données projet'!$B$11,Paramètres!$A$1:$I$89,5,0)</f>
        <v>87.356880000000018</v>
      </c>
      <c r="BF24" s="14">
        <f t="shared" si="37"/>
        <v>23.926666447556997</v>
      </c>
      <c r="BG24" s="22">
        <f t="shared" si="7"/>
        <v>193.81884339616178</v>
      </c>
      <c r="BH24" s="62">
        <f t="shared" si="8"/>
        <v>476.15217672949507</v>
      </c>
      <c r="BI24" s="62">
        <f ca="1">AVERAGE(OFFSET($BH$3,0,0,'Données projet'!$E$11+1,1))-AVERAGE(OFFSET($H$3,0,0,'Données projet'!$E$11+1,1))</f>
        <v>359.18294335011535</v>
      </c>
      <c r="BJ24" s="62">
        <f t="shared" si="38"/>
        <v>345.47508134331241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7.8</v>
      </c>
      <c r="BY24" s="13">
        <f>IF('Données projet'!$A$114&gt;35,BY23+BX24-CG23,IF(A24&lt;'Données projet'!$A$114,$BV$205^A24,IF(A24='Données projet'!$A$114,'Données projet'!$B$114,BY23+BX24-CG23)))</f>
        <v>109.80000000000003</v>
      </c>
      <c r="BZ24" s="14">
        <f>BY24*VLOOKUP('Données projet'!$B$12,Paramètres!$A$1:$I$89,3,0)*VLOOKUP('Données projet'!$B$12,Paramètres!$A$1:$I$89,5,0)</f>
        <v>80.50536000000001</v>
      </c>
      <c r="CA24" s="14">
        <f t="shared" si="39"/>
        <v>22.260701954394872</v>
      </c>
      <c r="CB24" s="22">
        <f t="shared" si="10"/>
        <v>178.98422457057109</v>
      </c>
      <c r="CC24" s="62">
        <f t="shared" si="11"/>
        <v>461.3175579039044</v>
      </c>
      <c r="CD24" s="62">
        <f ca="1">AVERAGE(OFFSET($CC$3,0,0,'Données projet'!$E$12+1,1))-AVERAGE(OFFSET($H$3,0,0,'Données projet'!$E$12+1,1))</f>
        <v>333.9187211440219</v>
      </c>
      <c r="CE24" s="62">
        <f t="shared" si="40"/>
        <v>321.81422611044997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7.8</v>
      </c>
      <c r="CT24" s="13">
        <f>IF('Données projet'!$A$140&gt;35,CT23+CS24-DB23,IF(A24&lt;'Données projet'!$A$140,$CQ$205^A24,IF(A24='Données projet'!$A$140,'Données projet'!$B$140,CT23+CS24-DB23)))</f>
        <v>109.80000000000003</v>
      </c>
      <c r="CU24" s="18">
        <f>CT24*VLOOKUP('Données projet'!$B$13,Paramètres!$A$1:$I$89,3,0)*VLOOKUP('Données projet'!$B$13,Paramètres!$A$1:$I$89,5,0)</f>
        <v>89.069760000000031</v>
      </c>
      <c r="CV24" s="14">
        <f t="shared" si="41"/>
        <v>24.340738024274106</v>
      </c>
      <c r="CW24" s="22">
        <f t="shared" si="13"/>
        <v>197.52328405894411</v>
      </c>
      <c r="CX24" s="62">
        <f t="shared" si="14"/>
        <v>479.85661739227743</v>
      </c>
      <c r="CY24" s="62">
        <f ca="1">AVERAGE(OFFSET($CX$3,0,0,'Données projet'!$E$13+1,1))-AVERAGE(OFFSET($H$3,0,0,'Données projet'!$E$13+1,1))</f>
        <v>365.492319515595</v>
      </c>
      <c r="CZ24" s="62">
        <f t="shared" si="42"/>
        <v>351.38386928091433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3.887142857142857</v>
      </c>
      <c r="DO24" s="13">
        <f>IF('Données projet'!$A$166&gt;35,DO23+DN24-DW23,IF(A24&lt;'Données projet'!$A$166,$DL$205^A24,IF(A24='Données projet'!$A$166,'Données projet'!$B$166,DO23+DN24-DW23)))</f>
        <v>81.63</v>
      </c>
      <c r="DP24" s="18">
        <f>DO24*VLOOKUP('Données projet'!$B$14,Paramètres!$A$1:$I$89,3,0)*VLOOKUP('Données projet'!$B$14,Paramètres!$A$1:$I$89,5,0)</f>
        <v>68.765112000000002</v>
      </c>
      <c r="DQ24" s="14">
        <f t="shared" si="43"/>
        <v>19.366474410826573</v>
      </c>
      <c r="DR24" s="22">
        <f t="shared" si="16"/>
        <v>153.49584633218961</v>
      </c>
      <c r="DS24" s="62">
        <f t="shared" si="17"/>
        <v>435.82917966552293</v>
      </c>
      <c r="DT24" s="62">
        <f ca="1">AVERAGE(OFFSET($DS$3,0,0,'Données projet'!$E$14+1,1))-AVERAGE(OFFSET($H$3,0,0,'Données projet'!$E$14+1,1))</f>
        <v>544.89250424794909</v>
      </c>
      <c r="DU24" s="62">
        <f t="shared" si="44"/>
        <v>253.98688498110715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3.887142857142857</v>
      </c>
      <c r="EJ24" s="13">
        <f>IF('Données projet'!$A$192&gt;35,EJ23+EI24-ER23,IF(A24&lt;'Données projet'!$A$192,$EG$205^A24,IF(A24='Données projet'!$A$192,'Données projet'!$B$192,EJ23+EI24-ER23)))</f>
        <v>81.63</v>
      </c>
      <c r="EK24" s="18">
        <f>EJ24*VLOOKUP('Données projet'!$B$15,Paramètres!$A$1:$I$89,3,0)*VLOOKUP('Données projet'!$B$15,Paramètres!$A$1:$I$89,5,0)</f>
        <v>73.858823999999984</v>
      </c>
      <c r="EL24" s="14">
        <f t="shared" si="45"/>
        <v>20.628726373651425</v>
      </c>
      <c r="EM24" s="22">
        <f t="shared" si="19"/>
        <v>164.56581690077618</v>
      </c>
      <c r="EN24" s="62">
        <f t="shared" si="20"/>
        <v>446.89915023410947</v>
      </c>
      <c r="EO24" s="62">
        <f ca="1">AVERAGE(OFFSET($EN$3,0,0,'Données projet'!$E$15+1,1))-AVERAGE(OFFSET($H$3,0,0,'Données projet'!$E$15+1,1))</f>
        <v>581.88778927327667</v>
      </c>
      <c r="EP24" s="62">
        <f t="shared" si="46"/>
        <v>269.67340993773422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3.887142857142857</v>
      </c>
      <c r="FE24" s="13">
        <f>IF('Données projet'!$A$218&gt;35,FE23+FD24-FM23,IF(A24&lt;'Données projet'!$A$218,$FB$205^A24,IF(A24='Données projet'!$A$218,'Données projet'!$B$218,FE23+FD24-FM23)))</f>
        <v>81.63</v>
      </c>
      <c r="FF24" s="18">
        <f>FE24*VLOOKUP('Données projet'!$B$16,Paramètres!$A$1:$I$89,3,0)*VLOOKUP('Données projet'!$B$16,Paramètres!$A$1:$I$89,5,0)</f>
        <v>82.772819999999996</v>
      </c>
      <c r="FG24" s="14">
        <f t="shared" si="47"/>
        <v>22.813802740025121</v>
      </c>
      <c r="FH24" s="22">
        <f t="shared" si="22"/>
        <v>183.89670127221041</v>
      </c>
      <c r="FI24" s="62">
        <f t="shared" si="23"/>
        <v>466.23003460554372</v>
      </c>
      <c r="FJ24" s="62">
        <f ca="1">AVERAGE(OFFSET($FI$3,0,0,'Données projet'!$E$16+1,1))-AVERAGE(OFFSET($H$3,0,0,'Données projet'!$E$16+1,1))</f>
        <v>646.50767193970182</v>
      </c>
      <c r="FK24" s="62">
        <f t="shared" si="48"/>
        <v>297.06786598620607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3.887142857142857</v>
      </c>
      <c r="FZ24" s="13">
        <f>IF('Données projet'!$A$244&gt;35,FZ23+FY24-GH23,IF(A24&lt;'Données projet'!$A$244,$FW$205^A24,IF(A24='Données projet'!$A$244,'Données projet'!$B$244,FZ23+FY24-GH23)))</f>
        <v>81.63</v>
      </c>
      <c r="GA24" s="18">
        <f>FZ24*VLOOKUP('Données projet'!$B$17,Paramètres!$A$1:$I$89,3,0)*VLOOKUP('Données projet'!$B$17,Paramètres!$A$1:$I$89,5,0)</f>
        <v>54.757403999999994</v>
      </c>
      <c r="GB24" s="14">
        <f t="shared" si="49"/>
        <v>15.835805811091323</v>
      </c>
      <c r="GC24" s="22">
        <f t="shared" si="25"/>
        <v>122.94984042098405</v>
      </c>
      <c r="GD24" s="62">
        <f t="shared" si="26"/>
        <v>405.28317375431737</v>
      </c>
      <c r="GE24" s="62">
        <f ca="1">AVERAGE(OFFSET($GD$3,0,0,'Données projet'!$E$17+1,1))-AVERAGE(OFFSET($H$3,0,0,'Données projet'!$E$17+1,1))</f>
        <v>442.85175349826028</v>
      </c>
      <c r="GF24" s="62">
        <f t="shared" si="50"/>
        <v>210.70697808232501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2.9</v>
      </c>
      <c r="GU24" s="13">
        <f>IF('Données projet'!$A$270&gt;35,GU23+GT24-HC23,IF(A24&lt;'Données projet'!$A$270,$GR$205^A24,IF(A24='Données projet'!$A$270,'Données projet'!$B$270,GU23+GT24-HC23)))</f>
        <v>22.785757803932295</v>
      </c>
      <c r="GV24" s="18">
        <f>GU24*VLOOKUP('Données projet'!$B$18,Paramètres!$A$1:$I$89,3,0)*VLOOKUP('Données projet'!$B$18,Paramètres!$A$1:$I$89,5,0)</f>
        <v>21.682927126221973</v>
      </c>
      <c r="GW24" s="14">
        <f t="shared" si="51"/>
        <v>6.9846693278156948</v>
      </c>
      <c r="GX24" s="22">
        <f t="shared" si="28"/>
        <v>49.929397157448932</v>
      </c>
      <c r="GY24" s="62">
        <f t="shared" si="29"/>
        <v>332.26273049078225</v>
      </c>
      <c r="GZ24" s="62">
        <f ca="1">AVERAGE(OFFSET($GY$3,0,0,'Données projet'!$E$18+1,1))-AVERAGE(OFFSET($H$3,0,0,'Données projet'!$E$18+1,1))</f>
        <v>420.2510366318939</v>
      </c>
      <c r="HA24" s="62">
        <f t="shared" si="52"/>
        <v>220.59884411514116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</row>
    <row r="25" spans="1:218" s="5" customFormat="1" x14ac:dyDescent="0.2">
      <c r="A25" s="11">
        <f t="shared" si="31"/>
        <v>22</v>
      </c>
      <c r="B25" s="74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23.333333333333332</v>
      </c>
      <c r="N25" s="14">
        <f>IF('Données projet'!$A$36&gt;35,N24+M25-V24,IF(A25&lt;'Données projet'!$A$36,$K$205^A25,IF(A25='Données projet'!$A$36,'Données projet'!$B$36,N24+M25-V24)))</f>
        <v>126.33333333333334</v>
      </c>
      <c r="O25" s="14">
        <f>N25*VLOOKUP('Données projet'!$B$9,Paramètres!$A$1:$I$89,3,0)*VLOOKUP('Données projet'!$B$9,Paramètres!$A$1:$I$89,5,0)</f>
        <v>108.39400000000003</v>
      </c>
      <c r="P25" s="14">
        <f t="shared" si="33"/>
        <v>28.952275163466386</v>
      </c>
      <c r="Q25" s="22">
        <f t="shared" si="2"/>
        <v>239.21142924303732</v>
      </c>
      <c r="R25" s="62">
        <f t="shared" si="0"/>
        <v>522.76698479859283</v>
      </c>
      <c r="S25" s="62">
        <f ca="1">AVERAGE(OFFSET($R$3,0,0,'Données projet'!$E$9+1,1))-AVERAGE(OFFSET($H$3,0,0,'Données projet'!$E$9+1,1))</f>
        <v>623.31285537237943</v>
      </c>
      <c r="T25" s="62">
        <f t="shared" si="34"/>
        <v>462.33909258902241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7.8</v>
      </c>
      <c r="AI25" s="14">
        <f>IF('Données projet'!$A$62&gt;35,AI24+AH25-AQ24,IF(A25&lt;'Données projet'!$A$62,$AF$205^A25,IF(A25='Données projet'!$A$62,'Données projet'!$B$62,AI24+AH25-AQ24)))</f>
        <v>117.60000000000002</v>
      </c>
      <c r="AJ25" s="14">
        <f>AI25*VLOOKUP('Données projet'!$B$10,Paramètres!$A$1:$I$89,3,0)*VLOOKUP('Données projet'!$B$10,Paramètres!$A$1:$I$89,5,0)</f>
        <v>102.73536000000004</v>
      </c>
      <c r="AK25" s="14">
        <f t="shared" si="35"/>
        <v>27.612632326357044</v>
      </c>
      <c r="AL25" s="22">
        <f t="shared" si="4"/>
        <v>227.02275330173859</v>
      </c>
      <c r="AM25" s="62">
        <f t="shared" si="5"/>
        <v>510.57830885729413</v>
      </c>
      <c r="AN25" s="62">
        <f ca="1">AVERAGE(OFFSET($AM$3,0,0,'Données projet'!$E$10+1,1))-AVERAGE(OFFSET($H$3,0,0,'Données projet'!$E$10+1,1))</f>
        <v>390.70479111593545</v>
      </c>
      <c r="AO25" s="62">
        <f t="shared" si="36"/>
        <v>374.99493809709708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7.8</v>
      </c>
      <c r="BD25" s="13">
        <f>IF('Données projet'!$A$88&gt;35,BD24+BC25-BL24,IF(A25&lt;'Données projet'!$A$88,$BA$205^A25,IF(A25='Données projet'!$A$88,'Données projet'!$B$88,BD24+BC25-BL24)))</f>
        <v>117.60000000000002</v>
      </c>
      <c r="BE25" s="14">
        <f>BD25*VLOOKUP('Données projet'!$B$11,Paramètres!$A$1:$I$89,3,0)*VLOOKUP('Données projet'!$B$11,Paramètres!$A$1:$I$89,5,0)</f>
        <v>93.562560000000019</v>
      </c>
      <c r="BF25" s="14">
        <f t="shared" si="37"/>
        <v>25.422477817761134</v>
      </c>
      <c r="BG25" s="22">
        <f t="shared" si="7"/>
        <v>207.23227419926732</v>
      </c>
      <c r="BH25" s="62">
        <f t="shared" si="8"/>
        <v>490.78782975482284</v>
      </c>
      <c r="BI25" s="62">
        <f ca="1">AVERAGE(OFFSET($BH$3,0,0,'Données projet'!$E$11+1,1))-AVERAGE(OFFSET($H$3,0,0,'Données projet'!$E$11+1,1))</f>
        <v>359.18294335011535</v>
      </c>
      <c r="BJ25" s="62">
        <f t="shared" si="38"/>
        <v>345.47508134331241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7.8</v>
      </c>
      <c r="BY25" s="13">
        <f>IF('Données projet'!$A$114&gt;35,BY24+BX25-CG24,IF(A25&lt;'Données projet'!$A$114,$BV$205^A25,IF(A25='Données projet'!$A$114,'Données projet'!$B$114,BY24+BX25-CG24)))</f>
        <v>117.60000000000002</v>
      </c>
      <c r="BZ25" s="14">
        <f>BY25*VLOOKUP('Données projet'!$B$12,Paramètres!$A$1:$I$89,3,0)*VLOOKUP('Données projet'!$B$12,Paramètres!$A$1:$I$89,5,0)</f>
        <v>86.224320000000006</v>
      </c>
      <c r="CA25" s="14">
        <f t="shared" si="39"/>
        <v>23.652363060428655</v>
      </c>
      <c r="CB25" s="22">
        <f t="shared" si="10"/>
        <v>191.36855633024655</v>
      </c>
      <c r="CC25" s="62">
        <f t="shared" si="11"/>
        <v>474.92411188580206</v>
      </c>
      <c r="CD25" s="62">
        <f ca="1">AVERAGE(OFFSET($CC$3,0,0,'Données projet'!$E$12+1,1))-AVERAGE(OFFSET($H$3,0,0,'Données projet'!$E$12+1,1))</f>
        <v>333.9187211440219</v>
      </c>
      <c r="CE25" s="62">
        <f t="shared" si="40"/>
        <v>321.81422611044997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7.8</v>
      </c>
      <c r="CT25" s="13">
        <f>IF('Données projet'!$A$140&gt;35,CT24+CS25-DB24,IF(A25&lt;'Données projet'!$A$140,$CQ$205^A25,IF(A25='Données projet'!$A$140,'Données projet'!$B$140,CT24+CS25-DB24)))</f>
        <v>117.60000000000002</v>
      </c>
      <c r="CU25" s="18">
        <f>CT25*VLOOKUP('Données projet'!$B$13,Paramètres!$A$1:$I$89,3,0)*VLOOKUP('Données projet'!$B$13,Paramètres!$A$1:$I$89,5,0)</f>
        <v>95.397120000000029</v>
      </c>
      <c r="CV25" s="14">
        <f t="shared" si="41"/>
        <v>25.862435698944811</v>
      </c>
      <c r="CW25" s="22">
        <f t="shared" si="13"/>
        <v>211.19372617566225</v>
      </c>
      <c r="CX25" s="62">
        <f t="shared" si="14"/>
        <v>494.74928173121782</v>
      </c>
      <c r="CY25" s="62">
        <f ca="1">AVERAGE(OFFSET($CX$3,0,0,'Données projet'!$E$13+1,1))-AVERAGE(OFFSET($H$3,0,0,'Données projet'!$E$13+1,1))</f>
        <v>365.492319515595</v>
      </c>
      <c r="CZ25" s="62">
        <f t="shared" si="42"/>
        <v>351.38386928091433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3.887142857142857</v>
      </c>
      <c r="DO25" s="13">
        <f>IF('Données projet'!$A$166&gt;35,DO24+DN25-DW24,IF(A25&lt;'Données projet'!$A$166,$DL$205^A25,IF(A25='Données projet'!$A$166,'Données projet'!$B$166,DO24+DN25-DW24)))</f>
        <v>85.517142857142858</v>
      </c>
      <c r="DP25" s="18">
        <f>DO25*VLOOKUP('Données projet'!$B$14,Paramètres!$A$1:$I$89,3,0)*VLOOKUP('Données projet'!$B$14,Paramètres!$A$1:$I$89,5,0)</f>
        <v>72.03964114285715</v>
      </c>
      <c r="DQ25" s="14">
        <f t="shared" si="43"/>
        <v>20.179122570037983</v>
      </c>
      <c r="DR25" s="22">
        <f t="shared" si="16"/>
        <v>160.61434679995904</v>
      </c>
      <c r="DS25" s="62">
        <f t="shared" si="17"/>
        <v>444.16990235551458</v>
      </c>
      <c r="DT25" s="62">
        <f ca="1">AVERAGE(OFFSET($DS$3,0,0,'Données projet'!$E$14+1,1))-AVERAGE(OFFSET($H$3,0,0,'Données projet'!$E$14+1,1))</f>
        <v>544.89250424794909</v>
      </c>
      <c r="DU25" s="62">
        <f t="shared" si="44"/>
        <v>253.98688498110715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3.887142857142857</v>
      </c>
      <c r="EJ25" s="13">
        <f>IF('Données projet'!$A$192&gt;35,EJ24+EI25-ER24,IF(A25&lt;'Données projet'!$A$192,$EG$205^A25,IF(A25='Données projet'!$A$192,'Données projet'!$B$192,EJ24+EI25-ER24)))</f>
        <v>85.517142857142858</v>
      </c>
      <c r="EK25" s="18">
        <f>EJ25*VLOOKUP('Données projet'!$B$15,Paramètres!$A$1:$I$89,3,0)*VLOOKUP('Données projet'!$B$15,Paramètres!$A$1:$I$89,5,0)</f>
        <v>77.375910857142856</v>
      </c>
      <c r="EL25" s="14">
        <f t="shared" si="45"/>
        <v>21.49434063873689</v>
      </c>
      <c r="EM25" s="22">
        <f t="shared" si="19"/>
        <v>172.19902135532388</v>
      </c>
      <c r="EN25" s="62">
        <f t="shared" si="20"/>
        <v>455.75457691087945</v>
      </c>
      <c r="EO25" s="62">
        <f ca="1">AVERAGE(OFFSET($EN$3,0,0,'Données projet'!$E$15+1,1))-AVERAGE(OFFSET($H$3,0,0,'Données projet'!$E$15+1,1))</f>
        <v>581.88778927327667</v>
      </c>
      <c r="EP25" s="62">
        <f t="shared" si="46"/>
        <v>269.67340993773422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3.887142857142857</v>
      </c>
      <c r="FE25" s="13">
        <f>IF('Données projet'!$A$218&gt;35,FE24+FD25-FM24,IF(A25&lt;'Données projet'!$A$218,$FB$205^A25,IF(A25='Données projet'!$A$218,'Données projet'!$B$218,FE24+FD25-FM24)))</f>
        <v>85.517142857142858</v>
      </c>
      <c r="FF25" s="18">
        <f>FE25*VLOOKUP('Données projet'!$B$16,Paramètres!$A$1:$I$89,3,0)*VLOOKUP('Données projet'!$B$16,Paramètres!$A$1:$I$89,5,0)</f>
        <v>86.714382857142866</v>
      </c>
      <c r="FG25" s="14">
        <f t="shared" si="47"/>
        <v>23.771106295024762</v>
      </c>
      <c r="FH25" s="22">
        <f t="shared" si="22"/>
        <v>192.42889360669196</v>
      </c>
      <c r="FI25" s="62">
        <f t="shared" si="23"/>
        <v>475.98444916224753</v>
      </c>
      <c r="FJ25" s="62">
        <f ca="1">AVERAGE(OFFSET($FI$3,0,0,'Données projet'!$E$16+1,1))-AVERAGE(OFFSET($H$3,0,0,'Données projet'!$E$16+1,1))</f>
        <v>646.50767193970182</v>
      </c>
      <c r="FK25" s="62">
        <f t="shared" si="48"/>
        <v>297.06786598620607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3.887142857142857</v>
      </c>
      <c r="FZ25" s="13">
        <f>IF('Données projet'!$A$244&gt;35,FZ24+FY25-GH24,IF(A25&lt;'Données projet'!$A$244,$FW$205^A25,IF(A25='Données projet'!$A$244,'Données projet'!$B$244,FZ24+FY25-GH24)))</f>
        <v>85.517142857142858</v>
      </c>
      <c r="GA25" s="18">
        <f>FZ25*VLOOKUP('Données projet'!$B$17,Paramètres!$A$1:$I$89,3,0)*VLOOKUP('Données projet'!$B$17,Paramètres!$A$1:$I$89,5,0)</f>
        <v>57.364899428571427</v>
      </c>
      <c r="GB25" s="14">
        <f t="shared" si="49"/>
        <v>16.500301483820401</v>
      </c>
      <c r="GC25" s="22">
        <f t="shared" si="25"/>
        <v>128.64855825574909</v>
      </c>
      <c r="GD25" s="62">
        <f t="shared" si="26"/>
        <v>412.20411381130464</v>
      </c>
      <c r="GE25" s="62">
        <f ca="1">AVERAGE(OFFSET($GD$3,0,0,'Données projet'!$E$17+1,1))-AVERAGE(OFFSET($H$3,0,0,'Données projet'!$E$17+1,1))</f>
        <v>442.85175349826028</v>
      </c>
      <c r="GF25" s="62">
        <f t="shared" si="50"/>
        <v>210.70697808232501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2.9</v>
      </c>
      <c r="GU25" s="13">
        <f>IF('Données projet'!$A$270&gt;35,GU24+GT25-HC24,IF(A25&lt;'Données projet'!$A$270,$GR$205^A25,IF(A25='Données projet'!$A$270,'Données projet'!$B$270,GU24+GT25-HC24)))</f>
        <v>26.443206626903038</v>
      </c>
      <c r="GV25" s="18">
        <f>GU25*VLOOKUP('Données projet'!$B$18,Paramètres!$A$1:$I$89,3,0)*VLOOKUP('Données projet'!$B$18,Paramètres!$A$1:$I$89,5,0)</f>
        <v>25.16335542616093</v>
      </c>
      <c r="GW25" s="14">
        <f t="shared" si="51"/>
        <v>7.9665659801618309</v>
      </c>
      <c r="GX25" s="22">
        <f t="shared" si="28"/>
        <v>57.701279782678796</v>
      </c>
      <c r="GY25" s="62">
        <f t="shared" si="29"/>
        <v>341.25683533823434</v>
      </c>
      <c r="GZ25" s="62">
        <f ca="1">AVERAGE(OFFSET($GY$3,0,0,'Données projet'!$E$18+1,1))-AVERAGE(OFFSET($H$3,0,0,'Données projet'!$E$18+1,1))</f>
        <v>420.2510366318939</v>
      </c>
      <c r="HA25" s="62">
        <f t="shared" si="52"/>
        <v>220.59884411514116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</row>
    <row r="26" spans="1:218" s="5" customFormat="1" x14ac:dyDescent="0.2">
      <c r="A26" s="11">
        <f t="shared" si="31"/>
        <v>23</v>
      </c>
      <c r="B26" s="74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23.333333333333332</v>
      </c>
      <c r="N26" s="14">
        <f>IF('Données projet'!$A$36&gt;35,N25+M26-V25,IF(A26&lt;'Données projet'!$A$36,$K$205^A26,IF(A26='Données projet'!$A$36,'Données projet'!$B$36,N25+M26-V25)))</f>
        <v>149.66666666666669</v>
      </c>
      <c r="O26" s="14">
        <f>N26*VLOOKUP('Données projet'!$B$9,Paramètres!$A$1:$I$89,3,0)*VLOOKUP('Données projet'!$B$9,Paramètres!$A$1:$I$89,5,0)</f>
        <v>128.41400000000002</v>
      </c>
      <c r="P26" s="14">
        <f t="shared" si="33"/>
        <v>33.629619895329526</v>
      </c>
      <c r="Q26" s="22">
        <f t="shared" si="2"/>
        <v>282.22597131769891</v>
      </c>
      <c r="R26" s="62">
        <f t="shared" si="0"/>
        <v>567.00374909547668</v>
      </c>
      <c r="S26" s="62">
        <f ca="1">AVERAGE(OFFSET($R$3,0,0,'Données projet'!$E$9+1,1))-AVERAGE(OFFSET($H$3,0,0,'Données projet'!$E$9+1,1))</f>
        <v>623.31285537237943</v>
      </c>
      <c r="T26" s="62">
        <f t="shared" si="34"/>
        <v>462.33909258902241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7.8</v>
      </c>
      <c r="AI26" s="14">
        <f>IF('Données projet'!$A$62&gt;35,AI25+AH26-AQ25,IF(A26&lt;'Données projet'!$A$62,$AF$205^A26,IF(A26='Données projet'!$A$62,'Données projet'!$B$62,AI25+AH26-AQ25)))</f>
        <v>125.40000000000002</v>
      </c>
      <c r="AJ26" s="14">
        <f>AI26*VLOOKUP('Données projet'!$B$10,Paramètres!$A$1:$I$89,3,0)*VLOOKUP('Données projet'!$B$10,Paramètres!$A$1:$I$89,5,0)</f>
        <v>109.54944000000003</v>
      </c>
      <c r="AK26" s="14">
        <f t="shared" si="35"/>
        <v>29.224803777563448</v>
      </c>
      <c r="AL26" s="22">
        <f t="shared" si="4"/>
        <v>241.69847457925638</v>
      </c>
      <c r="AM26" s="62">
        <f t="shared" si="5"/>
        <v>526.47625235703413</v>
      </c>
      <c r="AN26" s="62">
        <f ca="1">AVERAGE(OFFSET($AM$3,0,0,'Données projet'!$E$10+1,1))-AVERAGE(OFFSET($H$3,0,0,'Données projet'!$E$10+1,1))</f>
        <v>390.70479111593545</v>
      </c>
      <c r="AO26" s="62">
        <f t="shared" si="36"/>
        <v>374.99493809709708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7.8</v>
      </c>
      <c r="BD26" s="13">
        <f>IF('Données projet'!$A$88&gt;35,BD25+BC26-BL25,IF(A26&lt;'Données projet'!$A$88,$BA$205^A26,IF(A26='Données projet'!$A$88,'Données projet'!$B$88,BD25+BC26-BL25)))</f>
        <v>125.40000000000002</v>
      </c>
      <c r="BE26" s="14">
        <f>BD26*VLOOKUP('Données projet'!$B$11,Paramètres!$A$1:$I$89,3,0)*VLOOKUP('Données projet'!$B$11,Paramètres!$A$1:$I$89,5,0)</f>
        <v>99.76824000000002</v>
      </c>
      <c r="BF26" s="14">
        <f t="shared" si="37"/>
        <v>26.906776470360107</v>
      </c>
      <c r="BG26" s="22">
        <f t="shared" si="7"/>
        <v>220.62565368587721</v>
      </c>
      <c r="BH26" s="62">
        <f t="shared" si="8"/>
        <v>505.40343146365501</v>
      </c>
      <c r="BI26" s="62">
        <f ca="1">AVERAGE(OFFSET($BH$3,0,0,'Données projet'!$E$11+1,1))-AVERAGE(OFFSET($H$3,0,0,'Données projet'!$E$11+1,1))</f>
        <v>359.18294335011535</v>
      </c>
      <c r="BJ26" s="62">
        <f t="shared" si="38"/>
        <v>345.47508134331241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7.8</v>
      </c>
      <c r="BY26" s="13">
        <f>IF('Données projet'!$A$114&gt;35,BY25+BX26-CG25,IF(A26&lt;'Données projet'!$A$114,$BV$205^A26,IF(A26='Données projet'!$A$114,'Données projet'!$B$114,BY25+BX26-CG25)))</f>
        <v>125.40000000000002</v>
      </c>
      <c r="BZ26" s="14">
        <f>BY26*VLOOKUP('Données projet'!$B$12,Paramètres!$A$1:$I$89,3,0)*VLOOKUP('Données projet'!$B$12,Paramètres!$A$1:$I$89,5,0)</f>
        <v>91.943280000000016</v>
      </c>
      <c r="CA26" s="14">
        <f t="shared" si="39"/>
        <v>25.033313055666699</v>
      </c>
      <c r="CB26" s="22">
        <f t="shared" si="10"/>
        <v>203.73423290528618</v>
      </c>
      <c r="CC26" s="62">
        <f t="shared" si="11"/>
        <v>488.51201068306398</v>
      </c>
      <c r="CD26" s="62">
        <f ca="1">AVERAGE(OFFSET($CC$3,0,0,'Données projet'!$E$12+1,1))-AVERAGE(OFFSET($H$3,0,0,'Données projet'!$E$12+1,1))</f>
        <v>333.9187211440219</v>
      </c>
      <c r="CE26" s="62">
        <f t="shared" si="40"/>
        <v>321.81422611044997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7.8</v>
      </c>
      <c r="CT26" s="13">
        <f>IF('Données projet'!$A$140&gt;35,CT25+CS26-DB25,IF(A26&lt;'Données projet'!$A$140,$CQ$205^A26,IF(A26='Données projet'!$A$140,'Données projet'!$B$140,CT25+CS26-DB25)))</f>
        <v>125.40000000000002</v>
      </c>
      <c r="CU26" s="18">
        <f>CT26*VLOOKUP('Données projet'!$B$13,Paramètres!$A$1:$I$89,3,0)*VLOOKUP('Données projet'!$B$13,Paramètres!$A$1:$I$89,5,0)</f>
        <v>101.72448000000003</v>
      </c>
      <c r="CV26" s="14">
        <f t="shared" si="41"/>
        <v>27.372421418513511</v>
      </c>
      <c r="CW26" s="22">
        <f t="shared" si="13"/>
        <v>224.84376997057771</v>
      </c>
      <c r="CX26" s="62">
        <f t="shared" si="14"/>
        <v>509.62154774835551</v>
      </c>
      <c r="CY26" s="62">
        <f ca="1">AVERAGE(OFFSET($CX$3,0,0,'Données projet'!$E$13+1,1))-AVERAGE(OFFSET($H$3,0,0,'Données projet'!$E$13+1,1))</f>
        <v>365.492319515595</v>
      </c>
      <c r="CZ26" s="62">
        <f t="shared" si="42"/>
        <v>351.38386928091433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3.887142857142857</v>
      </c>
      <c r="DO26" s="13">
        <f>IF('Données projet'!$A$166&gt;35,DO25+DN26-DW25,IF(A26&lt;'Données projet'!$A$166,$DL$205^A26,IF(A26='Données projet'!$A$166,'Données projet'!$B$166,DO25+DN26-DW25)))</f>
        <v>89.40428571428572</v>
      </c>
      <c r="DP26" s="18">
        <f>DO26*VLOOKUP('Données projet'!$B$14,Paramètres!$A$1:$I$89,3,0)*VLOOKUP('Données projet'!$B$14,Paramètres!$A$1:$I$89,5,0)</f>
        <v>75.314170285714297</v>
      </c>
      <c r="DQ26" s="14">
        <f t="shared" si="43"/>
        <v>20.987480876358021</v>
      </c>
      <c r="DR26" s="22">
        <f t="shared" si="16"/>
        <v>167.7253757739426</v>
      </c>
      <c r="DS26" s="62">
        <f t="shared" si="17"/>
        <v>452.5031535517204</v>
      </c>
      <c r="DT26" s="62">
        <f ca="1">AVERAGE(OFFSET($DS$3,0,0,'Données projet'!$E$14+1,1))-AVERAGE(OFFSET($H$3,0,0,'Données projet'!$E$14+1,1))</f>
        <v>544.89250424794909</v>
      </c>
      <c r="DU26" s="62">
        <f t="shared" si="44"/>
        <v>253.98688498110715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3.887142857142857</v>
      </c>
      <c r="EJ26" s="13">
        <f>IF('Données projet'!$A$192&gt;35,EJ25+EI26-ER25,IF(A26&lt;'Données projet'!$A$192,$EG$205^A26,IF(A26='Données projet'!$A$192,'Données projet'!$B$192,EJ25+EI26-ER25)))</f>
        <v>89.40428571428572</v>
      </c>
      <c r="EK26" s="18">
        <f>EJ26*VLOOKUP('Données projet'!$B$15,Paramètres!$A$1:$I$89,3,0)*VLOOKUP('Données projet'!$B$15,Paramètres!$A$1:$I$89,5,0)</f>
        <v>80.892997714285713</v>
      </c>
      <c r="EL26" s="14">
        <f t="shared" si="45"/>
        <v>22.355385450466887</v>
      </c>
      <c r="EM26" s="22">
        <f t="shared" si="19"/>
        <v>179.82426734527743</v>
      </c>
      <c r="EN26" s="62">
        <f t="shared" si="20"/>
        <v>464.60204512305518</v>
      </c>
      <c r="EO26" s="62">
        <f ca="1">AVERAGE(OFFSET($EN$3,0,0,'Données projet'!$E$15+1,1))-AVERAGE(OFFSET($H$3,0,0,'Données projet'!$E$15+1,1))</f>
        <v>581.88778927327667</v>
      </c>
      <c r="EP26" s="62">
        <f t="shared" si="46"/>
        <v>269.67340993773422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3.887142857142857</v>
      </c>
      <c r="FE26" s="13">
        <f>IF('Données projet'!$A$218&gt;35,FE25+FD26-FM25,IF(A26&lt;'Données projet'!$A$218,$FB$205^A26,IF(A26='Données projet'!$A$218,'Données projet'!$B$218,FE25+FD26-FM25)))</f>
        <v>89.40428571428572</v>
      </c>
      <c r="FF26" s="18">
        <f>FE26*VLOOKUP('Données projet'!$B$16,Paramètres!$A$1:$I$89,3,0)*VLOOKUP('Données projet'!$B$16,Paramètres!$A$1:$I$89,5,0)</f>
        <v>90.655945714285721</v>
      </c>
      <c r="FG26" s="14">
        <f t="shared" si="47"/>
        <v>24.723356382079128</v>
      </c>
      <c r="FH26" s="22">
        <f t="shared" si="22"/>
        <v>200.95228448450212</v>
      </c>
      <c r="FI26" s="62">
        <f t="shared" si="23"/>
        <v>485.73006226227989</v>
      </c>
      <c r="FJ26" s="62">
        <f ca="1">AVERAGE(OFFSET($FI$3,0,0,'Données projet'!$E$16+1,1))-AVERAGE(OFFSET($H$3,0,0,'Données projet'!$E$16+1,1))</f>
        <v>646.50767193970182</v>
      </c>
      <c r="FK26" s="62">
        <f t="shared" si="48"/>
        <v>297.06786598620607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3.887142857142857</v>
      </c>
      <c r="FZ26" s="13">
        <f>IF('Données projet'!$A$244&gt;35,FZ25+FY26-GH25,IF(A26&lt;'Données projet'!$A$244,$FW$205^A26,IF(A26='Données projet'!$A$244,'Données projet'!$B$244,FZ25+FY26-GH25)))</f>
        <v>89.40428571428572</v>
      </c>
      <c r="GA26" s="18">
        <f>FZ26*VLOOKUP('Données projet'!$B$17,Paramètres!$A$1:$I$89,3,0)*VLOOKUP('Données projet'!$B$17,Paramètres!$A$1:$I$89,5,0)</f>
        <v>59.972394857142866</v>
      </c>
      <c r="GB26" s="14">
        <f t="shared" si="49"/>
        <v>17.161289379351366</v>
      </c>
      <c r="GC26" s="22">
        <f t="shared" si="25"/>
        <v>134.34116671189412</v>
      </c>
      <c r="GD26" s="62">
        <f t="shared" si="26"/>
        <v>419.11894448967189</v>
      </c>
      <c r="GE26" s="62">
        <f ca="1">AVERAGE(OFFSET($GD$3,0,0,'Données projet'!$E$17+1,1))-AVERAGE(OFFSET($H$3,0,0,'Données projet'!$E$17+1,1))</f>
        <v>442.85175349826028</v>
      </c>
      <c r="GF26" s="62">
        <f t="shared" si="50"/>
        <v>210.70697808232501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2.9</v>
      </c>
      <c r="GU26" s="13">
        <f>IF('Données projet'!$A$270&gt;35,GU25+GT26-HC25,IF(A26&lt;'Données projet'!$A$270,$GR$205^A26,IF(A26='Données projet'!$A$270,'Données projet'!$B$270,GU25+GT26-HC25)))</f>
        <v>30.687729709494914</v>
      </c>
      <c r="GV26" s="18">
        <f>GU26*VLOOKUP('Données projet'!$B$18,Paramètres!$A$1:$I$89,3,0)*VLOOKUP('Données projet'!$B$18,Paramètres!$A$1:$I$89,5,0)</f>
        <v>29.202443591555362</v>
      </c>
      <c r="GW26" s="14">
        <f t="shared" si="51"/>
        <v>9.0864965165243632</v>
      </c>
      <c r="GX26" s="22">
        <f t="shared" si="28"/>
        <v>66.686570688238859</v>
      </c>
      <c r="GY26" s="62">
        <f t="shared" si="29"/>
        <v>351.46434846601665</v>
      </c>
      <c r="GZ26" s="62">
        <f ca="1">AVERAGE(OFFSET($GY$3,0,0,'Données projet'!$E$18+1,1))-AVERAGE(OFFSET($H$3,0,0,'Données projet'!$E$18+1,1))</f>
        <v>420.2510366318939</v>
      </c>
      <c r="HA26" s="62">
        <f t="shared" si="52"/>
        <v>220.59884411514116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</row>
    <row r="27" spans="1:218" s="5" customFormat="1" x14ac:dyDescent="0.2">
      <c r="A27" s="11">
        <f t="shared" si="31"/>
        <v>24</v>
      </c>
      <c r="B27" s="74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>
        <f>VLOOKUP(A27,'Données projet'!$A$35:$I$55,2,0)</f>
        <v>173</v>
      </c>
      <c r="L27" s="13">
        <f>VLOOKUP(A27,'Données projet'!$A$35:$I$55,9,0)</f>
        <v>23.333333333333332</v>
      </c>
      <c r="M27" s="13">
        <f t="array" ref="M27">INDEX(L:L,MIN(IF(ISNUMBER(L27:L223),ROW(L27:L223),"")))</f>
        <v>23.333333333333332</v>
      </c>
      <c r="N27" s="14">
        <f>IF('Données projet'!$A$36&gt;35,N26+M27-V26,IF(A27&lt;'Données projet'!$A$36,$K$205^A27,IF(A27='Données projet'!$A$36,'Données projet'!$B$36,N26+M27-V26)))</f>
        <v>173.00000000000003</v>
      </c>
      <c r="O27" s="14">
        <f>N27*VLOOKUP('Données projet'!$B$9,Paramètres!$A$1:$I$89,3,0)*VLOOKUP('Données projet'!$B$9,Paramètres!$A$1:$I$89,5,0)</f>
        <v>148.43400000000003</v>
      </c>
      <c r="P27" s="14">
        <f t="shared" si="33"/>
        <v>38.222489421716382</v>
      </c>
      <c r="Q27" s="22">
        <f t="shared" si="2"/>
        <v>325.0933857428227</v>
      </c>
      <c r="R27" s="62">
        <f t="shared" si="0"/>
        <v>611.09338574282265</v>
      </c>
      <c r="S27" s="62">
        <f ca="1">AVERAGE(OFFSET($R$3,0,0,'Données projet'!$E$9+1,1))-AVERAGE(OFFSET($H$3,0,0,'Données projet'!$E$9+1,1))</f>
        <v>623.31285537237943</v>
      </c>
      <c r="T27" s="62">
        <f t="shared" si="34"/>
        <v>462.33909258902241</v>
      </c>
      <c r="U27" s="16">
        <f>IF(ISNA(VLOOKUP(A27,'Données projet'!$A$35:$I$55,3,0)),0,VLOOKUP(A27,'Données projet'!$A$35:$I$55,3,0))</f>
        <v>3</v>
      </c>
      <c r="V27" s="16">
        <f>IF(ISNA(VLOOKUP(A27,'Données projet'!$A$35:$I$55,4,0)),0,VLOOKUP(A27,'Données projet'!$A$35:$I$55,4,0))</f>
        <v>47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7.8</v>
      </c>
      <c r="AI27" s="14">
        <f>IF('Données projet'!$A$62&gt;35,AI26+AH27-AQ26,IF(A27&lt;'Données projet'!$A$62,$AF$205^A27,IF(A27='Données projet'!$A$62,'Données projet'!$B$62,AI26+AH27-AQ26)))</f>
        <v>133.20000000000002</v>
      </c>
      <c r="AJ27" s="14">
        <f>AI27*VLOOKUP('Données projet'!$B$10,Paramètres!$A$1:$I$89,3,0)*VLOOKUP('Données projet'!$B$10,Paramètres!$A$1:$I$89,5,0)</f>
        <v>116.36352000000002</v>
      </c>
      <c r="AK27" s="14">
        <f t="shared" si="35"/>
        <v>30.825337032325763</v>
      </c>
      <c r="AL27" s="22">
        <f t="shared" si="4"/>
        <v>256.35392599796734</v>
      </c>
      <c r="AM27" s="62">
        <f t="shared" si="5"/>
        <v>542.35392599796728</v>
      </c>
      <c r="AN27" s="62">
        <f ca="1">AVERAGE(OFFSET($AM$3,0,0,'Données projet'!$E$10+1,1))-AVERAGE(OFFSET($H$3,0,0,'Données projet'!$E$10+1,1))</f>
        <v>390.70479111593545</v>
      </c>
      <c r="AO27" s="62">
        <f t="shared" si="36"/>
        <v>374.99493809709708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7.8</v>
      </c>
      <c r="BD27" s="13">
        <f>IF('Données projet'!$A$88&gt;35,BD26+BC27-BL26,IF(A27&lt;'Données projet'!$A$88,$BA$205^A27,IF(A27='Données projet'!$A$88,'Données projet'!$B$88,BD26+BC27-BL26)))</f>
        <v>133.20000000000002</v>
      </c>
      <c r="BE27" s="14">
        <f>BD27*VLOOKUP('Données projet'!$B$11,Paramètres!$A$1:$I$89,3,0)*VLOOKUP('Données projet'!$B$11,Paramètres!$A$1:$I$89,5,0)</f>
        <v>105.97392000000004</v>
      </c>
      <c r="BF27" s="14">
        <f t="shared" si="37"/>
        <v>28.38036003475446</v>
      </c>
      <c r="BG27" s="22">
        <f t="shared" si="7"/>
        <v>234.00037106053071</v>
      </c>
      <c r="BH27" s="62">
        <f t="shared" si="8"/>
        <v>520.00037106053071</v>
      </c>
      <c r="BI27" s="62">
        <f ca="1">AVERAGE(OFFSET($BH$3,0,0,'Données projet'!$E$11+1,1))-AVERAGE(OFFSET($H$3,0,0,'Données projet'!$E$11+1,1))</f>
        <v>359.18294335011535</v>
      </c>
      <c r="BJ27" s="62">
        <f t="shared" si="38"/>
        <v>345.47508134331241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7.8</v>
      </c>
      <c r="BY27" s="13">
        <f>IF('Données projet'!$A$114&gt;35,BY26+BX27-CG26,IF(A27&lt;'Données projet'!$A$114,$BV$205^A27,IF(A27='Données projet'!$A$114,'Données projet'!$B$114,BY26+BX27-CG26)))</f>
        <v>133.20000000000002</v>
      </c>
      <c r="BZ27" s="14">
        <f>BY27*VLOOKUP('Données projet'!$B$12,Paramètres!$A$1:$I$89,3,0)*VLOOKUP('Données projet'!$B$12,Paramètres!$A$1:$I$89,5,0)</f>
        <v>97.662240000000011</v>
      </c>
      <c r="CA27" s="14">
        <f t="shared" si="39"/>
        <v>26.404294032217511</v>
      </c>
      <c r="CB27" s="22">
        <f t="shared" si="10"/>
        <v>216.08254677277884</v>
      </c>
      <c r="CC27" s="62">
        <f t="shared" si="11"/>
        <v>502.08254677277887</v>
      </c>
      <c r="CD27" s="62">
        <f ca="1">AVERAGE(OFFSET($CC$3,0,0,'Données projet'!$E$12+1,1))-AVERAGE(OFFSET($H$3,0,0,'Données projet'!$E$12+1,1))</f>
        <v>333.9187211440219</v>
      </c>
      <c r="CE27" s="62">
        <f t="shared" si="40"/>
        <v>321.81422611044997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7.8</v>
      </c>
      <c r="CT27" s="13">
        <f>IF('Données projet'!$A$140&gt;35,CT26+CS27-DB26,IF(A27&lt;'Données projet'!$A$140,$CQ$205^A27,IF(A27='Données projet'!$A$140,'Données projet'!$B$140,CT26+CS27-DB26)))</f>
        <v>133.20000000000002</v>
      </c>
      <c r="CU27" s="18">
        <f>CT27*VLOOKUP('Données projet'!$B$13,Paramètres!$A$1:$I$89,3,0)*VLOOKUP('Données projet'!$B$13,Paramètres!$A$1:$I$89,5,0)</f>
        <v>108.05184000000001</v>
      </c>
      <c r="CV27" s="14">
        <f t="shared" si="41"/>
        <v>28.871506616044705</v>
      </c>
      <c r="CW27" s="22">
        <f t="shared" si="13"/>
        <v>238.47482868961117</v>
      </c>
      <c r="CX27" s="62">
        <f t="shared" si="14"/>
        <v>524.47482868961117</v>
      </c>
      <c r="CY27" s="62">
        <f ca="1">AVERAGE(OFFSET($CX$3,0,0,'Données projet'!$E$13+1,1))-AVERAGE(OFFSET($H$3,0,0,'Données projet'!$E$13+1,1))</f>
        <v>365.492319515595</v>
      </c>
      <c r="CZ27" s="62">
        <f t="shared" si="42"/>
        <v>351.38386928091433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3.887142857142857</v>
      </c>
      <c r="DO27" s="13">
        <f>IF('Données projet'!$A$166&gt;35,DO26+DN27-DW26,IF(A27&lt;'Données projet'!$A$166,$DL$205^A27,IF(A27='Données projet'!$A$166,'Données projet'!$B$166,DO26+DN27-DW26)))</f>
        <v>93.291428571428582</v>
      </c>
      <c r="DP27" s="18">
        <f>DO27*VLOOKUP('Données projet'!$B$14,Paramètres!$A$1:$I$89,3,0)*VLOOKUP('Données projet'!$B$14,Paramètres!$A$1:$I$89,5,0)</f>
        <v>78.588699428571445</v>
      </c>
      <c r="DQ27" s="14">
        <f t="shared" si="43"/>
        <v>21.791757163172853</v>
      </c>
      <c r="DR27" s="22">
        <f t="shared" si="16"/>
        <v>174.82929523062128</v>
      </c>
      <c r="DS27" s="62">
        <f t="shared" si="17"/>
        <v>460.82929523062126</v>
      </c>
      <c r="DT27" s="62">
        <f ca="1">AVERAGE(OFFSET($DS$3,0,0,'Données projet'!$E$14+1,1))-AVERAGE(OFFSET($H$3,0,0,'Données projet'!$E$14+1,1))</f>
        <v>544.89250424794909</v>
      </c>
      <c r="DU27" s="62">
        <f t="shared" si="44"/>
        <v>253.98688498110715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3.887142857142857</v>
      </c>
      <c r="EJ27" s="13">
        <f>IF('Données projet'!$A$192&gt;35,EJ26+EI27-ER26,IF(A27&lt;'Données projet'!$A$192,$EG$205^A27,IF(A27='Données projet'!$A$192,'Données projet'!$B$192,EJ26+EI27-ER26)))</f>
        <v>93.291428571428582</v>
      </c>
      <c r="EK27" s="18">
        <f>EJ27*VLOOKUP('Données projet'!$B$15,Paramètres!$A$1:$I$89,3,0)*VLOOKUP('Données projet'!$B$15,Paramètres!$A$1:$I$89,5,0)</f>
        <v>84.410084571428584</v>
      </c>
      <c r="EL27" s="14">
        <f t="shared" si="45"/>
        <v>23.212082188219242</v>
      </c>
      <c r="EM27" s="22">
        <f t="shared" si="19"/>
        <v>187.44194043971996</v>
      </c>
      <c r="EN27" s="62">
        <f t="shared" si="20"/>
        <v>473.44194043971993</v>
      </c>
      <c r="EO27" s="62">
        <f ca="1">AVERAGE(OFFSET($EN$3,0,0,'Données projet'!$E$15+1,1))-AVERAGE(OFFSET($H$3,0,0,'Données projet'!$E$15+1,1))</f>
        <v>581.88778927327667</v>
      </c>
      <c r="EP27" s="62">
        <f t="shared" si="46"/>
        <v>269.67340993773422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3.887142857142857</v>
      </c>
      <c r="FE27" s="13">
        <f>IF('Données projet'!$A$218&gt;35,FE26+FD27-FM26,IF(A27&lt;'Données projet'!$A$218,$FB$205^A27,IF(A27='Données projet'!$A$218,'Données projet'!$B$218,FE26+FD27-FM26)))</f>
        <v>93.291428571428582</v>
      </c>
      <c r="FF27" s="18">
        <f>FE27*VLOOKUP('Données projet'!$B$16,Paramètres!$A$1:$I$89,3,0)*VLOOKUP('Données projet'!$B$16,Paramètres!$A$1:$I$89,5,0)</f>
        <v>94.597508571428591</v>
      </c>
      <c r="FG27" s="14">
        <f t="shared" si="47"/>
        <v>25.670797829946185</v>
      </c>
      <c r="FH27" s="22">
        <f t="shared" si="22"/>
        <v>209.4673003157277</v>
      </c>
      <c r="FI27" s="62">
        <f t="shared" si="23"/>
        <v>495.4673003157277</v>
      </c>
      <c r="FJ27" s="62">
        <f ca="1">AVERAGE(OFFSET($FI$3,0,0,'Données projet'!$E$16+1,1))-AVERAGE(OFFSET($H$3,0,0,'Données projet'!$E$16+1,1))</f>
        <v>646.50767193970182</v>
      </c>
      <c r="FK27" s="62">
        <f t="shared" si="48"/>
        <v>297.06786598620607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3.887142857142857</v>
      </c>
      <c r="FZ27" s="13">
        <f>IF('Données projet'!$A$244&gt;35,FZ26+FY27-GH26,IF(A27&lt;'Données projet'!$A$244,$FW$205^A27,IF(A27='Données projet'!$A$244,'Données projet'!$B$244,FZ26+FY27-GH26)))</f>
        <v>93.291428571428582</v>
      </c>
      <c r="GA27" s="18">
        <f>FZ27*VLOOKUP('Données projet'!$B$17,Paramètres!$A$1:$I$89,3,0)*VLOOKUP('Données projet'!$B$17,Paramètres!$A$1:$I$89,5,0)</f>
        <v>62.579890285714299</v>
      </c>
      <c r="GB27" s="14">
        <f t="shared" si="49"/>
        <v>17.818939441323689</v>
      </c>
      <c r="GC27" s="22">
        <f t="shared" si="25"/>
        <v>140.02796177459118</v>
      </c>
      <c r="GD27" s="62">
        <f t="shared" si="26"/>
        <v>426.02796177459118</v>
      </c>
      <c r="GE27" s="62">
        <f ca="1">AVERAGE(OFFSET($GD$3,0,0,'Données projet'!$E$17+1,1))-AVERAGE(OFFSET($H$3,0,0,'Données projet'!$E$17+1,1))</f>
        <v>442.85175349826028</v>
      </c>
      <c r="GF27" s="62">
        <f t="shared" si="50"/>
        <v>210.70697808232501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2.9</v>
      </c>
      <c r="GU27" s="13">
        <f>IF('Données projet'!$A$270&gt;35,GU26+GT27-HC26,IF(A27&lt;'Données projet'!$A$270,$GR$205^A27,IF(A27='Données projet'!$A$270,'Données projet'!$B$270,GU26+GT27-HC26)))</f>
        <v>35.613561093793521</v>
      </c>
      <c r="GV27" s="18">
        <f>GU27*VLOOKUP('Données projet'!$B$18,Paramètres!$A$1:$I$89,3,0)*VLOOKUP('Données projet'!$B$18,Paramètres!$A$1:$I$89,5,0)</f>
        <v>33.889864736853916</v>
      </c>
      <c r="GW27" s="14">
        <f t="shared" si="51"/>
        <v>10.363865579022317</v>
      </c>
      <c r="GX27" s="22">
        <f t="shared" si="28"/>
        <v>77.075246966817772</v>
      </c>
      <c r="GY27" s="62">
        <f t="shared" si="29"/>
        <v>363.07524696681776</v>
      </c>
      <c r="GZ27" s="62">
        <f ca="1">AVERAGE(OFFSET($GY$3,0,0,'Données projet'!$E$18+1,1))-AVERAGE(OFFSET($H$3,0,0,'Données projet'!$E$18+1,1))</f>
        <v>420.2510366318939</v>
      </c>
      <c r="HA27" s="62">
        <f t="shared" si="52"/>
        <v>220.59884411514116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</row>
    <row r="28" spans="1:218" s="5" customFormat="1" x14ac:dyDescent="0.2">
      <c r="A28" s="11">
        <f t="shared" si="31"/>
        <v>25</v>
      </c>
      <c r="B28" s="74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24</v>
      </c>
      <c r="N28" s="14">
        <f>IF('Données projet'!$A$36&gt;35,N27+M28-V27,IF(A28&lt;'Données projet'!$A$36,$K$205^A28,IF(A28='Données projet'!$A$36,'Données projet'!$B$36,N27+M28-V27)))</f>
        <v>150.00000000000003</v>
      </c>
      <c r="O28" s="14">
        <f>N28*VLOOKUP('Données projet'!$B$9,Paramètres!$A$1:$I$89,3,0)*VLOOKUP('Données projet'!$B$9,Paramètres!$A$1:$I$89,5,0)</f>
        <v>128.70000000000005</v>
      </c>
      <c r="P28" s="14">
        <f t="shared" si="33"/>
        <v>33.695792019186115</v>
      </c>
      <c r="Q28" s="22">
        <f t="shared" si="2"/>
        <v>282.83933776674922</v>
      </c>
      <c r="R28" s="62">
        <f t="shared" si="0"/>
        <v>570.06155998897145</v>
      </c>
      <c r="S28" s="62">
        <f ca="1">AVERAGE(OFFSET($R$3,0,0,'Données projet'!$E$9+1,1))-AVERAGE(OFFSET($H$3,0,0,'Données projet'!$E$9+1,1))</f>
        <v>623.31285537237943</v>
      </c>
      <c r="T28" s="62">
        <f t="shared" si="34"/>
        <v>462.33909258902241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141</v>
      </c>
      <c r="AG28" s="13">
        <f>VLOOKUP(A28,'Données projet'!$A$61:$I$81,9,0)</f>
        <v>7.8</v>
      </c>
      <c r="AH28" s="13">
        <f t="array" ref="AH28">INDEX(AG:AG,MIN(IF(ISNUMBER(AG28:AG224),ROW(AG28:AG224),"")))</f>
        <v>7.8</v>
      </c>
      <c r="AI28" s="14">
        <f>IF('Données projet'!$A$62&gt;35,AI27+AH28-AQ27,IF(A28&lt;'Données projet'!$A$62,$AF$205^A28,IF(A28='Données projet'!$A$62,'Données projet'!$B$62,AI27+AH28-AQ27)))</f>
        <v>141.00000000000003</v>
      </c>
      <c r="AJ28" s="14">
        <f>AI28*VLOOKUP('Données projet'!$B$10,Paramètres!$A$1:$I$89,3,0)*VLOOKUP('Données projet'!$B$10,Paramètres!$A$1:$I$89,5,0)</f>
        <v>123.17760000000004</v>
      </c>
      <c r="AK28" s="14">
        <f t="shared" si="35"/>
        <v>32.414991240570451</v>
      </c>
      <c r="AL28" s="22">
        <f t="shared" si="4"/>
        <v>270.99042974399362</v>
      </c>
      <c r="AM28" s="62">
        <f t="shared" si="5"/>
        <v>558.21265196621584</v>
      </c>
      <c r="AN28" s="62">
        <f ca="1">AVERAGE(OFFSET($AM$3,0,0,'Données projet'!$E$10+1,1))-AVERAGE(OFFSET($H$3,0,0,'Données projet'!$E$10+1,1))</f>
        <v>390.70479111593545</v>
      </c>
      <c r="AO28" s="62">
        <f t="shared" si="36"/>
        <v>374.99493809709708</v>
      </c>
      <c r="AP28" s="16">
        <f>IF(ISNA(VLOOKUP(A28,'Données projet'!$A$61:$I$81,3,0)),0,VLOOKUP(A28,'Données projet'!$A$61:$I$81,3,0))</f>
        <v>4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0.159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141</v>
      </c>
      <c r="BB28" s="13">
        <f>VLOOKUP(A28,'Données projet'!$A$87:$I$107,9,0)</f>
        <v>7.8</v>
      </c>
      <c r="BC28" s="13">
        <f t="array" ref="BC28">INDEX(BB:BB,MIN(IF(ISNUMBER(BB28:BB224),ROW(BB28:BB224),"")))</f>
        <v>7.8</v>
      </c>
      <c r="BD28" s="13">
        <f>IF('Données projet'!$A$88&gt;35,BD27+BC28-BL27,IF(A28&lt;'Données projet'!$A$88,$BA$205^A28,IF(A28='Données projet'!$A$88,'Données projet'!$B$88,BD27+BC28-BL27)))</f>
        <v>141.00000000000003</v>
      </c>
      <c r="BE28" s="14">
        <f>BD28*VLOOKUP('Données projet'!$B$11,Paramètres!$A$1:$I$89,3,0)*VLOOKUP('Données projet'!$B$11,Paramètres!$A$1:$I$89,5,0)</f>
        <v>112.17960000000002</v>
      </c>
      <c r="BF28" s="14">
        <f t="shared" si="37"/>
        <v>29.843927447283825</v>
      </c>
      <c r="BG28" s="22">
        <f t="shared" si="7"/>
        <v>247.35764363735268</v>
      </c>
      <c r="BH28" s="62">
        <f t="shared" si="8"/>
        <v>534.57986585957497</v>
      </c>
      <c r="BI28" s="62">
        <f ca="1">AVERAGE(OFFSET($BH$3,0,0,'Données projet'!$E$11+1,1))-AVERAGE(OFFSET($H$3,0,0,'Données projet'!$E$11+1,1))</f>
        <v>359.18294335011535</v>
      </c>
      <c r="BJ28" s="62">
        <f t="shared" si="38"/>
        <v>345.47508134331241</v>
      </c>
      <c r="BK28" s="16">
        <f>IF(ISNA(VLOOKUP(A28,'Données projet'!$A$87:$I$107,3,0)),0,VLOOKUP(A28,'Données projet'!$A$87:$I$107,3,0))</f>
        <v>4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0.159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141</v>
      </c>
      <c r="BW28" s="13">
        <f>VLOOKUP(A28,'Données projet'!$A$113:$I$133,9,0)</f>
        <v>7.8</v>
      </c>
      <c r="BX28" s="13">
        <f t="array" ref="BX28">INDEX(BW:BW,MIN(IF(ISNUMBER(BW28:BW224),ROW(BW28:BW224),"")))</f>
        <v>7.8</v>
      </c>
      <c r="BY28" s="13">
        <f>IF('Données projet'!$A$114&gt;35,BY27+BX28-CG27,IF(A28&lt;'Données projet'!$A$114,$BV$205^A28,IF(A28='Données projet'!$A$114,'Données projet'!$B$114,BY27+BX28-CG27)))</f>
        <v>141.00000000000003</v>
      </c>
      <c r="BZ28" s="14">
        <f>BY28*VLOOKUP('Données projet'!$B$12,Paramètres!$A$1:$I$89,3,0)*VLOOKUP('Données projet'!$B$12,Paramètres!$A$1:$I$89,5,0)</f>
        <v>103.38120000000002</v>
      </c>
      <c r="CA28" s="14">
        <f t="shared" si="39"/>
        <v>27.765956260923325</v>
      </c>
      <c r="CB28" s="22">
        <f t="shared" si="10"/>
        <v>228.41463048777482</v>
      </c>
      <c r="CC28" s="62">
        <f t="shared" si="11"/>
        <v>515.63685270999702</v>
      </c>
      <c r="CD28" s="62">
        <f ca="1">AVERAGE(OFFSET($CC$3,0,0,'Données projet'!$E$12+1,1))-AVERAGE(OFFSET($H$3,0,0,'Données projet'!$E$12+1,1))</f>
        <v>333.9187211440219</v>
      </c>
      <c r="CE28" s="62">
        <f t="shared" si="40"/>
        <v>321.81422611044997</v>
      </c>
      <c r="CF28" s="16">
        <f>IF(ISNA(VLOOKUP(A28,'Données projet'!$A$113:$I$133,3,0)),0,VLOOKUP(A28,'Données projet'!$A$113:$I$133,3,0))</f>
        <v>4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0.129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141</v>
      </c>
      <c r="CR28" s="13">
        <f>VLOOKUP(A28,'Données projet'!$A$139:$I$159,9,0)</f>
        <v>7.8</v>
      </c>
      <c r="CS28" s="13">
        <f t="array" ref="CS28">INDEX(CR:CR,MIN(IF(ISNUMBER(CR28:CR224),ROW(CR28:CR224),"")))</f>
        <v>7.8</v>
      </c>
      <c r="CT28" s="13">
        <f>IF('Données projet'!$A$140&gt;35,CT27+CS28-DB27,IF(A28&lt;'Données projet'!$A$140,$CQ$205^A28,IF(A28='Données projet'!$A$140,'Données projet'!$B$140,CT27+CS28-DB27)))</f>
        <v>141.00000000000003</v>
      </c>
      <c r="CU28" s="18">
        <f>CT28*VLOOKUP('Données projet'!$B$13,Paramètres!$A$1:$I$89,3,0)*VLOOKUP('Données projet'!$B$13,Paramètres!$A$1:$I$89,5,0)</f>
        <v>114.37920000000004</v>
      </c>
      <c r="CV28" s="14">
        <f t="shared" si="41"/>
        <v>30.360402323573549</v>
      </c>
      <c r="CW28" s="22">
        <f t="shared" si="13"/>
        <v>252.08814071355732</v>
      </c>
      <c r="CX28" s="62">
        <f t="shared" si="14"/>
        <v>539.31036293577949</v>
      </c>
      <c r="CY28" s="62">
        <f ca="1">AVERAGE(OFFSET($CX$3,0,0,'Données projet'!$E$13+1,1))-AVERAGE(OFFSET($H$3,0,0,'Données projet'!$E$13+1,1))</f>
        <v>365.492319515595</v>
      </c>
      <c r="CZ28" s="62">
        <f t="shared" si="42"/>
        <v>351.38386928091433</v>
      </c>
      <c r="DA28" s="16">
        <f>IF(ISNA(VLOOKUP(A28,'Données projet'!$A$139:$I$159,3,0)),0,VLOOKUP(A28,'Données projet'!$A$139:$I$159,3,0))</f>
        <v>4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0.129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3.887142857142857</v>
      </c>
      <c r="DO28" s="13">
        <f>IF('Données projet'!$A$166&gt;35,DO27+DN28-DW27,IF(A28&lt;'Données projet'!$A$166,$DL$205^A28,IF(A28='Données projet'!$A$166,'Données projet'!$B$166,DO27+DN28-DW27)))</f>
        <v>97.178571428571445</v>
      </c>
      <c r="DP28" s="18">
        <f>DO28*VLOOKUP('Données projet'!$B$14,Paramètres!$A$1:$I$89,3,0)*VLOOKUP('Données projet'!$B$14,Paramètres!$A$1:$I$89,5,0)</f>
        <v>81.863228571428593</v>
      </c>
      <c r="DQ28" s="14">
        <f t="shared" si="43"/>
        <v>22.592140964555888</v>
      </c>
      <c r="DR28" s="22">
        <f t="shared" si="16"/>
        <v>181.92643527517296</v>
      </c>
      <c r="DS28" s="62">
        <f t="shared" si="17"/>
        <v>469.14865749739522</v>
      </c>
      <c r="DT28" s="62">
        <f ca="1">AVERAGE(OFFSET($DS$3,0,0,'Données projet'!$E$14+1,1))-AVERAGE(OFFSET($H$3,0,0,'Données projet'!$E$14+1,1))</f>
        <v>544.89250424794909</v>
      </c>
      <c r="DU28" s="62">
        <f t="shared" si="44"/>
        <v>253.98688498110715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3.887142857142857</v>
      </c>
      <c r="EJ28" s="13">
        <f>IF('Données projet'!$A$192&gt;35,EJ27+EI28-ER27,IF(A28&lt;'Données projet'!$A$192,$EG$205^A28,IF(A28='Données projet'!$A$192,'Données projet'!$B$192,EJ27+EI28-ER27)))</f>
        <v>97.178571428571445</v>
      </c>
      <c r="EK28" s="18">
        <f>EJ28*VLOOKUP('Données projet'!$B$15,Paramètres!$A$1:$I$89,3,0)*VLOOKUP('Données projet'!$B$15,Paramètres!$A$1:$I$89,5,0)</f>
        <v>87.927171428571441</v>
      </c>
      <c r="EL28" s="14">
        <f t="shared" si="45"/>
        <v>24.06463273936156</v>
      </c>
      <c r="EM28" s="22">
        <f t="shared" si="19"/>
        <v>195.05239225914997</v>
      </c>
      <c r="EN28" s="62">
        <f t="shared" si="20"/>
        <v>482.27461448137217</v>
      </c>
      <c r="EO28" s="62">
        <f ca="1">AVERAGE(OFFSET($EN$3,0,0,'Données projet'!$E$15+1,1))-AVERAGE(OFFSET($H$3,0,0,'Données projet'!$E$15+1,1))</f>
        <v>581.88778927327667</v>
      </c>
      <c r="EP28" s="62">
        <f t="shared" si="46"/>
        <v>269.67340993773422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3.887142857142857</v>
      </c>
      <c r="FE28" s="13">
        <f>IF('Données projet'!$A$218&gt;35,FE27+FD28-FM27,IF(A28&lt;'Données projet'!$A$218,$FB$205^A28,IF(A28='Données projet'!$A$218,'Données projet'!$B$218,FE27+FD28-FM27)))</f>
        <v>97.178571428571445</v>
      </c>
      <c r="FF28" s="18">
        <f>FE28*VLOOKUP('Données projet'!$B$16,Paramètres!$A$1:$I$89,3,0)*VLOOKUP('Données projet'!$B$16,Paramètres!$A$1:$I$89,5,0)</f>
        <v>98.539071428571447</v>
      </c>
      <c r="FG28" s="14">
        <f t="shared" si="47"/>
        <v>26.613653910702727</v>
      </c>
      <c r="FH28" s="22">
        <f t="shared" si="22"/>
        <v>217.97432996590248</v>
      </c>
      <c r="FI28" s="62">
        <f t="shared" si="23"/>
        <v>505.19655218812471</v>
      </c>
      <c r="FJ28" s="62">
        <f ca="1">AVERAGE(OFFSET($FI$3,0,0,'Données projet'!$E$16+1,1))-AVERAGE(OFFSET($H$3,0,0,'Données projet'!$E$16+1,1))</f>
        <v>646.50767193970182</v>
      </c>
      <c r="FK28" s="62">
        <f t="shared" si="48"/>
        <v>297.06786598620607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3.887142857142857</v>
      </c>
      <c r="FZ28" s="13">
        <f>IF('Données projet'!$A$244&gt;35,FZ27+FY28-GH27,IF(A28&lt;'Données projet'!$A$244,$FW$205^A28,IF(A28='Données projet'!$A$244,'Données projet'!$B$244,FZ27+FY28-GH27)))</f>
        <v>97.178571428571445</v>
      </c>
      <c r="GA28" s="18">
        <f>FZ28*VLOOKUP('Données projet'!$B$17,Paramètres!$A$1:$I$89,3,0)*VLOOKUP('Données projet'!$B$17,Paramètres!$A$1:$I$89,5,0)</f>
        <v>65.187385714285725</v>
      </c>
      <c r="GB28" s="14">
        <f t="shared" si="49"/>
        <v>18.473406650180198</v>
      </c>
      <c r="GC28" s="22">
        <f t="shared" si="25"/>
        <v>145.70921336811145</v>
      </c>
      <c r="GD28" s="62">
        <f t="shared" si="26"/>
        <v>432.93143559033365</v>
      </c>
      <c r="GE28" s="62">
        <f ca="1">AVERAGE(OFFSET($GD$3,0,0,'Données projet'!$E$17+1,1))-AVERAGE(OFFSET($H$3,0,0,'Données projet'!$E$17+1,1))</f>
        <v>442.85175349826028</v>
      </c>
      <c r="GF28" s="62">
        <f t="shared" si="50"/>
        <v>210.70697808232501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2.9</v>
      </c>
      <c r="GU28" s="13">
        <f>IF('Données projet'!$A$270&gt;35,GU27+GT28-HC27,IF(A28&lt;'Données projet'!$A$270,$GR$205^A28,IF(A28='Données projet'!$A$270,'Données projet'!$B$270,GU27+GT28-HC27)))</f>
        <v>41.330060769824172</v>
      </c>
      <c r="GV28" s="18">
        <f>GU28*VLOOKUP('Données projet'!$B$18,Paramètres!$A$1:$I$89,3,0)*VLOOKUP('Données projet'!$B$18,Paramètres!$A$1:$I$89,5,0)</f>
        <v>39.329685828564685</v>
      </c>
      <c r="GW28" s="14">
        <f t="shared" si="51"/>
        <v>11.820805691689014</v>
      </c>
      <c r="GX28" s="22">
        <f t="shared" si="28"/>
        <v>89.087106064441841</v>
      </c>
      <c r="GY28" s="62">
        <f t="shared" si="29"/>
        <v>376.30932828666408</v>
      </c>
      <c r="GZ28" s="62">
        <f ca="1">AVERAGE(OFFSET($GY$3,0,0,'Données projet'!$E$18+1,1))-AVERAGE(OFFSET($H$3,0,0,'Données projet'!$E$18+1,1))</f>
        <v>420.2510366318939</v>
      </c>
      <c r="HA28" s="62">
        <f t="shared" si="52"/>
        <v>220.59884411514116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0</v>
      </c>
    </row>
    <row r="29" spans="1:218" s="5" customFormat="1" x14ac:dyDescent="0.2">
      <c r="A29" s="11">
        <f t="shared" si="31"/>
        <v>26</v>
      </c>
      <c r="B29" s="74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24</v>
      </c>
      <c r="N29" s="14">
        <f>IF('Données projet'!$A$36&gt;35,N28+M29-V28,IF(A29&lt;'Données projet'!$A$36,$K$205^A29,IF(A29='Données projet'!$A$36,'Données projet'!$B$36,N28+M29-V28)))</f>
        <v>174.00000000000003</v>
      </c>
      <c r="O29" s="14">
        <f>N29*VLOOKUP('Données projet'!$B$9,Paramètres!$A$1:$I$89,3,0)*VLOOKUP('Données projet'!$B$9,Paramètres!$A$1:$I$89,5,0)</f>
        <v>149.29200000000003</v>
      </c>
      <c r="P29" s="14">
        <f t="shared" si="33"/>
        <v>38.417645803815446</v>
      </c>
      <c r="Q29" s="22">
        <f t="shared" si="2"/>
        <v>326.92763310831191</v>
      </c>
      <c r="R29" s="62">
        <f t="shared" si="0"/>
        <v>615.37207755275631</v>
      </c>
      <c r="S29" s="62">
        <f ca="1">AVERAGE(OFFSET($R$3,0,0,'Données projet'!$E$9+1,1))-AVERAGE(OFFSET($H$3,0,0,'Données projet'!$E$9+1,1))</f>
        <v>623.31285537237943</v>
      </c>
      <c r="T29" s="62">
        <f t="shared" si="34"/>
        <v>462.33909258902241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7.2</v>
      </c>
      <c r="AI29" s="14">
        <f>IF('Données projet'!$A$62&gt;35,AI28+AH29-AQ28,IF(A29&lt;'Données projet'!$A$62,$AF$205^A29,IF(A29='Données projet'!$A$62,'Données projet'!$B$62,AI28+AH29-AQ28)))</f>
        <v>148.20000000000002</v>
      </c>
      <c r="AJ29" s="14">
        <f>AI29*VLOOKUP('Données projet'!$B$10,Paramètres!$A$1:$I$89,3,0)*VLOOKUP('Données projet'!$B$10,Paramètres!$A$1:$I$89,5,0)</f>
        <v>129.46752000000004</v>
      </c>
      <c r="AK29" s="14">
        <f t="shared" si="35"/>
        <v>33.873289462262882</v>
      </c>
      <c r="AL29" s="22">
        <f t="shared" si="4"/>
        <v>284.48524314677451</v>
      </c>
      <c r="AM29" s="62">
        <f t="shared" si="5"/>
        <v>572.92968759121891</v>
      </c>
      <c r="AN29" s="62">
        <f ca="1">AVERAGE(OFFSET($AM$3,0,0,'Données projet'!$E$10+1,1))-AVERAGE(OFFSET($H$3,0,0,'Données projet'!$E$10+1,1))</f>
        <v>390.70479111593545</v>
      </c>
      <c r="AO29" s="62">
        <f t="shared" si="36"/>
        <v>374.99493809709708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7.2</v>
      </c>
      <c r="BD29" s="13">
        <f>IF('Données projet'!$A$88&gt;35,BD28+BC29-BL28,IF(A29&lt;'Données projet'!$A$88,$BA$205^A29,IF(A29='Données projet'!$A$88,'Données projet'!$B$88,BD28+BC29-BL28)))</f>
        <v>148.20000000000002</v>
      </c>
      <c r="BE29" s="14">
        <f>BD29*VLOOKUP('Données projet'!$B$11,Paramètres!$A$1:$I$89,3,0)*VLOOKUP('Données projet'!$B$11,Paramètres!$A$1:$I$89,5,0)</f>
        <v>117.90792000000002</v>
      </c>
      <c r="BF29" s="14">
        <f t="shared" si="37"/>
        <v>31.186557651984323</v>
      </c>
      <c r="BG29" s="22">
        <f t="shared" si="7"/>
        <v>259.67288191053939</v>
      </c>
      <c r="BH29" s="62">
        <f t="shared" si="8"/>
        <v>548.11732635498379</v>
      </c>
      <c r="BI29" s="62">
        <f ca="1">AVERAGE(OFFSET($BH$3,0,0,'Données projet'!$E$11+1,1))-AVERAGE(OFFSET($H$3,0,0,'Données projet'!$E$11+1,1))</f>
        <v>359.18294335011535</v>
      </c>
      <c r="BJ29" s="62">
        <f t="shared" si="38"/>
        <v>345.47508134331241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7.2</v>
      </c>
      <c r="BY29" s="13">
        <f>IF('Données projet'!$A$114&gt;35,BY28+BX29-CG28,IF(A29&lt;'Données projet'!$A$114,$BV$205^A29,IF(A29='Données projet'!$A$114,'Données projet'!$B$114,BY28+BX29-CG28)))</f>
        <v>148.20000000000002</v>
      </c>
      <c r="BZ29" s="14">
        <f>BY29*VLOOKUP('Données projet'!$B$12,Paramètres!$A$1:$I$89,3,0)*VLOOKUP('Données projet'!$B$12,Paramètres!$A$1:$I$89,5,0)</f>
        <v>108.66024000000002</v>
      </c>
      <c r="CA29" s="14">
        <f t="shared" si="39"/>
        <v>29.015101890437414</v>
      </c>
      <c r="CB29" s="22">
        <f t="shared" si="10"/>
        <v>239.78455379251184</v>
      </c>
      <c r="CC29" s="62">
        <f t="shared" si="11"/>
        <v>528.22899823695627</v>
      </c>
      <c r="CD29" s="62">
        <f ca="1">AVERAGE(OFFSET($CC$3,0,0,'Données projet'!$E$12+1,1))-AVERAGE(OFFSET($H$3,0,0,'Données projet'!$E$12+1,1))</f>
        <v>333.9187211440219</v>
      </c>
      <c r="CE29" s="62">
        <f t="shared" si="40"/>
        <v>321.81422611044997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7.2</v>
      </c>
      <c r="CT29" s="13">
        <f>IF('Données projet'!$A$140&gt;35,CT28+CS29-DB28,IF(A29&lt;'Données projet'!$A$140,$CQ$205^A29,IF(A29='Données projet'!$A$140,'Données projet'!$B$140,CT28+CS29-DB28)))</f>
        <v>148.20000000000002</v>
      </c>
      <c r="CU29" s="18">
        <f>CT29*VLOOKUP('Données projet'!$B$13,Paramètres!$A$1:$I$89,3,0)*VLOOKUP('Données projet'!$B$13,Paramètres!$A$1:$I$89,5,0)</f>
        <v>120.21984000000002</v>
      </c>
      <c r="CV29" s="14">
        <f t="shared" si="41"/>
        <v>31.726267900699519</v>
      </c>
      <c r="CW29" s="22">
        <f t="shared" si="13"/>
        <v>264.63947126038499</v>
      </c>
      <c r="CX29" s="62">
        <f t="shared" si="14"/>
        <v>553.08391570482945</v>
      </c>
      <c r="CY29" s="62">
        <f ca="1">AVERAGE(OFFSET($CX$3,0,0,'Données projet'!$E$13+1,1))-AVERAGE(OFFSET($H$3,0,0,'Données projet'!$E$13+1,1))</f>
        <v>365.492319515595</v>
      </c>
      <c r="CZ29" s="62">
        <f t="shared" si="42"/>
        <v>351.38386928091433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3.887142857142857</v>
      </c>
      <c r="DO29" s="13">
        <f>IF('Données projet'!$A$166&gt;35,DO28+DN29-DW28,IF(A29&lt;'Données projet'!$A$166,$DL$205^A29,IF(A29='Données projet'!$A$166,'Données projet'!$B$166,DO28+DN29-DW28)))</f>
        <v>101.06571428571431</v>
      </c>
      <c r="DP29" s="18">
        <f>DO29*VLOOKUP('Données projet'!$B$14,Paramètres!$A$1:$I$89,3,0)*VLOOKUP('Données projet'!$B$14,Paramètres!$A$1:$I$89,5,0)</f>
        <v>85.13775771428574</v>
      </c>
      <c r="DQ29" s="14">
        <f t="shared" si="43"/>
        <v>23.388805793595896</v>
      </c>
      <c r="DR29" s="22">
        <f t="shared" si="16"/>
        <v>189.01709810956049</v>
      </c>
      <c r="DS29" s="62">
        <f t="shared" si="17"/>
        <v>477.46154255400495</v>
      </c>
      <c r="DT29" s="62">
        <f ca="1">AVERAGE(OFFSET($DS$3,0,0,'Données projet'!$E$14+1,1))-AVERAGE(OFFSET($H$3,0,0,'Données projet'!$E$14+1,1))</f>
        <v>544.89250424794909</v>
      </c>
      <c r="DU29" s="62">
        <f t="shared" si="44"/>
        <v>253.98688498110715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3.887142857142857</v>
      </c>
      <c r="EJ29" s="13">
        <f>IF('Données projet'!$A$192&gt;35,EJ28+EI29-ER28,IF(A29&lt;'Données projet'!$A$192,$EG$205^A29,IF(A29='Données projet'!$A$192,'Données projet'!$B$192,EJ28+EI29-ER28)))</f>
        <v>101.06571428571431</v>
      </c>
      <c r="EK29" s="18">
        <f>EJ29*VLOOKUP('Données projet'!$B$15,Paramètres!$A$1:$I$89,3,0)*VLOOKUP('Données projet'!$B$15,Paramètres!$A$1:$I$89,5,0)</f>
        <v>91.444258285714298</v>
      </c>
      <c r="EL29" s="14">
        <f t="shared" si="45"/>
        <v>24.913221926074399</v>
      </c>
      <c r="EM29" s="22">
        <f t="shared" si="19"/>
        <v>202.65594470219867</v>
      </c>
      <c r="EN29" s="62">
        <f t="shared" si="20"/>
        <v>491.10038914664312</v>
      </c>
      <c r="EO29" s="62">
        <f ca="1">AVERAGE(OFFSET($EN$3,0,0,'Données projet'!$E$15+1,1))-AVERAGE(OFFSET($H$3,0,0,'Données projet'!$E$15+1,1))</f>
        <v>581.88778927327667</v>
      </c>
      <c r="EP29" s="62">
        <f t="shared" si="46"/>
        <v>269.67340993773422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3.887142857142857</v>
      </c>
      <c r="FE29" s="13">
        <f>IF('Données projet'!$A$218&gt;35,FE28+FD29-FM28,IF(A29&lt;'Données projet'!$A$218,$FB$205^A29,IF(A29='Données projet'!$A$218,'Données projet'!$B$218,FE28+FD29-FM28)))</f>
        <v>101.06571428571431</v>
      </c>
      <c r="FF29" s="18">
        <f>FE29*VLOOKUP('Données projet'!$B$16,Paramètres!$A$1:$I$89,3,0)*VLOOKUP('Données projet'!$B$16,Paramètres!$A$1:$I$89,5,0)</f>
        <v>102.48063428571432</v>
      </c>
      <c r="FG29" s="14">
        <f t="shared" si="47"/>
        <v>27.552129023626446</v>
      </c>
      <c r="FH29" s="22">
        <f t="shared" si="22"/>
        <v>226.47372943043516</v>
      </c>
      <c r="FI29" s="62">
        <f t="shared" si="23"/>
        <v>514.91817387487959</v>
      </c>
      <c r="FJ29" s="62">
        <f ca="1">AVERAGE(OFFSET($FI$3,0,0,'Données projet'!$E$16+1,1))-AVERAGE(OFFSET($H$3,0,0,'Données projet'!$E$16+1,1))</f>
        <v>646.50767193970182</v>
      </c>
      <c r="FK29" s="62">
        <f t="shared" si="48"/>
        <v>297.06786598620607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3.887142857142857</v>
      </c>
      <c r="FZ29" s="13">
        <f>IF('Données projet'!$A$244&gt;35,FZ28+FY29-GH28,IF(A29&lt;'Données projet'!$A$244,$FW$205^A29,IF(A29='Données projet'!$A$244,'Données projet'!$B$244,FZ28+FY29-GH28)))</f>
        <v>101.06571428571431</v>
      </c>
      <c r="GA29" s="18">
        <f>FZ29*VLOOKUP('Données projet'!$B$17,Paramètres!$A$1:$I$89,3,0)*VLOOKUP('Données projet'!$B$17,Paramètres!$A$1:$I$89,5,0)</f>
        <v>67.79488114285715</v>
      </c>
      <c r="GB29" s="14">
        <f t="shared" si="49"/>
        <v>19.124832886137288</v>
      </c>
      <c r="GC29" s="22">
        <f t="shared" si="25"/>
        <v>151.38516860049864</v>
      </c>
      <c r="GD29" s="62">
        <f t="shared" si="26"/>
        <v>439.82961304494313</v>
      </c>
      <c r="GE29" s="62">
        <f ca="1">AVERAGE(OFFSET($GD$3,0,0,'Données projet'!$E$17+1,1))-AVERAGE(OFFSET($H$3,0,0,'Données projet'!$E$17+1,1))</f>
        <v>442.85175349826028</v>
      </c>
      <c r="GF29" s="62">
        <f t="shared" si="50"/>
        <v>210.70697808232501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2.9</v>
      </c>
      <c r="GU29" s="13">
        <f>IF('Données projet'!$A$270&gt;35,GU28+GT29-HC28,IF(A29&lt;'Données projet'!$A$270,$GR$205^A29,IF(A29='Données projet'!$A$270,'Données projet'!$B$270,GU28+GT29-HC28)))</f>
        <v>47.964142612378275</v>
      </c>
      <c r="GV29" s="18">
        <f>GU29*VLOOKUP('Données projet'!$B$18,Paramètres!$A$1:$I$89,3,0)*VLOOKUP('Données projet'!$B$18,Paramètres!$A$1:$I$89,5,0)</f>
        <v>45.642678109939169</v>
      </c>
      <c r="GW29" s="14">
        <f t="shared" si="51"/>
        <v>13.482560742923978</v>
      </c>
      <c r="GX29" s="22">
        <f t="shared" si="28"/>
        <v>102.97645766873664</v>
      </c>
      <c r="GY29" s="62">
        <f t="shared" si="29"/>
        <v>391.42090211318111</v>
      </c>
      <c r="GZ29" s="62">
        <f ca="1">AVERAGE(OFFSET($GY$3,0,0,'Données projet'!$E$18+1,1))-AVERAGE(OFFSET($H$3,0,0,'Données projet'!$E$18+1,1))</f>
        <v>420.2510366318939</v>
      </c>
      <c r="HA29" s="62">
        <f t="shared" si="52"/>
        <v>220.59884411514116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0</v>
      </c>
    </row>
    <row r="30" spans="1:218" s="5" customFormat="1" x14ac:dyDescent="0.2">
      <c r="A30" s="11">
        <f t="shared" si="31"/>
        <v>27</v>
      </c>
      <c r="B30" s="74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>
        <f>VLOOKUP(A30,'Données projet'!$A$35:$I$55,2,0)</f>
        <v>198</v>
      </c>
      <c r="L30" s="13">
        <f>VLOOKUP(A30,'Données projet'!$A$35:$I$55,9,0)</f>
        <v>24</v>
      </c>
      <c r="M30" s="13">
        <f t="array" ref="M30">INDEX(L:L,MIN(IF(ISNUMBER(L30:L226),ROW(L30:L226),"")))</f>
        <v>24</v>
      </c>
      <c r="N30" s="14">
        <f>IF('Données projet'!$A$36&gt;35,N29+M30-V29,IF(A30&lt;'Données projet'!$A$36,$K$205^A30,IF(A30='Données projet'!$A$36,'Données projet'!$B$36,N29+M30-V29)))</f>
        <v>198.00000000000003</v>
      </c>
      <c r="O30" s="14">
        <f>N30*VLOOKUP('Données projet'!$B$9,Paramètres!$A$1:$I$89,3,0)*VLOOKUP('Données projet'!$B$9,Paramètres!$A$1:$I$89,5,0)</f>
        <v>169.88400000000004</v>
      </c>
      <c r="P30" s="14">
        <f t="shared" si="33"/>
        <v>43.064042412117296</v>
      </c>
      <c r="Q30" s="22">
        <f t="shared" si="2"/>
        <v>370.88450720110433</v>
      </c>
      <c r="R30" s="62">
        <f t="shared" si="0"/>
        <v>660.55117386777101</v>
      </c>
      <c r="S30" s="62">
        <f ca="1">AVERAGE(OFFSET($R$3,0,0,'Données projet'!$E$9+1,1))-AVERAGE(OFFSET($H$3,0,0,'Données projet'!$E$9+1,1))</f>
        <v>623.31285537237943</v>
      </c>
      <c r="T30" s="62">
        <f t="shared" si="34"/>
        <v>462.33909258902241</v>
      </c>
      <c r="U30" s="16">
        <f>IF(ISNA(VLOOKUP(A30,'Données projet'!$A$35:$I$55,3,0)),0,VLOOKUP(A30,'Données projet'!$A$35:$I$55,3,0))</f>
        <v>4</v>
      </c>
      <c r="V30" s="16">
        <f>IF(ISNA(VLOOKUP(A30,'Données projet'!$A$35:$I$55,4,0)),0,VLOOKUP(A30,'Données projet'!$A$35:$I$55,4,0))</f>
        <v>43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7.2</v>
      </c>
      <c r="AI30" s="14">
        <f>IF('Données projet'!$A$62&gt;35,AI29+AH30-AQ29,IF(A30&lt;'Données projet'!$A$62,$AF$205^A30,IF(A30='Données projet'!$A$62,'Données projet'!$B$62,AI29+AH30-AQ29)))</f>
        <v>155.4</v>
      </c>
      <c r="AJ30" s="14">
        <f>AI30*VLOOKUP('Données projet'!$B$10,Paramètres!$A$1:$I$89,3,0)*VLOOKUP('Données projet'!$B$10,Paramètres!$A$1:$I$89,5,0)</f>
        <v>135.75744000000003</v>
      </c>
      <c r="AK30" s="14">
        <f t="shared" si="35"/>
        <v>35.323360776061499</v>
      </c>
      <c r="AL30" s="22">
        <f t="shared" si="4"/>
        <v>297.96572801830712</v>
      </c>
      <c r="AM30" s="62">
        <f t="shared" si="5"/>
        <v>587.63239468497386</v>
      </c>
      <c r="AN30" s="62">
        <f ca="1">AVERAGE(OFFSET($AM$3,0,0,'Données projet'!$E$10+1,1))-AVERAGE(OFFSET($H$3,0,0,'Données projet'!$E$10+1,1))</f>
        <v>390.70479111593545</v>
      </c>
      <c r="AO30" s="62">
        <f t="shared" si="36"/>
        <v>374.99493809709708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7.2</v>
      </c>
      <c r="BD30" s="13">
        <f>IF('Données projet'!$A$88&gt;35,BD29+BC30-BL29,IF(A30&lt;'Données projet'!$A$88,$BA$205^A30,IF(A30='Données projet'!$A$88,'Données projet'!$B$88,BD29+BC30-BL29)))</f>
        <v>155.4</v>
      </c>
      <c r="BE30" s="14">
        <f>BD30*VLOOKUP('Données projet'!$B$11,Paramètres!$A$1:$I$89,3,0)*VLOOKUP('Données projet'!$B$11,Paramètres!$A$1:$I$89,5,0)</f>
        <v>123.63624000000002</v>
      </c>
      <c r="BF30" s="14">
        <f t="shared" si="37"/>
        <v>32.521613483442636</v>
      </c>
      <c r="BG30" s="22">
        <f t="shared" si="7"/>
        <v>271.97492815032928</v>
      </c>
      <c r="BH30" s="62">
        <f t="shared" si="8"/>
        <v>561.64159481699596</v>
      </c>
      <c r="BI30" s="62">
        <f ca="1">AVERAGE(OFFSET($BH$3,0,0,'Données projet'!$E$11+1,1))-AVERAGE(OFFSET($H$3,0,0,'Données projet'!$E$11+1,1))</f>
        <v>359.18294335011535</v>
      </c>
      <c r="BJ30" s="62">
        <f t="shared" si="38"/>
        <v>345.47508134331241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7.2</v>
      </c>
      <c r="BY30" s="13">
        <f>IF('Données projet'!$A$114&gt;35,BY29+BX30-CG29,IF(A30&lt;'Données projet'!$A$114,$BV$205^A30,IF(A30='Données projet'!$A$114,'Données projet'!$B$114,BY29+BX30-CG29)))</f>
        <v>155.4</v>
      </c>
      <c r="BZ30" s="14">
        <f>BY30*VLOOKUP('Données projet'!$B$12,Paramètres!$A$1:$I$89,3,0)*VLOOKUP('Données projet'!$B$12,Paramètres!$A$1:$I$89,5,0)</f>
        <v>113.93928</v>
      </c>
      <c r="CA30" s="14">
        <f t="shared" si="39"/>
        <v>30.257200534714013</v>
      </c>
      <c r="CB30" s="22">
        <f t="shared" si="10"/>
        <v>251.14220359796022</v>
      </c>
      <c r="CC30" s="62">
        <f t="shared" si="11"/>
        <v>540.80887026462688</v>
      </c>
      <c r="CD30" s="62">
        <f ca="1">AVERAGE(OFFSET($CC$3,0,0,'Données projet'!$E$12+1,1))-AVERAGE(OFFSET($H$3,0,0,'Données projet'!$E$12+1,1))</f>
        <v>333.9187211440219</v>
      </c>
      <c r="CE30" s="62">
        <f t="shared" si="40"/>
        <v>321.81422611044997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7.2</v>
      </c>
      <c r="CT30" s="13">
        <f>IF('Données projet'!$A$140&gt;35,CT29+CS30-DB29,IF(A30&lt;'Données projet'!$A$140,$CQ$205^A30,IF(A30='Données projet'!$A$140,'Données projet'!$B$140,CT29+CS30-DB29)))</f>
        <v>155.4</v>
      </c>
      <c r="CU30" s="18">
        <f>CT30*VLOOKUP('Données projet'!$B$13,Paramètres!$A$1:$I$89,3,0)*VLOOKUP('Données projet'!$B$13,Paramètres!$A$1:$I$89,5,0)</f>
        <v>126.06048000000001</v>
      </c>
      <c r="CV30" s="14">
        <f t="shared" si="41"/>
        <v>33.084428023528638</v>
      </c>
      <c r="CW30" s="22">
        <f t="shared" si="13"/>
        <v>277.17738147431237</v>
      </c>
      <c r="CX30" s="62">
        <f t="shared" si="14"/>
        <v>566.84404814097911</v>
      </c>
      <c r="CY30" s="62">
        <f ca="1">AVERAGE(OFFSET($CX$3,0,0,'Données projet'!$E$13+1,1))-AVERAGE(OFFSET($H$3,0,0,'Données projet'!$E$13+1,1))</f>
        <v>365.492319515595</v>
      </c>
      <c r="CZ30" s="62">
        <f t="shared" si="42"/>
        <v>351.38386928091433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3.887142857142857</v>
      </c>
      <c r="DO30" s="13">
        <f>IF('Données projet'!$A$166&gt;35,DO29+DN30-DW29,IF(A30&lt;'Données projet'!$A$166,$DL$205^A30,IF(A30='Données projet'!$A$166,'Données projet'!$B$166,DO29+DN30-DW29)))</f>
        <v>104.95285714285717</v>
      </c>
      <c r="DP30" s="18">
        <f>DO30*VLOOKUP('Données projet'!$B$14,Paramètres!$A$1:$I$89,3,0)*VLOOKUP('Données projet'!$B$14,Paramètres!$A$1:$I$89,5,0)</f>
        <v>88.412286857142888</v>
      </c>
      <c r="DQ30" s="14">
        <f t="shared" si="43"/>
        <v>24.181911060354466</v>
      </c>
      <c r="DR30" s="22">
        <f t="shared" si="16"/>
        <v>196.10156137297454</v>
      </c>
      <c r="DS30" s="62">
        <f t="shared" si="17"/>
        <v>485.76822803964126</v>
      </c>
      <c r="DT30" s="62">
        <f ca="1">AVERAGE(OFFSET($DS$3,0,0,'Données projet'!$E$14+1,1))-AVERAGE(OFFSET($H$3,0,0,'Données projet'!$E$14+1,1))</f>
        <v>544.89250424794909</v>
      </c>
      <c r="DU30" s="62">
        <f t="shared" si="44"/>
        <v>253.98688498110715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3.887142857142857</v>
      </c>
      <c r="EJ30" s="13">
        <f>IF('Données projet'!$A$192&gt;35,EJ29+EI30-ER29,IF(A30&lt;'Données projet'!$A$192,$EG$205^A30,IF(A30='Données projet'!$A$192,'Données projet'!$B$192,EJ29+EI30-ER29)))</f>
        <v>104.95285714285717</v>
      </c>
      <c r="EK30" s="18">
        <f>EJ30*VLOOKUP('Données projet'!$B$15,Paramètres!$A$1:$I$89,3,0)*VLOOKUP('Données projet'!$B$15,Paramètres!$A$1:$I$89,5,0)</f>
        <v>94.961345142857169</v>
      </c>
      <c r="EL30" s="14">
        <f t="shared" si="45"/>
        <v>25.758019548315733</v>
      </c>
      <c r="EM30" s="22">
        <f t="shared" si="19"/>
        <v>210.25289350379276</v>
      </c>
      <c r="EN30" s="62">
        <f t="shared" si="20"/>
        <v>499.91956017045948</v>
      </c>
      <c r="EO30" s="62">
        <f ca="1">AVERAGE(OFFSET($EN$3,0,0,'Données projet'!$E$15+1,1))-AVERAGE(OFFSET($H$3,0,0,'Données projet'!$E$15+1,1))</f>
        <v>581.88778927327667</v>
      </c>
      <c r="EP30" s="62">
        <f t="shared" si="46"/>
        <v>269.67340993773422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3.887142857142857</v>
      </c>
      <c r="FE30" s="13">
        <f>IF('Données projet'!$A$218&gt;35,FE29+FD30-FM29,IF(A30&lt;'Données projet'!$A$218,$FB$205^A30,IF(A30='Données projet'!$A$218,'Données projet'!$B$218,FE29+FD30-FM29)))</f>
        <v>104.95285714285717</v>
      </c>
      <c r="FF30" s="18">
        <f>FE30*VLOOKUP('Données projet'!$B$16,Paramètres!$A$1:$I$89,3,0)*VLOOKUP('Données projet'!$B$16,Paramètres!$A$1:$I$89,5,0)</f>
        <v>106.42219714285717</v>
      </c>
      <c r="FG30" s="14">
        <f t="shared" si="47"/>
        <v>28.486410954559084</v>
      </c>
      <c r="FH30" s="22">
        <f t="shared" si="22"/>
        <v>234.96582576966659</v>
      </c>
      <c r="FI30" s="62">
        <f t="shared" si="23"/>
        <v>524.63249243633322</v>
      </c>
      <c r="FJ30" s="62">
        <f ca="1">AVERAGE(OFFSET($FI$3,0,0,'Données projet'!$E$16+1,1))-AVERAGE(OFFSET($H$3,0,0,'Données projet'!$E$16+1,1))</f>
        <v>646.50767193970182</v>
      </c>
      <c r="FK30" s="62">
        <f t="shared" si="48"/>
        <v>297.06786598620607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3.887142857142857</v>
      </c>
      <c r="FZ30" s="13">
        <f>IF('Données projet'!$A$244&gt;35,FZ29+FY30-GH29,IF(A30&lt;'Données projet'!$A$244,$FW$205^A30,IF(A30='Données projet'!$A$244,'Données projet'!$B$244,FZ29+FY30-GH29)))</f>
        <v>104.95285714285717</v>
      </c>
      <c r="GA30" s="18">
        <f>FZ30*VLOOKUP('Données projet'!$B$17,Paramètres!$A$1:$I$89,3,0)*VLOOKUP('Données projet'!$B$17,Paramètres!$A$1:$I$89,5,0)</f>
        <v>70.40237657142859</v>
      </c>
      <c r="GB30" s="14">
        <f t="shared" si="49"/>
        <v>19.773348497482683</v>
      </c>
      <c r="GC30" s="22">
        <f t="shared" si="25"/>
        <v>157.05605449502048</v>
      </c>
      <c r="GD30" s="62">
        <f t="shared" si="26"/>
        <v>446.72272116168716</v>
      </c>
      <c r="GE30" s="62">
        <f ca="1">AVERAGE(OFFSET($GD$3,0,0,'Données projet'!$E$17+1,1))-AVERAGE(OFFSET($H$3,0,0,'Données projet'!$E$17+1,1))</f>
        <v>442.85175349826028</v>
      </c>
      <c r="GF30" s="62">
        <f t="shared" si="50"/>
        <v>210.70697808232501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2.9</v>
      </c>
      <c r="GU30" s="13">
        <f>IF('Données projet'!$A$270&gt;35,GU29+GT30-HC29,IF(A30&lt;'Données projet'!$A$270,$GR$205^A30,IF(A30='Données projet'!$A$270,'Données projet'!$B$270,GU29+GT30-HC29)))</f>
        <v>55.663092037363789</v>
      </c>
      <c r="GV30" s="18">
        <f>GU30*VLOOKUP('Données projet'!$B$18,Paramètres!$A$1:$I$89,3,0)*VLOOKUP('Données projet'!$B$18,Paramètres!$A$1:$I$89,5,0)</f>
        <v>52.96899838275538</v>
      </c>
      <c r="GW30" s="14">
        <f t="shared" si="51"/>
        <v>15.377923377459837</v>
      </c>
      <c r="GX30" s="22">
        <f t="shared" si="28"/>
        <v>119.03755539904152</v>
      </c>
      <c r="GY30" s="62">
        <f t="shared" si="29"/>
        <v>408.70422206570822</v>
      </c>
      <c r="GZ30" s="62">
        <f ca="1">AVERAGE(OFFSET($GY$3,0,0,'Données projet'!$E$18+1,1))-AVERAGE(OFFSET($H$3,0,0,'Données projet'!$E$18+1,1))</f>
        <v>420.2510366318939</v>
      </c>
      <c r="HA30" s="62">
        <f t="shared" si="52"/>
        <v>220.59884411514116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0</v>
      </c>
      <c r="HJ30" s="24">
        <f t="shared" si="30"/>
        <v>0</v>
      </c>
    </row>
    <row r="31" spans="1:218" s="5" customFormat="1" x14ac:dyDescent="0.2">
      <c r="A31" s="11">
        <f t="shared" si="31"/>
        <v>28</v>
      </c>
      <c r="B31" s="74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24.333333333333332</v>
      </c>
      <c r="N31" s="14">
        <f>IF('Données projet'!$A$36&gt;35,N30+M31-V30,IF(A31&lt;'Données projet'!$A$36,$K$205^A31,IF(A31='Données projet'!$A$36,'Données projet'!$B$36,N30+M31-V30)))</f>
        <v>179.33333333333337</v>
      </c>
      <c r="O31" s="14">
        <f>N31*VLOOKUP('Données projet'!$B$9,Paramètres!$A$1:$I$89,3,0)*VLOOKUP('Données projet'!$B$9,Paramètres!$A$1:$I$89,5,0)</f>
        <v>153.86800000000005</v>
      </c>
      <c r="P31" s="14">
        <f t="shared" si="33"/>
        <v>39.456295775469606</v>
      </c>
      <c r="Q31" s="22">
        <f t="shared" si="2"/>
        <v>336.70648180894301</v>
      </c>
      <c r="R31" s="62">
        <f t="shared" si="0"/>
        <v>627.59537069783187</v>
      </c>
      <c r="S31" s="62">
        <f ca="1">AVERAGE(OFFSET($R$3,0,0,'Données projet'!$E$9+1,1))-AVERAGE(OFFSET($H$3,0,0,'Données projet'!$E$9+1,1))</f>
        <v>623.31285537237943</v>
      </c>
      <c r="T31" s="62">
        <f t="shared" si="34"/>
        <v>462.33909258902241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7.2</v>
      </c>
      <c r="AI31" s="14">
        <f>IF('Données projet'!$A$62&gt;35,AI30+AH31-AQ30,IF(A31&lt;'Données projet'!$A$62,$AF$205^A31,IF(A31='Données projet'!$A$62,'Données projet'!$B$62,AI30+AH31-AQ30)))</f>
        <v>162.6</v>
      </c>
      <c r="AJ31" s="14">
        <f>AI31*VLOOKUP('Données projet'!$B$10,Paramètres!$A$1:$I$89,3,0)*VLOOKUP('Données projet'!$B$10,Paramètres!$A$1:$I$89,5,0)</f>
        <v>142.04736000000003</v>
      </c>
      <c r="AK31" s="14">
        <f t="shared" si="35"/>
        <v>36.765629884795146</v>
      </c>
      <c r="AL31" s="22">
        <f t="shared" si="4"/>
        <v>311.43262404935155</v>
      </c>
      <c r="AM31" s="62">
        <f t="shared" si="5"/>
        <v>602.3215129382404</v>
      </c>
      <c r="AN31" s="62">
        <f ca="1">AVERAGE(OFFSET($AM$3,0,0,'Données projet'!$E$10+1,1))-AVERAGE(OFFSET($H$3,0,0,'Données projet'!$E$10+1,1))</f>
        <v>390.70479111593545</v>
      </c>
      <c r="AO31" s="62">
        <f t="shared" si="36"/>
        <v>374.99493809709708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7.2</v>
      </c>
      <c r="BD31" s="13">
        <f>IF('Données projet'!$A$88&gt;35,BD30+BC31-BL30,IF(A31&lt;'Données projet'!$A$88,$BA$205^A31,IF(A31='Données projet'!$A$88,'Données projet'!$B$88,BD30+BC31-BL30)))</f>
        <v>162.6</v>
      </c>
      <c r="BE31" s="14">
        <f>BD31*VLOOKUP('Données projet'!$B$11,Paramètres!$A$1:$I$89,3,0)*VLOOKUP('Données projet'!$B$11,Paramètres!$A$1:$I$89,5,0)</f>
        <v>129.36456000000001</v>
      </c>
      <c r="BF31" s="14">
        <f t="shared" si="37"/>
        <v>33.84948595828179</v>
      </c>
      <c r="BG31" s="22">
        <f t="shared" si="7"/>
        <v>284.2644633773408</v>
      </c>
      <c r="BH31" s="62">
        <f t="shared" si="8"/>
        <v>575.1533522662296</v>
      </c>
      <c r="BI31" s="62">
        <f ca="1">AVERAGE(OFFSET($BH$3,0,0,'Données projet'!$E$11+1,1))-AVERAGE(OFFSET($H$3,0,0,'Données projet'!$E$11+1,1))</f>
        <v>359.18294335011535</v>
      </c>
      <c r="BJ31" s="62">
        <f t="shared" si="38"/>
        <v>345.47508134331241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7.2</v>
      </c>
      <c r="BY31" s="13">
        <f>IF('Données projet'!$A$114&gt;35,BY30+BX31-CG30,IF(A31&lt;'Données projet'!$A$114,$BV$205^A31,IF(A31='Données projet'!$A$114,'Données projet'!$B$114,BY30+BX31-CG30)))</f>
        <v>162.6</v>
      </c>
      <c r="BZ31" s="14">
        <f>BY31*VLOOKUP('Données projet'!$B$12,Paramètres!$A$1:$I$89,3,0)*VLOOKUP('Données projet'!$B$12,Paramètres!$A$1:$I$89,5,0)</f>
        <v>119.21832000000001</v>
      </c>
      <c r="CA31" s="14">
        <f t="shared" si="39"/>
        <v>31.492615984694421</v>
      </c>
      <c r="CB31" s="22">
        <f t="shared" si="10"/>
        <v>262.48821350667612</v>
      </c>
      <c r="CC31" s="62">
        <f t="shared" si="11"/>
        <v>553.37710239556498</v>
      </c>
      <c r="CD31" s="62">
        <f ca="1">AVERAGE(OFFSET($CC$3,0,0,'Données projet'!$E$12+1,1))-AVERAGE(OFFSET($H$3,0,0,'Données projet'!$E$12+1,1))</f>
        <v>333.9187211440219</v>
      </c>
      <c r="CE31" s="62">
        <f t="shared" si="40"/>
        <v>321.81422611044997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7.2</v>
      </c>
      <c r="CT31" s="13">
        <f>IF('Données projet'!$A$140&gt;35,CT30+CS31-DB30,IF(A31&lt;'Données projet'!$A$140,$CQ$205^A31,IF(A31='Données projet'!$A$140,'Données projet'!$B$140,CT30+CS31-DB30)))</f>
        <v>162.6</v>
      </c>
      <c r="CU31" s="18">
        <f>CT31*VLOOKUP('Données projet'!$B$13,Paramètres!$A$1:$I$89,3,0)*VLOOKUP('Données projet'!$B$13,Paramètres!$A$1:$I$89,5,0)</f>
        <v>131.90112000000002</v>
      </c>
      <c r="CV31" s="14">
        <f t="shared" si="41"/>
        <v>34.435280475563573</v>
      </c>
      <c r="CW31" s="22">
        <f t="shared" si="13"/>
        <v>289.70256416160663</v>
      </c>
      <c r="CX31" s="62">
        <f t="shared" si="14"/>
        <v>580.59145305049549</v>
      </c>
      <c r="CY31" s="62">
        <f ca="1">AVERAGE(OFFSET($CX$3,0,0,'Données projet'!$E$13+1,1))-AVERAGE(OFFSET($H$3,0,0,'Données projet'!$E$13+1,1))</f>
        <v>365.492319515595</v>
      </c>
      <c r="CZ31" s="62">
        <f t="shared" si="42"/>
        <v>351.38386928091433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3.887142857142857</v>
      </c>
      <c r="DO31" s="13">
        <f>IF('Données projet'!$A$166&gt;35,DO30+DN31-DW30,IF(A31&lt;'Données projet'!$A$166,$DL$205^A31,IF(A31='Données projet'!$A$166,'Données projet'!$B$166,DO30+DN31-DW30)))</f>
        <v>108.84000000000003</v>
      </c>
      <c r="DP31" s="18">
        <f>DO31*VLOOKUP('Données projet'!$B$14,Paramètres!$A$1:$I$89,3,0)*VLOOKUP('Données projet'!$B$14,Paramètres!$A$1:$I$89,5,0)</f>
        <v>91.686816000000036</v>
      </c>
      <c r="DQ31" s="14">
        <f t="shared" si="43"/>
        <v>24.971603697693602</v>
      </c>
      <c r="DR31" s="22">
        <f t="shared" si="16"/>
        <v>203.18008097348309</v>
      </c>
      <c r="DS31" s="62">
        <f t="shared" si="17"/>
        <v>494.06896986237194</v>
      </c>
      <c r="DT31" s="62">
        <f ca="1">AVERAGE(OFFSET($DS$3,0,0,'Données projet'!$E$14+1,1))-AVERAGE(OFFSET($H$3,0,0,'Données projet'!$E$14+1,1))</f>
        <v>544.89250424794909</v>
      </c>
      <c r="DU31" s="62">
        <f t="shared" si="44"/>
        <v>253.98688498110715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3.887142857142857</v>
      </c>
      <c r="EJ31" s="13">
        <f>IF('Données projet'!$A$192&gt;35,EJ30+EI31-ER30,IF(A31&lt;'Données projet'!$A$192,$EG$205^A31,IF(A31='Données projet'!$A$192,'Données projet'!$B$192,EJ30+EI31-ER30)))</f>
        <v>108.84000000000003</v>
      </c>
      <c r="EK31" s="18">
        <f>EJ31*VLOOKUP('Données projet'!$B$15,Paramètres!$A$1:$I$89,3,0)*VLOOKUP('Données projet'!$B$15,Paramètres!$A$1:$I$89,5,0)</f>
        <v>98.478432000000026</v>
      </c>
      <c r="EL31" s="14">
        <f t="shared" si="45"/>
        <v>26.599182115615513</v>
      </c>
      <c r="EM31" s="22">
        <f t="shared" si="19"/>
        <v>217.84351125136371</v>
      </c>
      <c r="EN31" s="62">
        <f t="shared" si="20"/>
        <v>508.73240014025259</v>
      </c>
      <c r="EO31" s="62">
        <f ca="1">AVERAGE(OFFSET($EN$3,0,0,'Données projet'!$E$15+1,1))-AVERAGE(OFFSET($H$3,0,0,'Données projet'!$E$15+1,1))</f>
        <v>581.88778927327667</v>
      </c>
      <c r="EP31" s="62">
        <f t="shared" si="46"/>
        <v>269.67340993773422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3.887142857142857</v>
      </c>
      <c r="FE31" s="13">
        <f>IF('Données projet'!$A$218&gt;35,FE30+FD31-FM30,IF(A31&lt;'Données projet'!$A$218,$FB$205^A31,IF(A31='Données projet'!$A$218,'Données projet'!$B$218,FE30+FD31-FM30)))</f>
        <v>108.84000000000003</v>
      </c>
      <c r="FF31" s="18">
        <f>FE31*VLOOKUP('Données projet'!$B$16,Paramètres!$A$1:$I$89,3,0)*VLOOKUP('Données projet'!$B$16,Paramètres!$A$1:$I$89,5,0)</f>
        <v>110.36376000000004</v>
      </c>
      <c r="FG31" s="14">
        <f t="shared" si="47"/>
        <v>29.416672791139618</v>
      </c>
      <c r="FH31" s="22">
        <f t="shared" si="22"/>
        <v>243.45092044456825</v>
      </c>
      <c r="FI31" s="62">
        <f t="shared" si="23"/>
        <v>534.33980933345708</v>
      </c>
      <c r="FJ31" s="62">
        <f ca="1">AVERAGE(OFFSET($FI$3,0,0,'Données projet'!$E$16+1,1))-AVERAGE(OFFSET($H$3,0,0,'Données projet'!$E$16+1,1))</f>
        <v>646.50767193970182</v>
      </c>
      <c r="FK31" s="62">
        <f t="shared" si="48"/>
        <v>297.06786598620607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3.887142857142857</v>
      </c>
      <c r="FZ31" s="13">
        <f>IF('Données projet'!$A$244&gt;35,FZ30+FY31-GH30,IF(A31&lt;'Données projet'!$A$244,$FW$205^A31,IF(A31='Données projet'!$A$244,'Données projet'!$B$244,FZ30+FY31-GH30)))</f>
        <v>108.84000000000003</v>
      </c>
      <c r="GA31" s="18">
        <f>FZ31*VLOOKUP('Données projet'!$B$17,Paramètres!$A$1:$I$89,3,0)*VLOOKUP('Données projet'!$B$17,Paramètres!$A$1:$I$89,5,0)</f>
        <v>73.00987200000003</v>
      </c>
      <c r="GB31" s="14">
        <f t="shared" si="49"/>
        <v>20.419073630001385</v>
      </c>
      <c r="GC31" s="22">
        <f t="shared" si="25"/>
        <v>162.72208030558576</v>
      </c>
      <c r="GD31" s="62">
        <f t="shared" si="26"/>
        <v>453.61096919447459</v>
      </c>
      <c r="GE31" s="62">
        <f ca="1">AVERAGE(OFFSET($GD$3,0,0,'Données projet'!$E$17+1,1))-AVERAGE(OFFSET($H$3,0,0,'Données projet'!$E$17+1,1))</f>
        <v>442.85175349826028</v>
      </c>
      <c r="GF31" s="62">
        <f t="shared" si="50"/>
        <v>210.70697808232501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2.9</v>
      </c>
      <c r="GU31" s="13">
        <f>IF('Données projet'!$A$270&gt;35,GU30+GT31-HC30,IF(A31&lt;'Données projet'!$A$270,$GR$205^A31,IF(A31='Données projet'!$A$270,'Données projet'!$B$270,GU30+GT31-HC30)))</f>
        <v>64.597835933387927</v>
      </c>
      <c r="GV31" s="18">
        <f>GU31*VLOOKUP('Données projet'!$B$18,Paramètres!$A$1:$I$89,3,0)*VLOOKUP('Données projet'!$B$18,Paramètres!$A$1:$I$89,5,0)</f>
        <v>61.471300674211953</v>
      </c>
      <c r="GW31" s="14">
        <f t="shared" si="51"/>
        <v>17.539733876380811</v>
      </c>
      <c r="GX31" s="22">
        <f t="shared" si="28"/>
        <v>137.61088517561572</v>
      </c>
      <c r="GY31" s="62">
        <f t="shared" si="29"/>
        <v>428.49977406450455</v>
      </c>
      <c r="GZ31" s="62">
        <f ca="1">AVERAGE(OFFSET($GY$3,0,0,'Données projet'!$E$18+1,1))-AVERAGE(OFFSET($H$3,0,0,'Données projet'!$E$18+1,1))</f>
        <v>420.2510366318939</v>
      </c>
      <c r="HA31" s="62">
        <f t="shared" si="52"/>
        <v>220.59884411514116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0</v>
      </c>
      <c r="HJ31" s="24">
        <f t="shared" si="30"/>
        <v>0</v>
      </c>
    </row>
    <row r="32" spans="1:218" s="5" customFormat="1" x14ac:dyDescent="0.2">
      <c r="A32" s="11">
        <f t="shared" si="31"/>
        <v>29</v>
      </c>
      <c r="B32" s="74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24.333333333333332</v>
      </c>
      <c r="N32" s="14">
        <f>IF('Données projet'!$A$36&gt;35,N31+M32-V31,IF(A32&lt;'Données projet'!$A$36,$K$205^A32,IF(A32='Données projet'!$A$36,'Données projet'!$B$36,N31+M32-V31)))</f>
        <v>203.66666666666671</v>
      </c>
      <c r="O32" s="14">
        <f>N32*VLOOKUP('Données projet'!$B$9,Paramètres!$A$1:$I$89,3,0)*VLOOKUP('Données projet'!$B$9,Paramètres!$A$1:$I$89,5,0)</f>
        <v>174.74600000000007</v>
      </c>
      <c r="P32" s="14">
        <f t="shared" si="33"/>
        <v>44.151260306486655</v>
      </c>
      <c r="Q32" s="22">
        <f t="shared" si="2"/>
        <v>381.24606170046428</v>
      </c>
      <c r="R32" s="62">
        <f t="shared" si="0"/>
        <v>673.35717281157542</v>
      </c>
      <c r="S32" s="62">
        <f ca="1">AVERAGE(OFFSET($R$3,0,0,'Données projet'!$E$9+1,1))-AVERAGE(OFFSET($H$3,0,0,'Données projet'!$E$9+1,1))</f>
        <v>623.31285537237943</v>
      </c>
      <c r="T32" s="62">
        <f t="shared" si="34"/>
        <v>462.33909258902241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7.2</v>
      </c>
      <c r="AI32" s="14">
        <f>IF('Données projet'!$A$62&gt;35,AI31+AH32-AQ31,IF(A32&lt;'Données projet'!$A$62,$AF$205^A32,IF(A32='Données projet'!$A$62,'Données projet'!$B$62,AI31+AH32-AQ31)))</f>
        <v>169.79999999999998</v>
      </c>
      <c r="AJ32" s="14">
        <f>AI32*VLOOKUP('Données projet'!$B$10,Paramètres!$A$1:$I$89,3,0)*VLOOKUP('Données projet'!$B$10,Paramètres!$A$1:$I$89,5,0)</f>
        <v>148.33727999999999</v>
      </c>
      <c r="AK32" s="14">
        <f t="shared" si="35"/>
        <v>38.200481752654802</v>
      </c>
      <c r="AL32" s="22">
        <f t="shared" si="4"/>
        <v>324.88660171920714</v>
      </c>
      <c r="AM32" s="62">
        <f t="shared" si="5"/>
        <v>616.99771283031828</v>
      </c>
      <c r="AN32" s="62">
        <f ca="1">AVERAGE(OFFSET($AM$3,0,0,'Données projet'!$E$10+1,1))-AVERAGE(OFFSET($H$3,0,0,'Données projet'!$E$10+1,1))</f>
        <v>390.70479111593545</v>
      </c>
      <c r="AO32" s="62">
        <f t="shared" si="36"/>
        <v>374.99493809709708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7.2</v>
      </c>
      <c r="BD32" s="13">
        <f>IF('Données projet'!$A$88&gt;35,BD31+BC32-BL31,IF(A32&lt;'Données projet'!$A$88,$BA$205^A32,IF(A32='Données projet'!$A$88,'Données projet'!$B$88,BD31+BC32-BL31)))</f>
        <v>169.79999999999998</v>
      </c>
      <c r="BE32" s="14">
        <f>BD32*VLOOKUP('Données projet'!$B$11,Paramètres!$A$1:$I$89,3,0)*VLOOKUP('Données projet'!$B$11,Paramètres!$A$1:$I$89,5,0)</f>
        <v>135.09288000000001</v>
      </c>
      <c r="BF32" s="14">
        <f t="shared" si="37"/>
        <v>35.170529506441312</v>
      </c>
      <c r="BG32" s="22">
        <f t="shared" si="7"/>
        <v>296.54210489038525</v>
      </c>
      <c r="BH32" s="62">
        <f t="shared" si="8"/>
        <v>588.65321600149639</v>
      </c>
      <c r="BI32" s="62">
        <f ca="1">AVERAGE(OFFSET($BH$3,0,0,'Données projet'!$E$11+1,1))-AVERAGE(OFFSET($H$3,0,0,'Données projet'!$E$11+1,1))</f>
        <v>359.18294335011535</v>
      </c>
      <c r="BJ32" s="62">
        <f t="shared" si="38"/>
        <v>345.47508134331241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7.2</v>
      </c>
      <c r="BY32" s="13">
        <f>IF('Données projet'!$A$114&gt;35,BY31+BX32-CG31,IF(A32&lt;'Données projet'!$A$114,$BV$205^A32,IF(A32='Données projet'!$A$114,'Données projet'!$B$114,BY31+BX32-CG31)))</f>
        <v>169.79999999999998</v>
      </c>
      <c r="BZ32" s="14">
        <f>BY32*VLOOKUP('Données projet'!$B$12,Paramètres!$A$1:$I$89,3,0)*VLOOKUP('Données projet'!$B$12,Paramètres!$A$1:$I$89,5,0)</f>
        <v>124.49735999999997</v>
      </c>
      <c r="CA32" s="14">
        <f t="shared" si="39"/>
        <v>32.721677992091536</v>
      </c>
      <c r="CB32" s="22">
        <f t="shared" si="10"/>
        <v>273.82315783622602</v>
      </c>
      <c r="CC32" s="62">
        <f t="shared" si="11"/>
        <v>565.93426894733716</v>
      </c>
      <c r="CD32" s="62">
        <f ca="1">AVERAGE(OFFSET($CC$3,0,0,'Données projet'!$E$12+1,1))-AVERAGE(OFFSET($H$3,0,0,'Données projet'!$E$12+1,1))</f>
        <v>333.9187211440219</v>
      </c>
      <c r="CE32" s="62">
        <f t="shared" si="40"/>
        <v>321.81422611044997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7.2</v>
      </c>
      <c r="CT32" s="13">
        <f>IF('Données projet'!$A$140&gt;35,CT31+CS32-DB31,IF(A32&lt;'Données projet'!$A$140,$CQ$205^A32,IF(A32='Données projet'!$A$140,'Données projet'!$B$140,CT31+CS32-DB31)))</f>
        <v>169.79999999999998</v>
      </c>
      <c r="CU32" s="18">
        <f>CT32*VLOOKUP('Données projet'!$B$13,Paramètres!$A$1:$I$89,3,0)*VLOOKUP('Données projet'!$B$13,Paramètres!$A$1:$I$89,5,0)</f>
        <v>137.74176</v>
      </c>
      <c r="CV32" s="14">
        <f t="shared" si="41"/>
        <v>35.779185820459276</v>
      </c>
      <c r="CW32" s="22">
        <f t="shared" si="13"/>
        <v>302.21564730396659</v>
      </c>
      <c r="CX32" s="62">
        <f t="shared" si="14"/>
        <v>594.32675841507773</v>
      </c>
      <c r="CY32" s="62">
        <f ca="1">AVERAGE(OFFSET($CX$3,0,0,'Données projet'!$E$13+1,1))-AVERAGE(OFFSET($H$3,0,0,'Données projet'!$E$13+1,1))</f>
        <v>365.492319515595</v>
      </c>
      <c r="CZ32" s="62">
        <f t="shared" si="42"/>
        <v>351.38386928091433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3.887142857142857</v>
      </c>
      <c r="DO32" s="13">
        <f>IF('Données projet'!$A$166&gt;35,DO31+DN32-DW31,IF(A32&lt;'Données projet'!$A$166,$DL$205^A32,IF(A32='Données projet'!$A$166,'Données projet'!$B$166,DO31+DN32-DW31)))</f>
        <v>112.72714285714289</v>
      </c>
      <c r="DP32" s="18">
        <f>DO32*VLOOKUP('Données projet'!$B$14,Paramètres!$A$1:$I$89,3,0)*VLOOKUP('Données projet'!$B$14,Paramètres!$A$1:$I$89,5,0)</f>
        <v>94.961345142857184</v>
      </c>
      <c r="DQ32" s="14">
        <f t="shared" si="43"/>
        <v>25.758019548315733</v>
      </c>
      <c r="DR32" s="22">
        <f t="shared" si="16"/>
        <v>210.25289350379282</v>
      </c>
      <c r="DS32" s="62">
        <f t="shared" si="17"/>
        <v>502.36400461490393</v>
      </c>
      <c r="DT32" s="62">
        <f ca="1">AVERAGE(OFFSET($DS$3,0,0,'Données projet'!$E$14+1,1))-AVERAGE(OFFSET($H$3,0,0,'Données projet'!$E$14+1,1))</f>
        <v>544.89250424794909</v>
      </c>
      <c r="DU32" s="62">
        <f t="shared" si="44"/>
        <v>253.98688498110715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3.887142857142857</v>
      </c>
      <c r="EJ32" s="13">
        <f>IF('Données projet'!$A$192&gt;35,EJ31+EI32-ER31,IF(A32&lt;'Données projet'!$A$192,$EG$205^A32,IF(A32='Données projet'!$A$192,'Données projet'!$B$192,EJ31+EI32-ER31)))</f>
        <v>112.72714285714289</v>
      </c>
      <c r="EK32" s="18">
        <f>EJ32*VLOOKUP('Données projet'!$B$15,Paramètres!$A$1:$I$89,3,0)*VLOOKUP('Données projet'!$B$15,Paramètres!$A$1:$I$89,5,0)</f>
        <v>101.99551885714288</v>
      </c>
      <c r="EL32" s="14">
        <f t="shared" si="45"/>
        <v>27.436854324518826</v>
      </c>
      <c r="EM32" s="22">
        <f t="shared" si="19"/>
        <v>225.4280499580608</v>
      </c>
      <c r="EN32" s="62">
        <f t="shared" si="20"/>
        <v>517.539161069172</v>
      </c>
      <c r="EO32" s="62">
        <f ca="1">AVERAGE(OFFSET($EN$3,0,0,'Données projet'!$E$15+1,1))-AVERAGE(OFFSET($H$3,0,0,'Données projet'!$E$15+1,1))</f>
        <v>581.88778927327667</v>
      </c>
      <c r="EP32" s="62">
        <f t="shared" si="46"/>
        <v>269.67340993773422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3.887142857142857</v>
      </c>
      <c r="FE32" s="13">
        <f>IF('Données projet'!$A$218&gt;35,FE31+FD32-FM31,IF(A32&lt;'Données projet'!$A$218,$FB$205^A32,IF(A32='Données projet'!$A$218,'Données projet'!$B$218,FE31+FD32-FM31)))</f>
        <v>112.72714285714289</v>
      </c>
      <c r="FF32" s="18">
        <f>FE32*VLOOKUP('Données projet'!$B$16,Paramètres!$A$1:$I$89,3,0)*VLOOKUP('Données projet'!$B$16,Paramètres!$A$1:$I$89,5,0)</f>
        <v>114.3053228571429</v>
      </c>
      <c r="FG32" s="14">
        <f t="shared" si="47"/>
        <v>30.343074556744043</v>
      </c>
      <c r="FH32" s="22">
        <f t="shared" si="22"/>
        <v>251.92929216251972</v>
      </c>
      <c r="FI32" s="62">
        <f t="shared" si="23"/>
        <v>544.04040327363089</v>
      </c>
      <c r="FJ32" s="62">
        <f ca="1">AVERAGE(OFFSET($FI$3,0,0,'Données projet'!$E$16+1,1))-AVERAGE(OFFSET($H$3,0,0,'Données projet'!$E$16+1,1))</f>
        <v>646.50767193970182</v>
      </c>
      <c r="FK32" s="62">
        <f t="shared" si="48"/>
        <v>297.06786598620607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3.887142857142857</v>
      </c>
      <c r="FZ32" s="13">
        <f>IF('Données projet'!$A$244&gt;35,FZ31+FY32-GH31,IF(A32&lt;'Données projet'!$A$244,$FW$205^A32,IF(A32='Données projet'!$A$244,'Données projet'!$B$244,FZ31+FY32-GH31)))</f>
        <v>112.72714285714289</v>
      </c>
      <c r="GA32" s="18">
        <f>FZ32*VLOOKUP('Données projet'!$B$17,Paramètres!$A$1:$I$89,3,0)*VLOOKUP('Données projet'!$B$17,Paramètres!$A$1:$I$89,5,0)</f>
        <v>75.617367428571455</v>
      </c>
      <c r="GB32" s="14">
        <f t="shared" si="49"/>
        <v>21.062119361146681</v>
      </c>
      <c r="GC32" s="22">
        <f t="shared" si="25"/>
        <v>168.38343949209244</v>
      </c>
      <c r="GD32" s="62">
        <f t="shared" si="26"/>
        <v>460.49455060320361</v>
      </c>
      <c r="GE32" s="62">
        <f ca="1">AVERAGE(OFFSET($GD$3,0,0,'Données projet'!$E$17+1,1))-AVERAGE(OFFSET($H$3,0,0,'Données projet'!$E$17+1,1))</f>
        <v>442.85175349826028</v>
      </c>
      <c r="GF32" s="62">
        <f t="shared" si="50"/>
        <v>210.70697808232501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2.9</v>
      </c>
      <c r="GU32" s="13">
        <f>IF('Données projet'!$A$270&gt;35,GU31+GT32-HC31,IF(A32&lt;'Données projet'!$A$270,$GR$205^A32,IF(A32='Données projet'!$A$270,'Données projet'!$B$270,GU31+GT32-HC31)))</f>
        <v>74.966737465390224</v>
      </c>
      <c r="GV32" s="18">
        <f>GU32*VLOOKUP('Données projet'!$B$18,Paramètres!$A$1:$I$89,3,0)*VLOOKUP('Données projet'!$B$18,Paramètres!$A$1:$I$89,5,0)</f>
        <v>71.338347372065343</v>
      </c>
      <c r="GW32" s="14">
        <f t="shared" si="51"/>
        <v>20.005449169111273</v>
      </c>
      <c r="GX32" s="22">
        <f t="shared" si="28"/>
        <v>159.09044564254927</v>
      </c>
      <c r="GY32" s="62">
        <f t="shared" si="29"/>
        <v>451.20155675366038</v>
      </c>
      <c r="GZ32" s="62">
        <f ca="1">AVERAGE(OFFSET($GY$3,0,0,'Données projet'!$E$18+1,1))-AVERAGE(OFFSET($H$3,0,0,'Données projet'!$E$18+1,1))</f>
        <v>420.2510366318939</v>
      </c>
      <c r="HA32" s="62">
        <f t="shared" si="52"/>
        <v>220.59884411514116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0</v>
      </c>
      <c r="HJ32" s="24">
        <f t="shared" si="30"/>
        <v>0</v>
      </c>
    </row>
    <row r="33" spans="1:218" s="5" customFormat="1" x14ac:dyDescent="0.2">
      <c r="A33" s="11">
        <f t="shared" si="31"/>
        <v>30</v>
      </c>
      <c r="B33" s="74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228</v>
      </c>
      <c r="L33" s="13">
        <f>VLOOKUP(A33,'Données projet'!$A$35:$I$55,9,0)</f>
        <v>24.333333333333332</v>
      </c>
      <c r="M33" s="13">
        <f t="array" ref="M33">INDEX(L:L,MIN(IF(ISNUMBER(L33:L229),ROW(L33:L229),"")))</f>
        <v>24.333333333333332</v>
      </c>
      <c r="N33" s="14">
        <f>IF('Données projet'!$A$36&gt;35,N32+M33-V32,IF(A33&lt;'Données projet'!$A$36,$K$205^A33,IF(A33='Données projet'!$A$36,'Données projet'!$B$36,N32+M33-V32)))</f>
        <v>228.00000000000006</v>
      </c>
      <c r="O33" s="14">
        <f>N33*VLOOKUP('Données projet'!$B$9,Paramètres!$A$1:$I$89,3,0)*VLOOKUP('Données projet'!$B$9,Paramètres!$A$1:$I$89,5,0)</f>
        <v>195.62400000000008</v>
      </c>
      <c r="P33" s="14">
        <f t="shared" si="33"/>
        <v>48.781220625276006</v>
      </c>
      <c r="Q33" s="22">
        <f t="shared" si="2"/>
        <v>425.67242592235584</v>
      </c>
      <c r="R33" s="62">
        <f t="shared" si="0"/>
        <v>719.0057592556891</v>
      </c>
      <c r="S33" s="62">
        <f ca="1">AVERAGE(OFFSET($R$3,0,0,'Données projet'!$E$9+1,1))-AVERAGE(OFFSET($H$3,0,0,'Données projet'!$E$9+1,1))</f>
        <v>623.31285537237943</v>
      </c>
      <c r="T33" s="62">
        <f t="shared" si="34"/>
        <v>462.33909258902241</v>
      </c>
      <c r="U33" s="16">
        <f>IF(ISNA(VLOOKUP(A33,'Données projet'!$A$35:$I$55,3,0)),0,VLOOKUP(A33,'Données projet'!$A$35:$I$55,3,0))</f>
        <v>5</v>
      </c>
      <c r="V33" s="16">
        <f>IF(ISNA(VLOOKUP(A33,'Données projet'!$A$35:$I$55,4,0)),0,VLOOKUP(A33,'Données projet'!$A$35:$I$55,4,0))</f>
        <v>48</v>
      </c>
      <c r="W33" s="17">
        <f>IF(ISNA(VLOOKUP(A33,'Données projet'!$A$35:$I$55,5,0)),0%,VLOOKUP(A33,'Données projet'!$A$35:$I$55,5,0)*VLOOKUP('Données projet'!$B$9,Paramètres!$A$1:$I$89,7,0))</f>
        <v>0.159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7.2389030455989198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7.2389030455989198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177</v>
      </c>
      <c r="AG33" s="13">
        <f>VLOOKUP(A33,'Données projet'!$A$61:$I$81,9,0)</f>
        <v>7.2</v>
      </c>
      <c r="AH33" s="13">
        <f t="array" ref="AH33">INDEX(AG:AG,MIN(IF(ISNUMBER(AG33:AG229),ROW(AG33:AG229),"")))</f>
        <v>7.2</v>
      </c>
      <c r="AI33" s="14">
        <f>IF('Données projet'!$A$62&gt;35,AI32+AH33-AQ32,IF(A33&lt;'Données projet'!$A$62,$AF$205^A33,IF(A33='Données projet'!$A$62,'Données projet'!$B$62,AI32+AH33-AQ32)))</f>
        <v>176.99999999999997</v>
      </c>
      <c r="AJ33" s="14">
        <f>AI33*VLOOKUP('Données projet'!$B$10,Paramètres!$A$1:$I$89,3,0)*VLOOKUP('Données projet'!$B$10,Paramètres!$A$1:$I$89,5,0)</f>
        <v>154.62719999999999</v>
      </c>
      <c r="AK33" s="14">
        <f t="shared" si="35"/>
        <v>39.62826685000794</v>
      </c>
      <c r="AL33" s="22">
        <f t="shared" si="4"/>
        <v>338.32827143043045</v>
      </c>
      <c r="AM33" s="62">
        <f t="shared" si="5"/>
        <v>631.66160476376376</v>
      </c>
      <c r="AN33" s="62">
        <f ca="1">AVERAGE(OFFSET($AM$3,0,0,'Données projet'!$E$10+1,1))-AVERAGE(OFFSET($H$3,0,0,'Données projet'!$E$10+1,1))</f>
        <v>390.70479111593545</v>
      </c>
      <c r="AO33" s="62">
        <f t="shared" si="36"/>
        <v>374.99493809709708</v>
      </c>
      <c r="AP33" s="16">
        <f>IF(ISNA(VLOOKUP(A33,'Données projet'!$A$61:$I$81,3,0)),0,VLOOKUP(A33,'Données projet'!$A$61:$I$81,3,0))</f>
        <v>5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0.159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177</v>
      </c>
      <c r="BB33" s="13">
        <f>VLOOKUP(A33,'Données projet'!$A$87:$I$107,9,0)</f>
        <v>7.2</v>
      </c>
      <c r="BC33" s="13">
        <f t="array" ref="BC33">INDEX(BB:BB,MIN(IF(ISNUMBER(BB33:BB229),ROW(BB33:BB229),"")))</f>
        <v>7.2</v>
      </c>
      <c r="BD33" s="13">
        <f>IF('Données projet'!$A$88&gt;35,BD32+BC33-BL32,IF(A33&lt;'Données projet'!$A$88,$BA$205^A33,IF(A33='Données projet'!$A$88,'Données projet'!$B$88,BD32+BC33-BL32)))</f>
        <v>176.99999999999997</v>
      </c>
      <c r="BE33" s="14">
        <f>BD33*VLOOKUP('Données projet'!$B$11,Paramètres!$A$1:$I$89,3,0)*VLOOKUP('Données projet'!$B$11,Paramètres!$A$1:$I$89,5,0)</f>
        <v>140.82119999999998</v>
      </c>
      <c r="BF33" s="14">
        <f t="shared" si="37"/>
        <v>36.485066799988033</v>
      </c>
      <c r="BG33" s="22">
        <f t="shared" si="7"/>
        <v>308.80841467664578</v>
      </c>
      <c r="BH33" s="62">
        <f t="shared" si="8"/>
        <v>602.1417480099791</v>
      </c>
      <c r="BI33" s="62">
        <f ca="1">AVERAGE(OFFSET($BH$3,0,0,'Données projet'!$E$11+1,1))-AVERAGE(OFFSET($H$3,0,0,'Données projet'!$E$11+1,1))</f>
        <v>359.18294335011535</v>
      </c>
      <c r="BJ33" s="62">
        <f t="shared" si="38"/>
        <v>345.47508134331241</v>
      </c>
      <c r="BK33" s="16">
        <f>IF(ISNA(VLOOKUP(A33,'Données projet'!$A$87:$I$107,3,0)),0,VLOOKUP(A33,'Données projet'!$A$87:$I$107,3,0))</f>
        <v>5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0.159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177</v>
      </c>
      <c r="BW33" s="13">
        <f>VLOOKUP(A33,'Données projet'!$A$113:$I$133,9,0)</f>
        <v>7.2</v>
      </c>
      <c r="BX33" s="13">
        <f t="array" ref="BX33">INDEX(BW:BW,MIN(IF(ISNUMBER(BW33:BW229),ROW(BW33:BW229),"")))</f>
        <v>7.2</v>
      </c>
      <c r="BY33" s="13">
        <f>IF('Données projet'!$A$114&gt;35,BY32+BX33-CG32,IF(A33&lt;'Données projet'!$A$114,$BV$205^A33,IF(A33='Données projet'!$A$114,'Données projet'!$B$114,BY32+BX33-CG32)))</f>
        <v>176.99999999999997</v>
      </c>
      <c r="BZ33" s="14">
        <f>BY33*VLOOKUP('Données projet'!$B$12,Paramètres!$A$1:$I$89,3,0)*VLOOKUP('Données projet'!$B$12,Paramètres!$A$1:$I$89,5,0)</f>
        <v>129.77639999999997</v>
      </c>
      <c r="CA33" s="14">
        <f t="shared" si="39"/>
        <v>33.94468676198089</v>
      </c>
      <c r="CB33" s="22">
        <f t="shared" si="10"/>
        <v>285.14755944378334</v>
      </c>
      <c r="CC33" s="62">
        <f t="shared" si="11"/>
        <v>578.48089277711665</v>
      </c>
      <c r="CD33" s="62">
        <f ca="1">AVERAGE(OFFSET($CC$3,0,0,'Données projet'!$E$12+1,1))-AVERAGE(OFFSET($H$3,0,0,'Données projet'!$E$12+1,1))</f>
        <v>333.9187211440219</v>
      </c>
      <c r="CE33" s="62">
        <f t="shared" si="40"/>
        <v>321.81422611044997</v>
      </c>
      <c r="CF33" s="16">
        <f>IF(ISNA(VLOOKUP(A33,'Données projet'!$A$113:$I$133,3,0)),0,VLOOKUP(A33,'Données projet'!$A$113:$I$133,3,0))</f>
        <v>5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0.129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177</v>
      </c>
      <c r="CR33" s="13">
        <f>VLOOKUP(A33,'Données projet'!$A$139:$I$159,9,0)</f>
        <v>7.2</v>
      </c>
      <c r="CS33" s="13">
        <f t="array" ref="CS33">INDEX(CR:CR,MIN(IF(ISNUMBER(CR33:CR229),ROW(CR33:CR229),"")))</f>
        <v>7.2</v>
      </c>
      <c r="CT33" s="13">
        <f>IF('Données projet'!$A$140&gt;35,CT32+CS33-DB32,IF(A33&lt;'Données projet'!$A$140,$CQ$205^A33,IF(A33='Données projet'!$A$140,'Données projet'!$B$140,CT32+CS33-DB32)))</f>
        <v>176.99999999999997</v>
      </c>
      <c r="CU33" s="18">
        <f>CT33*VLOOKUP('Données projet'!$B$13,Paramètres!$A$1:$I$89,3,0)*VLOOKUP('Données projet'!$B$13,Paramètres!$A$1:$I$89,5,0)</f>
        <v>143.58239999999998</v>
      </c>
      <c r="CV33" s="14">
        <f t="shared" si="41"/>
        <v>37.116472314400653</v>
      </c>
      <c r="CW33" s="22">
        <f t="shared" si="13"/>
        <v>314.71720261424775</v>
      </c>
      <c r="CX33" s="62">
        <f t="shared" si="14"/>
        <v>608.05053594758101</v>
      </c>
      <c r="CY33" s="62">
        <f ca="1">AVERAGE(OFFSET($CX$3,0,0,'Données projet'!$E$13+1,1))-AVERAGE(OFFSET($H$3,0,0,'Données projet'!$E$13+1,1))</f>
        <v>365.492319515595</v>
      </c>
      <c r="CZ33" s="62">
        <f t="shared" si="42"/>
        <v>351.38386928091433</v>
      </c>
      <c r="DA33" s="16">
        <f>IF(ISNA(VLOOKUP(A33,'Données projet'!$A$139:$I$159,3,0)),0,VLOOKUP(A33,'Données projet'!$A$139:$I$159,3,0))</f>
        <v>5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0.129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3.887142857142857</v>
      </c>
      <c r="DO33" s="13">
        <f>IF('Données projet'!$A$166&gt;35,DO32+DN33-DW32,IF(A33&lt;'Données projet'!$A$166,$DL$205^A33,IF(A33='Données projet'!$A$166,'Données projet'!$B$166,DO32+DN33-DW32)))</f>
        <v>116.61428571428576</v>
      </c>
      <c r="DP33" s="18">
        <f>DO33*VLOOKUP('Données projet'!$B$14,Paramètres!$A$1:$I$89,3,0)*VLOOKUP('Données projet'!$B$14,Paramètres!$A$1:$I$89,5,0)</f>
        <v>98.235874285714331</v>
      </c>
      <c r="DQ33" s="14">
        <f t="shared" si="43"/>
        <v>26.541284555112757</v>
      </c>
      <c r="DR33" s="22">
        <f t="shared" si="16"/>
        <v>217.3202183144405</v>
      </c>
      <c r="DS33" s="62">
        <f t="shared" si="17"/>
        <v>510.65355164777384</v>
      </c>
      <c r="DT33" s="62">
        <f ca="1">AVERAGE(OFFSET($DS$3,0,0,'Données projet'!$E$14+1,1))-AVERAGE(OFFSET($H$3,0,0,'Données projet'!$E$14+1,1))</f>
        <v>544.89250424794909</v>
      </c>
      <c r="DU33" s="62">
        <f t="shared" si="44"/>
        <v>253.98688498110715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3.887142857142857</v>
      </c>
      <c r="EJ33" s="13">
        <f>IF('Données projet'!$A$192&gt;35,EJ32+EI33-ER32,IF(A33&lt;'Données projet'!$A$192,$EG$205^A33,IF(A33='Données projet'!$A$192,'Données projet'!$B$192,EJ32+EI33-ER32)))</f>
        <v>116.61428571428576</v>
      </c>
      <c r="EK33" s="18">
        <f>EJ33*VLOOKUP('Données projet'!$B$15,Paramètres!$A$1:$I$89,3,0)*VLOOKUP('Données projet'!$B$15,Paramètres!$A$1:$I$89,5,0)</f>
        <v>105.51260571428575</v>
      </c>
      <c r="EL33" s="14">
        <f t="shared" si="45"/>
        <v>28.271170326518615</v>
      </c>
      <c r="EM33" s="22">
        <f t="shared" si="19"/>
        <v>233.00674327106756</v>
      </c>
      <c r="EN33" s="62">
        <f t="shared" si="20"/>
        <v>526.34007660440091</v>
      </c>
      <c r="EO33" s="62">
        <f ca="1">AVERAGE(OFFSET($EN$3,0,0,'Données projet'!$E$15+1,1))-AVERAGE(OFFSET($H$3,0,0,'Données projet'!$E$15+1,1))</f>
        <v>581.88778927327667</v>
      </c>
      <c r="EP33" s="62">
        <f t="shared" si="46"/>
        <v>269.67340993773422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3.887142857142857</v>
      </c>
      <c r="FE33" s="13">
        <f>IF('Données projet'!$A$218&gt;35,FE32+FD33-FM32,IF(A33&lt;'Données projet'!$A$218,$FB$205^A33,IF(A33='Données projet'!$A$218,'Données projet'!$B$218,FE32+FD33-FM32)))</f>
        <v>116.61428571428576</v>
      </c>
      <c r="FF33" s="18">
        <f>FE33*VLOOKUP('Données projet'!$B$16,Paramètres!$A$1:$I$89,3,0)*VLOOKUP('Données projet'!$B$16,Paramètres!$A$1:$I$89,5,0)</f>
        <v>118.24688571428577</v>
      </c>
      <c r="FG33" s="14">
        <f t="shared" si="47"/>
        <v>31.265764612722538</v>
      </c>
      <c r="FH33" s="22">
        <f t="shared" si="22"/>
        <v>260.40119931953944</v>
      </c>
      <c r="FI33" s="62">
        <f t="shared" si="23"/>
        <v>553.73453265287276</v>
      </c>
      <c r="FJ33" s="62">
        <f ca="1">AVERAGE(OFFSET($FI$3,0,0,'Données projet'!$E$16+1,1))-AVERAGE(OFFSET($H$3,0,0,'Données projet'!$E$16+1,1))</f>
        <v>646.50767193970182</v>
      </c>
      <c r="FK33" s="62">
        <f t="shared" si="48"/>
        <v>297.06786598620607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3.887142857142857</v>
      </c>
      <c r="FZ33" s="13">
        <f>IF('Données projet'!$A$244&gt;35,FZ32+FY33-GH32,IF(A33&lt;'Données projet'!$A$244,$FW$205^A33,IF(A33='Données projet'!$A$244,'Données projet'!$B$244,FZ32+FY33-GH32)))</f>
        <v>116.61428571428576</v>
      </c>
      <c r="GA33" s="18">
        <f>FZ33*VLOOKUP('Données projet'!$B$17,Paramètres!$A$1:$I$89,3,0)*VLOOKUP('Données projet'!$B$17,Paramètres!$A$1:$I$89,5,0)</f>
        <v>78.224862857142881</v>
      </c>
      <c r="GB33" s="14">
        <f t="shared" si="49"/>
        <v>21.702588673378685</v>
      </c>
      <c r="GC33" s="22">
        <f t="shared" si="25"/>
        <v>174.04031141565838</v>
      </c>
      <c r="GD33" s="62">
        <f t="shared" si="26"/>
        <v>467.37364474899169</v>
      </c>
      <c r="GE33" s="62">
        <f ca="1">AVERAGE(OFFSET($GD$3,0,0,'Données projet'!$E$17+1,1))-AVERAGE(OFFSET($H$3,0,0,'Données projet'!$E$17+1,1))</f>
        <v>442.85175349826028</v>
      </c>
      <c r="GF33" s="62">
        <f t="shared" si="50"/>
        <v>210.70697808232501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>
        <f>VLOOKUP(A33,'Données projet'!$A$269:$I$289,2,0)</f>
        <v>87</v>
      </c>
      <c r="GS33" s="13">
        <f>VLOOKUP(A33,'Données projet'!$A$269:$I$289,9,0)</f>
        <v>2.9</v>
      </c>
      <c r="GT33" s="13">
        <f t="array" ref="GT33">INDEX(GS:GS,MIN(IF(ISNUMBER(GS33:GS229),ROW(GS33:GS229),"")))</f>
        <v>2.9</v>
      </c>
      <c r="GU33" s="13">
        <f>IF('Données projet'!$A$270&gt;35,GU32+GT33-HC32,IF(A33&lt;'Données projet'!$A$270,$GR$205^A33,IF(A33='Données projet'!$A$270,'Données projet'!$B$270,GU32+GT33-HC32)))</f>
        <v>87</v>
      </c>
      <c r="GV33" s="18">
        <f>GU33*VLOOKUP('Données projet'!$B$18,Paramètres!$A$1:$I$89,3,0)*VLOOKUP('Données projet'!$B$18,Paramètres!$A$1:$I$89,5,0)</f>
        <v>82.789200000000008</v>
      </c>
      <c r="GW33" s="14">
        <f t="shared" si="51"/>
        <v>22.817791836444734</v>
      </c>
      <c r="GX33" s="22">
        <f t="shared" si="28"/>
        <v>183.93217744847456</v>
      </c>
      <c r="GY33" s="62">
        <f t="shared" si="29"/>
        <v>477.26551078180785</v>
      </c>
      <c r="GZ33" s="62">
        <f ca="1">AVERAGE(OFFSET($GY$3,0,0,'Données projet'!$E$18+1,1))-AVERAGE(OFFSET($H$3,0,0,'Données projet'!$E$18+1,1))</f>
        <v>420.2510366318939</v>
      </c>
      <c r="HA33" s="62">
        <f t="shared" si="52"/>
        <v>220.59884411514116</v>
      </c>
      <c r="HB33" s="16">
        <f>IF(ISNA(VLOOKUP(A33,'Données projet'!$A$269:$I$289,3,0)),0,VLOOKUP(A33,'Données projet'!$A$269:$I$289,3,0))</f>
        <v>2</v>
      </c>
      <c r="HC33" s="16">
        <f>IF(ISNA(VLOOKUP(A33,'Données projet'!$A$269:$I$289,4,0)),0,VLOOKUP(A33,'Données projet'!$A$269:$I$289,4,0))</f>
        <v>11</v>
      </c>
      <c r="HD33" s="17">
        <f>IF(ISNA(VLOOKUP(A33,'Données projet'!$A$269:$I$289,5,0)),0%,VLOOKUP(A33,'Données projet'!$A$269:$I$289,5,0)*VLOOKUP('Données projet'!$B$18,Paramètres!$A$1:$I$89,7,0))</f>
        <v>8.6000000000000007E-2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0.99515947005272343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0</v>
      </c>
      <c r="HJ33" s="24">
        <f t="shared" si="30"/>
        <v>0.99515947005272343</v>
      </c>
    </row>
    <row r="34" spans="1:218" s="5" customFormat="1" x14ac:dyDescent="0.2">
      <c r="A34" s="11">
        <f t="shared" si="31"/>
        <v>31</v>
      </c>
      <c r="B34" s="74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24.333333333333332</v>
      </c>
      <c r="N34" s="14">
        <f>IF('Données projet'!$A$36&gt;35,N33+M34-V33,IF(A34&lt;'Données projet'!$A$36,$K$205^A34,IF(A34='Données projet'!$A$36,'Données projet'!$B$36,N33+M34-V33)))</f>
        <v>204.3333333333334</v>
      </c>
      <c r="O34" s="14">
        <f>N34*VLOOKUP('Données projet'!$B$9,Paramètres!$A$1:$I$89,3,0)*VLOOKUP('Données projet'!$B$9,Paramètres!$A$1:$I$89,5,0)</f>
        <v>175.31800000000007</v>
      </c>
      <c r="P34" s="14">
        <f t="shared" si="33"/>
        <v>44.27893503827304</v>
      </c>
      <c r="Q34" s="22">
        <f t="shared" si="2"/>
        <v>382.4646618583256</v>
      </c>
      <c r="R34" s="62">
        <f t="shared" si="0"/>
        <v>675.79799519165886</v>
      </c>
      <c r="S34" s="62">
        <f ca="1">AVERAGE(OFFSET($R$3,0,0,'Données projet'!$E$9+1,1))-AVERAGE(OFFSET($H$3,0,0,'Données projet'!$E$9+1,1))</f>
        <v>623.31285537237943</v>
      </c>
      <c r="T34" s="62">
        <f t="shared" si="34"/>
        <v>462.33909258902241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7.0969525721696085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7.0969525721696085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5.8</v>
      </c>
      <c r="AI34" s="14">
        <f>IF('Données projet'!$A$62&gt;35,AI33+AH34-AQ33,IF(A34&lt;'Données projet'!$A$62,$AF$205^A34,IF(A34='Données projet'!$A$62,'Données projet'!$B$62,AI33+AH34-AQ33)))</f>
        <v>182.79999999999998</v>
      </c>
      <c r="AJ34" s="14">
        <f>AI34*VLOOKUP('Données projet'!$B$10,Paramètres!$A$1:$I$89,3,0)*VLOOKUP('Données projet'!$B$10,Paramètres!$A$1:$I$89,5,0)</f>
        <v>159.69407999999999</v>
      </c>
      <c r="AK34" s="14">
        <f t="shared" si="35"/>
        <v>40.773506612969186</v>
      </c>
      <c r="AL34" s="22">
        <f t="shared" si="4"/>
        <v>349.14771335092126</v>
      </c>
      <c r="AM34" s="62">
        <f t="shared" si="5"/>
        <v>642.48104668425458</v>
      </c>
      <c r="AN34" s="62">
        <f ca="1">AVERAGE(OFFSET($AM$3,0,0,'Données projet'!$E$10+1,1))-AVERAGE(OFFSET($H$3,0,0,'Données projet'!$E$10+1,1))</f>
        <v>390.70479111593545</v>
      </c>
      <c r="AO34" s="62">
        <f t="shared" si="36"/>
        <v>374.99493809709708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5.8</v>
      </c>
      <c r="BD34" s="13">
        <f>IF('Données projet'!$A$88&gt;35,BD33+BC34-BL33,IF(A34&lt;'Données projet'!$A$88,$BA$205^A34,IF(A34='Données projet'!$A$88,'Données projet'!$B$88,BD33+BC34-BL33)))</f>
        <v>182.79999999999998</v>
      </c>
      <c r="BE34" s="14">
        <f>BD34*VLOOKUP('Données projet'!$B$11,Paramètres!$A$1:$I$89,3,0)*VLOOKUP('Données projet'!$B$11,Paramètres!$A$1:$I$89,5,0)</f>
        <v>145.43567999999999</v>
      </c>
      <c r="BF34" s="14">
        <f t="shared" si="37"/>
        <v>37.539469441713329</v>
      </c>
      <c r="BG34" s="22">
        <f t="shared" si="7"/>
        <v>318.68171861098403</v>
      </c>
      <c r="BH34" s="62">
        <f t="shared" si="8"/>
        <v>612.01505194431729</v>
      </c>
      <c r="BI34" s="62">
        <f ca="1">AVERAGE(OFFSET($BH$3,0,0,'Données projet'!$E$11+1,1))-AVERAGE(OFFSET($H$3,0,0,'Données projet'!$E$11+1,1))</f>
        <v>359.18294335011535</v>
      </c>
      <c r="BJ34" s="62">
        <f t="shared" si="38"/>
        <v>345.47508134331241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5.8</v>
      </c>
      <c r="BY34" s="13">
        <f>IF('Données projet'!$A$114&gt;35,BY33+BX34-CG33,IF(A34&lt;'Données projet'!$A$114,$BV$205^A34,IF(A34='Données projet'!$A$114,'Données projet'!$B$114,BY33+BX34-CG33)))</f>
        <v>182.79999999999998</v>
      </c>
      <c r="BZ34" s="14">
        <f>BY34*VLOOKUP('Données projet'!$B$12,Paramètres!$A$1:$I$89,3,0)*VLOOKUP('Données projet'!$B$12,Paramètres!$A$1:$I$89,5,0)</f>
        <v>134.02895999999998</v>
      </c>
      <c r="CA34" s="14">
        <f t="shared" si="39"/>
        <v>34.925673519949044</v>
      </c>
      <c r="CB34" s="22">
        <f t="shared" si="10"/>
        <v>294.26265338057789</v>
      </c>
      <c r="CC34" s="62">
        <f t="shared" si="11"/>
        <v>587.5959867139112</v>
      </c>
      <c r="CD34" s="62">
        <f ca="1">AVERAGE(OFFSET($CC$3,0,0,'Données projet'!$E$12+1,1))-AVERAGE(OFFSET($H$3,0,0,'Données projet'!$E$12+1,1))</f>
        <v>333.9187211440219</v>
      </c>
      <c r="CE34" s="62">
        <f t="shared" si="40"/>
        <v>321.81422611044997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5.8</v>
      </c>
      <c r="CT34" s="13">
        <f>IF('Données projet'!$A$140&gt;35,CT33+CS34-DB33,IF(A34&lt;'Données projet'!$A$140,$CQ$205^A34,IF(A34='Données projet'!$A$140,'Données projet'!$B$140,CT33+CS34-DB33)))</f>
        <v>182.79999999999998</v>
      </c>
      <c r="CU34" s="18">
        <f>CT34*VLOOKUP('Données projet'!$B$13,Paramètres!$A$1:$I$89,3,0)*VLOOKUP('Données projet'!$B$13,Paramètres!$A$1:$I$89,5,0)</f>
        <v>148.28736000000001</v>
      </c>
      <c r="CV34" s="14">
        <f t="shared" si="41"/>
        <v>38.189122302253821</v>
      </c>
      <c r="CW34" s="22">
        <f t="shared" si="13"/>
        <v>324.77987334309205</v>
      </c>
      <c r="CX34" s="62">
        <f t="shared" si="14"/>
        <v>618.11320667642531</v>
      </c>
      <c r="CY34" s="62">
        <f ca="1">AVERAGE(OFFSET($CX$3,0,0,'Données projet'!$E$13+1,1))-AVERAGE(OFFSET($H$3,0,0,'Données projet'!$E$13+1,1))</f>
        <v>365.492319515595</v>
      </c>
      <c r="CZ34" s="62">
        <f t="shared" si="42"/>
        <v>351.38386928091433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3.887142857142857</v>
      </c>
      <c r="DO34" s="13">
        <f>IF('Données projet'!$A$166&gt;35,DO33+DN34-DW33,IF(A34&lt;'Données projet'!$A$166,$DL$205^A34,IF(A34='Données projet'!$A$166,'Données projet'!$B$166,DO33+DN34-DW33)))</f>
        <v>120.50142857142862</v>
      </c>
      <c r="DP34" s="18">
        <f>DO34*VLOOKUP('Données projet'!$B$14,Paramètres!$A$1:$I$89,3,0)*VLOOKUP('Données projet'!$B$14,Paramètres!$A$1:$I$89,5,0)</f>
        <v>101.51040342857148</v>
      </c>
      <c r="DQ34" s="14">
        <f t="shared" si="43"/>
        <v>27.32151578834339</v>
      </c>
      <c r="DR34" s="22">
        <f t="shared" si="16"/>
        <v>224.38225930279336</v>
      </c>
      <c r="DS34" s="62">
        <f t="shared" si="17"/>
        <v>517.71559263612664</v>
      </c>
      <c r="DT34" s="62">
        <f ca="1">AVERAGE(OFFSET($DS$3,0,0,'Données projet'!$E$14+1,1))-AVERAGE(OFFSET($H$3,0,0,'Données projet'!$E$14+1,1))</f>
        <v>544.89250424794909</v>
      </c>
      <c r="DU34" s="62">
        <f t="shared" si="44"/>
        <v>253.98688498110715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3.887142857142857</v>
      </c>
      <c r="EJ34" s="13">
        <f>IF('Données projet'!$A$192&gt;35,EJ33+EI34-ER33,IF(A34&lt;'Données projet'!$A$192,$EG$205^A34,IF(A34='Données projet'!$A$192,'Données projet'!$B$192,EJ33+EI34-ER33)))</f>
        <v>120.50142857142862</v>
      </c>
      <c r="EK34" s="18">
        <f>EJ34*VLOOKUP('Données projet'!$B$15,Paramètres!$A$1:$I$89,3,0)*VLOOKUP('Données projet'!$B$15,Paramètres!$A$1:$I$89,5,0)</f>
        <v>109.02969257142863</v>
      </c>
      <c r="EL34" s="14">
        <f t="shared" si="45"/>
        <v>29.102254822181546</v>
      </c>
      <c r="EM34" s="22">
        <f t="shared" si="19"/>
        <v>240.57980837720436</v>
      </c>
      <c r="EN34" s="62">
        <f t="shared" si="20"/>
        <v>533.91314171053773</v>
      </c>
      <c r="EO34" s="62">
        <f ca="1">AVERAGE(OFFSET($EN$3,0,0,'Données projet'!$E$15+1,1))-AVERAGE(OFFSET($H$3,0,0,'Données projet'!$E$15+1,1))</f>
        <v>581.88778927327667</v>
      </c>
      <c r="EP34" s="62">
        <f t="shared" si="46"/>
        <v>269.67340993773422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3.887142857142857</v>
      </c>
      <c r="FE34" s="13">
        <f>IF('Données projet'!$A$218&gt;35,FE33+FD34-FM33,IF(A34&lt;'Données projet'!$A$218,$FB$205^A34,IF(A34='Données projet'!$A$218,'Données projet'!$B$218,FE33+FD34-FM33)))</f>
        <v>120.50142857142862</v>
      </c>
      <c r="FF34" s="18">
        <f>FE34*VLOOKUP('Données projet'!$B$16,Paramètres!$A$1:$I$89,3,0)*VLOOKUP('Données projet'!$B$16,Paramètres!$A$1:$I$89,5,0)</f>
        <v>122.18844857142862</v>
      </c>
      <c r="FG34" s="14">
        <f t="shared" si="47"/>
        <v>32.184880868419519</v>
      </c>
      <c r="FH34" s="22">
        <f t="shared" si="22"/>
        <v>268.86688210773553</v>
      </c>
      <c r="FI34" s="62">
        <f t="shared" si="23"/>
        <v>562.20021544106885</v>
      </c>
      <c r="FJ34" s="62">
        <f ca="1">AVERAGE(OFFSET($FI$3,0,0,'Données projet'!$E$16+1,1))-AVERAGE(OFFSET($H$3,0,0,'Données projet'!$E$16+1,1))</f>
        <v>646.50767193970182</v>
      </c>
      <c r="FK34" s="62">
        <f t="shared" si="48"/>
        <v>297.06786598620607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3.887142857142857</v>
      </c>
      <c r="FZ34" s="13">
        <f>IF('Données projet'!$A$244&gt;35,FZ33+FY34-GH33,IF(A34&lt;'Données projet'!$A$244,$FW$205^A34,IF(A34='Données projet'!$A$244,'Données projet'!$B$244,FZ33+FY34-GH33)))</f>
        <v>120.50142857142862</v>
      </c>
      <c r="GA34" s="18">
        <f>FZ34*VLOOKUP('Données projet'!$B$17,Paramètres!$A$1:$I$89,3,0)*VLOOKUP('Données projet'!$B$17,Paramètres!$A$1:$I$89,5,0)</f>
        <v>80.832358285714321</v>
      </c>
      <c r="GB34" s="14">
        <f t="shared" si="49"/>
        <v>22.34057729407888</v>
      </c>
      <c r="GC34" s="22">
        <f t="shared" si="25"/>
        <v>179.69286280147318</v>
      </c>
      <c r="GD34" s="62">
        <f t="shared" si="26"/>
        <v>473.02619613480647</v>
      </c>
      <c r="GE34" s="62">
        <f ca="1">AVERAGE(OFFSET($GD$3,0,0,'Données projet'!$E$17+1,1))-AVERAGE(OFFSET($H$3,0,0,'Données projet'!$E$17+1,1))</f>
        <v>442.85175349826028</v>
      </c>
      <c r="GF34" s="62">
        <f t="shared" si="50"/>
        <v>210.70697808232501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12.2</v>
      </c>
      <c r="GU34" s="13">
        <f>IF('Données projet'!$A$270&gt;35,GU33+GT34-HC33,IF(A34&lt;'Données projet'!$A$270,$GR$205^A34,IF(A34='Données projet'!$A$270,'Données projet'!$B$270,GU33+GT34-HC33)))</f>
        <v>88.2</v>
      </c>
      <c r="GV34" s="18">
        <f>GU34*VLOOKUP('Données projet'!$B$18,Paramètres!$A$1:$I$89,3,0)*VLOOKUP('Données projet'!$B$18,Paramètres!$A$1:$I$89,5,0)</f>
        <v>83.931120000000007</v>
      </c>
      <c r="GW34" s="14">
        <f t="shared" si="51"/>
        <v>23.095663536885745</v>
      </c>
      <c r="GX34" s="22">
        <f t="shared" si="28"/>
        <v>186.40498132674267</v>
      </c>
      <c r="GY34" s="62">
        <f t="shared" si="29"/>
        <v>479.73831466007596</v>
      </c>
      <c r="GZ34" s="62">
        <f ca="1">AVERAGE(OFFSET($GY$3,0,0,'Données projet'!$E$18+1,1))-AVERAGE(OFFSET($H$3,0,0,'Données projet'!$E$18+1,1))</f>
        <v>420.2510366318939</v>
      </c>
      <c r="HA34" s="62">
        <f t="shared" si="52"/>
        <v>220.59884411514116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0.97564499983233122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0</v>
      </c>
      <c r="HJ34" s="24">
        <f t="shared" si="30"/>
        <v>0.97564499983233122</v>
      </c>
    </row>
    <row r="35" spans="1:218" s="5" customFormat="1" x14ac:dyDescent="0.2">
      <c r="A35" s="11">
        <f t="shared" si="31"/>
        <v>32</v>
      </c>
      <c r="B35" s="74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24.333333333333332</v>
      </c>
      <c r="N35" s="14">
        <f>IF('Données projet'!$A$36&gt;35,N34+M35-V34,IF(A35&lt;'Données projet'!$A$36,$K$205^A35,IF(A35='Données projet'!$A$36,'Données projet'!$B$36,N34+M35-V34)))</f>
        <v>228.66666666666674</v>
      </c>
      <c r="O35" s="14">
        <f>N35*VLOOKUP('Données projet'!$B$9,Paramètres!$A$1:$I$89,3,0)*VLOOKUP('Données projet'!$B$9,Paramètres!$A$1:$I$89,5,0)</f>
        <v>196.19600000000008</v>
      </c>
      <c r="P35" s="14">
        <f t="shared" si="33"/>
        <v>48.907231617752288</v>
      </c>
      <c r="Q35" s="22">
        <f t="shared" ref="Q35:Q66" si="53">(O35+P35)*0.475*44/12</f>
        <v>426.88812840091873</v>
      </c>
      <c r="R35" s="62">
        <f t="shared" si="0"/>
        <v>720.22146173425199</v>
      </c>
      <c r="S35" s="62">
        <f ca="1">AVERAGE(OFFSET($R$3,0,0,'Données projet'!$E$9+1,1))-AVERAGE(OFFSET($H$3,0,0,'Données projet'!$E$9+1,1))</f>
        <v>623.31285537237943</v>
      </c>
      <c r="T35" s="62">
        <f t="shared" si="34"/>
        <v>462.33909258902241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6.9577856609430064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6.9577856609430064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5.8</v>
      </c>
      <c r="AI35" s="14">
        <f>IF('Données projet'!$A$62&gt;35,AI34+AH35-AQ34,IF(A35&lt;'Données projet'!$A$62,$AF$205^A35,IF(A35='Données projet'!$A$62,'Données projet'!$B$62,AI34+AH35-AQ34)))</f>
        <v>188.6</v>
      </c>
      <c r="AJ35" s="14">
        <f>AI35*VLOOKUP('Données projet'!$B$10,Paramètres!$A$1:$I$89,3,0)*VLOOKUP('Données projet'!$B$10,Paramètres!$A$1:$I$89,5,0)</f>
        <v>164.76096000000004</v>
      </c>
      <c r="AK35" s="14">
        <f t="shared" si="35"/>
        <v>41.914523809719945</v>
      </c>
      <c r="AL35" s="22">
        <f t="shared" si="4"/>
        <v>359.95980096859563</v>
      </c>
      <c r="AM35" s="62">
        <f t="shared" si="5"/>
        <v>653.29313430192894</v>
      </c>
      <c r="AN35" s="62">
        <f ca="1">AVERAGE(OFFSET($AM$3,0,0,'Données projet'!$E$10+1,1))-AVERAGE(OFFSET($H$3,0,0,'Données projet'!$E$10+1,1))</f>
        <v>390.70479111593545</v>
      </c>
      <c r="AO35" s="62">
        <f t="shared" si="36"/>
        <v>374.99493809709708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5.8</v>
      </c>
      <c r="BD35" s="13">
        <f>IF('Données projet'!$A$88&gt;35,BD34+BC35-BL34,IF(A35&lt;'Données projet'!$A$88,$BA$205^A35,IF(A35='Données projet'!$A$88,'Données projet'!$B$88,BD34+BC35-BL34)))</f>
        <v>188.6</v>
      </c>
      <c r="BE35" s="14">
        <f>BD35*VLOOKUP('Données projet'!$B$11,Paramètres!$A$1:$I$89,3,0)*VLOOKUP('Données projet'!$B$11,Paramètres!$A$1:$I$89,5,0)</f>
        <v>150.05016000000001</v>
      </c>
      <c r="BF35" s="14">
        <f t="shared" si="37"/>
        <v>38.589984439024605</v>
      </c>
      <c r="BG35" s="22">
        <f t="shared" si="7"/>
        <v>328.54825156463448</v>
      </c>
      <c r="BH35" s="62">
        <f t="shared" si="8"/>
        <v>621.88158489796774</v>
      </c>
      <c r="BI35" s="62">
        <f ca="1">AVERAGE(OFFSET($BH$3,0,0,'Données projet'!$E$11+1,1))-AVERAGE(OFFSET($H$3,0,0,'Données projet'!$E$11+1,1))</f>
        <v>359.18294335011535</v>
      </c>
      <c r="BJ35" s="62">
        <f t="shared" si="38"/>
        <v>345.47508134331241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5.8</v>
      </c>
      <c r="BY35" s="13">
        <f>IF('Données projet'!$A$114&gt;35,BY34+BX35-CG34,IF(A35&lt;'Données projet'!$A$114,$BV$205^A35,IF(A35='Données projet'!$A$114,'Données projet'!$B$114,BY34+BX35-CG34)))</f>
        <v>188.6</v>
      </c>
      <c r="BZ35" s="14">
        <f>BY35*VLOOKUP('Données projet'!$B$12,Paramètres!$A$1:$I$89,3,0)*VLOOKUP('Données projet'!$B$12,Paramètres!$A$1:$I$89,5,0)</f>
        <v>138.28152</v>
      </c>
      <c r="CA35" s="14">
        <f t="shared" si="39"/>
        <v>35.903043322174675</v>
      </c>
      <c r="CB35" s="22">
        <f t="shared" si="10"/>
        <v>303.37144778612088</v>
      </c>
      <c r="CC35" s="62">
        <f t="shared" si="11"/>
        <v>596.7047811194542</v>
      </c>
      <c r="CD35" s="62">
        <f ca="1">AVERAGE(OFFSET($CC$3,0,0,'Données projet'!$E$12+1,1))-AVERAGE(OFFSET($H$3,0,0,'Données projet'!$E$12+1,1))</f>
        <v>333.9187211440219</v>
      </c>
      <c r="CE35" s="62">
        <f t="shared" si="40"/>
        <v>321.81422611044997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5.8</v>
      </c>
      <c r="CT35" s="13">
        <f>IF('Données projet'!$A$140&gt;35,CT34+CS35-DB34,IF(A35&lt;'Données projet'!$A$140,$CQ$205^A35,IF(A35='Données projet'!$A$140,'Données projet'!$B$140,CT34+CS35-DB34)))</f>
        <v>188.6</v>
      </c>
      <c r="CU35" s="18">
        <f>CT35*VLOOKUP('Données projet'!$B$13,Paramètres!$A$1:$I$89,3,0)*VLOOKUP('Données projet'!$B$13,Paramètres!$A$1:$I$89,5,0)</f>
        <v>152.99232000000001</v>
      </c>
      <c r="CV35" s="14">
        <f t="shared" si="41"/>
        <v>39.257817366656973</v>
      </c>
      <c r="CW35" s="22">
        <f t="shared" si="13"/>
        <v>334.83565591359422</v>
      </c>
      <c r="CX35" s="62">
        <f t="shared" si="14"/>
        <v>628.16898924692759</v>
      </c>
      <c r="CY35" s="62">
        <f ca="1">AVERAGE(OFFSET($CX$3,0,0,'Données projet'!$E$13+1,1))-AVERAGE(OFFSET($H$3,0,0,'Données projet'!$E$13+1,1))</f>
        <v>365.492319515595</v>
      </c>
      <c r="CZ35" s="62">
        <f t="shared" si="42"/>
        <v>351.38386928091433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3.887142857142857</v>
      </c>
      <c r="DO35" s="13">
        <f>IF('Données projet'!$A$166&gt;35,DO34+DN35-DW34,IF(A35&lt;'Données projet'!$A$166,$DL$205^A35,IF(A35='Données projet'!$A$166,'Données projet'!$B$166,DO34+DN35-DW34)))</f>
        <v>124.38857142857148</v>
      </c>
      <c r="DP35" s="18">
        <f>DO35*VLOOKUP('Données projet'!$B$14,Paramètres!$A$1:$I$89,3,0)*VLOOKUP('Données projet'!$B$14,Paramètres!$A$1:$I$89,5,0)</f>
        <v>104.78493257142864</v>
      </c>
      <c r="DQ35" s="14">
        <f t="shared" si="43"/>
        <v>28.098822336548476</v>
      </c>
      <c r="DR35" s="22">
        <f t="shared" si="16"/>
        <v>231.43920646472677</v>
      </c>
      <c r="DS35" s="62">
        <f t="shared" si="17"/>
        <v>524.77253979806005</v>
      </c>
      <c r="DT35" s="62">
        <f ca="1">AVERAGE(OFFSET($DS$3,0,0,'Données projet'!$E$14+1,1))-AVERAGE(OFFSET($H$3,0,0,'Données projet'!$E$14+1,1))</f>
        <v>544.89250424794909</v>
      </c>
      <c r="DU35" s="62">
        <f t="shared" si="44"/>
        <v>253.98688498110715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3.887142857142857</v>
      </c>
      <c r="EJ35" s="13">
        <f>IF('Données projet'!$A$192&gt;35,EJ34+EI35-ER34,IF(A35&lt;'Données projet'!$A$192,$EG$205^A35,IF(A35='Données projet'!$A$192,'Données projet'!$B$192,EJ34+EI35-ER34)))</f>
        <v>124.38857142857148</v>
      </c>
      <c r="EK35" s="18">
        <f>EJ35*VLOOKUP('Données projet'!$B$15,Paramètres!$A$1:$I$89,3,0)*VLOOKUP('Données projet'!$B$15,Paramètres!$A$1:$I$89,5,0)</f>
        <v>112.54677942857147</v>
      </c>
      <c r="EL35" s="14">
        <f t="shared" si="45"/>
        <v>29.930224010130704</v>
      </c>
      <c r="EM35" s="22">
        <f t="shared" si="19"/>
        <v>248.14744765573963</v>
      </c>
      <c r="EN35" s="62">
        <f t="shared" si="20"/>
        <v>541.48078098907297</v>
      </c>
      <c r="EO35" s="62">
        <f ca="1">AVERAGE(OFFSET($EN$3,0,0,'Données projet'!$E$15+1,1))-AVERAGE(OFFSET($H$3,0,0,'Données projet'!$E$15+1,1))</f>
        <v>581.88778927327667</v>
      </c>
      <c r="EP35" s="62">
        <f t="shared" si="46"/>
        <v>269.67340993773422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3.887142857142857</v>
      </c>
      <c r="FE35" s="13">
        <f>IF('Données projet'!$A$218&gt;35,FE34+FD35-FM34,IF(A35&lt;'Données projet'!$A$218,$FB$205^A35,IF(A35='Données projet'!$A$218,'Données projet'!$B$218,FE34+FD35-FM34)))</f>
        <v>124.38857142857148</v>
      </c>
      <c r="FF35" s="18">
        <f>FE35*VLOOKUP('Données projet'!$B$16,Paramètres!$A$1:$I$89,3,0)*VLOOKUP('Données projet'!$B$16,Paramètres!$A$1:$I$89,5,0)</f>
        <v>126.13001142857149</v>
      </c>
      <c r="FG35" s="14">
        <f t="shared" si="47"/>
        <v>33.100551830676153</v>
      </c>
      <c r="FH35" s="22">
        <f t="shared" si="22"/>
        <v>277.32656434318966</v>
      </c>
      <c r="FI35" s="62">
        <f t="shared" si="23"/>
        <v>570.65989767652297</v>
      </c>
      <c r="FJ35" s="62">
        <f ca="1">AVERAGE(OFFSET($FI$3,0,0,'Données projet'!$E$16+1,1))-AVERAGE(OFFSET($H$3,0,0,'Données projet'!$E$16+1,1))</f>
        <v>646.50767193970182</v>
      </c>
      <c r="FK35" s="62">
        <f t="shared" si="48"/>
        <v>297.06786598620607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3.887142857142857</v>
      </c>
      <c r="FZ35" s="13">
        <f>IF('Données projet'!$A$244&gt;35,FZ34+FY35-GH34,IF(A35&lt;'Données projet'!$A$244,$FW$205^A35,IF(A35='Données projet'!$A$244,'Données projet'!$B$244,FZ34+FY35-GH34)))</f>
        <v>124.38857142857148</v>
      </c>
      <c r="GA35" s="18">
        <f>FZ35*VLOOKUP('Données projet'!$B$17,Paramètres!$A$1:$I$89,3,0)*VLOOKUP('Données projet'!$B$17,Paramètres!$A$1:$I$89,5,0)</f>
        <v>83.439853714285746</v>
      </c>
      <c r="GB35" s="14">
        <f t="shared" si="49"/>
        <v>22.976174424044025</v>
      </c>
      <c r="GC35" s="22">
        <f t="shared" si="25"/>
        <v>185.34124900759105</v>
      </c>
      <c r="GD35" s="62">
        <f t="shared" si="26"/>
        <v>478.67458234092436</v>
      </c>
      <c r="GE35" s="62">
        <f ca="1">AVERAGE(OFFSET($GD$3,0,0,'Données projet'!$E$17+1,1))-AVERAGE(OFFSET($H$3,0,0,'Données projet'!$E$17+1,1))</f>
        <v>442.85175349826028</v>
      </c>
      <c r="GF35" s="62">
        <f t="shared" si="50"/>
        <v>210.70697808232501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12.2</v>
      </c>
      <c r="GU35" s="13">
        <f>IF('Données projet'!$A$270&gt;35,GU34+GT35-HC34,IF(A35&lt;'Données projet'!$A$270,$GR$205^A35,IF(A35='Données projet'!$A$270,'Données projet'!$B$270,GU34+GT35-HC34)))</f>
        <v>100.4</v>
      </c>
      <c r="GV35" s="18">
        <f>GU35*VLOOKUP('Données projet'!$B$18,Paramètres!$A$1:$I$89,3,0)*VLOOKUP('Données projet'!$B$18,Paramètres!$A$1:$I$89,5,0)</f>
        <v>95.540639999999996</v>
      </c>
      <c r="GW35" s="14">
        <f t="shared" si="51"/>
        <v>25.89681240703468</v>
      </c>
      <c r="GX35" s="22">
        <f t="shared" si="28"/>
        <v>211.50356294225205</v>
      </c>
      <c r="GY35" s="62">
        <f t="shared" si="29"/>
        <v>504.83689627558533</v>
      </c>
      <c r="GZ35" s="62">
        <f ca="1">AVERAGE(OFFSET($GY$3,0,0,'Données projet'!$E$18+1,1))-AVERAGE(OFFSET($H$3,0,0,'Données projet'!$E$18+1,1))</f>
        <v>420.2510366318939</v>
      </c>
      <c r="HA35" s="62">
        <f t="shared" si="52"/>
        <v>220.59884411514116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0.95651319647030941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0</v>
      </c>
      <c r="HJ35" s="24">
        <f t="shared" si="30"/>
        <v>0.95651319647030941</v>
      </c>
    </row>
    <row r="36" spans="1:218" s="5" customFormat="1" x14ac:dyDescent="0.2">
      <c r="A36" s="11">
        <f t="shared" si="31"/>
        <v>33</v>
      </c>
      <c r="B36" s="74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24.333333333333332</v>
      </c>
      <c r="N36" s="14">
        <f>IF('Données projet'!$A$36&gt;35,N35+M36-V35,IF(A36&lt;'Données projet'!$A$36,$K$205^A36,IF(A36='Données projet'!$A$36,'Données projet'!$B$36,N35+M36-V35)))</f>
        <v>253.00000000000009</v>
      </c>
      <c r="O36" s="14">
        <f>N36*VLOOKUP('Données projet'!$B$9,Paramètres!$A$1:$I$89,3,0)*VLOOKUP('Données projet'!$B$9,Paramètres!$A$1:$I$89,5,0)</f>
        <v>217.0740000000001</v>
      </c>
      <c r="P36" s="14">
        <f t="shared" si="33"/>
        <v>53.478439358974512</v>
      </c>
      <c r="Q36" s="22">
        <f t="shared" si="53"/>
        <v>471.21216521688075</v>
      </c>
      <c r="R36" s="62">
        <f t="shared" si="0"/>
        <v>764.54549855021401</v>
      </c>
      <c r="S36" s="62">
        <f ca="1">AVERAGE(OFFSET($R$3,0,0,'Données projet'!$E$9+1,1))-AVERAGE(OFFSET($H$3,0,0,'Données projet'!$E$9+1,1))</f>
        <v>623.31285537237943</v>
      </c>
      <c r="T36" s="62">
        <f t="shared" si="34"/>
        <v>462.33909258902241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6.8213477279621237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6.8213477279621237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5.8</v>
      </c>
      <c r="AI36" s="14">
        <f>IF('Données projet'!$A$62&gt;35,AI35+AH36-AQ35,IF(A36&lt;'Données projet'!$A$62,$AF$205^A36,IF(A36='Données projet'!$A$62,'Données projet'!$B$62,AI35+AH36-AQ35)))</f>
        <v>194.4</v>
      </c>
      <c r="AJ36" s="14">
        <f>AI36*VLOOKUP('Données projet'!$B$10,Paramètres!$A$1:$I$89,3,0)*VLOOKUP('Données projet'!$B$10,Paramètres!$A$1:$I$89,5,0)</f>
        <v>169.82784000000004</v>
      </c>
      <c r="AK36" s="14">
        <f t="shared" si="35"/>
        <v>43.051463198873812</v>
      </c>
      <c r="AL36" s="22">
        <f t="shared" si="4"/>
        <v>370.76478640470532</v>
      </c>
      <c r="AM36" s="62">
        <f t="shared" si="5"/>
        <v>664.09811973803858</v>
      </c>
      <c r="AN36" s="62">
        <f ca="1">AVERAGE(OFFSET($AM$3,0,0,'Données projet'!$E$10+1,1))-AVERAGE(OFFSET($H$3,0,0,'Données projet'!$E$10+1,1))</f>
        <v>390.70479111593545</v>
      </c>
      <c r="AO36" s="62">
        <f t="shared" si="36"/>
        <v>374.99493809709708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5.8</v>
      </c>
      <c r="BD36" s="13">
        <f>IF('Données projet'!$A$88&gt;35,BD35+BC36-BL35,IF(A36&lt;'Données projet'!$A$88,$BA$205^A36,IF(A36='Données projet'!$A$88,'Données projet'!$B$88,BD35+BC36-BL35)))</f>
        <v>194.4</v>
      </c>
      <c r="BE36" s="14">
        <f>BD36*VLOOKUP('Données projet'!$B$11,Paramètres!$A$1:$I$89,3,0)*VLOOKUP('Données projet'!$B$11,Paramètres!$A$1:$I$89,5,0)</f>
        <v>154.66464000000002</v>
      </c>
      <c r="BF36" s="14">
        <f t="shared" si="37"/>
        <v>39.636745068698936</v>
      </c>
      <c r="BG36" s="22">
        <f t="shared" si="7"/>
        <v>338.40824566131732</v>
      </c>
      <c r="BH36" s="62">
        <f t="shared" si="8"/>
        <v>631.74157899465058</v>
      </c>
      <c r="BI36" s="62">
        <f ca="1">AVERAGE(OFFSET($BH$3,0,0,'Données projet'!$E$11+1,1))-AVERAGE(OFFSET($H$3,0,0,'Données projet'!$E$11+1,1))</f>
        <v>359.18294335011535</v>
      </c>
      <c r="BJ36" s="62">
        <f t="shared" si="38"/>
        <v>345.47508134331241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5.8</v>
      </c>
      <c r="BY36" s="13">
        <f>IF('Données projet'!$A$114&gt;35,BY35+BX36-CG35,IF(A36&lt;'Données projet'!$A$114,$BV$205^A36,IF(A36='Données projet'!$A$114,'Données projet'!$B$114,BY35+BX36-CG35)))</f>
        <v>194.4</v>
      </c>
      <c r="BZ36" s="14">
        <f>BY36*VLOOKUP('Données projet'!$B$12,Paramètres!$A$1:$I$89,3,0)*VLOOKUP('Données projet'!$B$12,Paramètres!$A$1:$I$89,5,0)</f>
        <v>142.53407999999999</v>
      </c>
      <c r="CA36" s="14">
        <f t="shared" si="39"/>
        <v>36.876920165647533</v>
      </c>
      <c r="CB36" s="22">
        <f t="shared" si="10"/>
        <v>312.47415862183612</v>
      </c>
      <c r="CC36" s="62">
        <f t="shared" si="11"/>
        <v>605.80749195516944</v>
      </c>
      <c r="CD36" s="62">
        <f ca="1">AVERAGE(OFFSET($CC$3,0,0,'Données projet'!$E$12+1,1))-AVERAGE(OFFSET($H$3,0,0,'Données projet'!$E$12+1,1))</f>
        <v>333.9187211440219</v>
      </c>
      <c r="CE36" s="62">
        <f t="shared" si="40"/>
        <v>321.81422611044997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5.8</v>
      </c>
      <c r="CT36" s="13">
        <f>IF('Données projet'!$A$140&gt;35,CT35+CS36-DB35,IF(A36&lt;'Données projet'!$A$140,$CQ$205^A36,IF(A36='Données projet'!$A$140,'Données projet'!$B$140,CT35+CS36-DB35)))</f>
        <v>194.4</v>
      </c>
      <c r="CU36" s="18">
        <f>CT36*VLOOKUP('Données projet'!$B$13,Paramètres!$A$1:$I$89,3,0)*VLOOKUP('Données projet'!$B$13,Paramètres!$A$1:$I$89,5,0)</f>
        <v>157.69728000000001</v>
      </c>
      <c r="CV36" s="14">
        <f t="shared" si="41"/>
        <v>40.322693090856681</v>
      </c>
      <c r="CW36" s="22">
        <f t="shared" si="13"/>
        <v>344.88478646657541</v>
      </c>
      <c r="CX36" s="62">
        <f t="shared" si="14"/>
        <v>638.21811979990866</v>
      </c>
      <c r="CY36" s="62">
        <f ca="1">AVERAGE(OFFSET($CX$3,0,0,'Données projet'!$E$13+1,1))-AVERAGE(OFFSET($H$3,0,0,'Données projet'!$E$13+1,1))</f>
        <v>365.492319515595</v>
      </c>
      <c r="CZ36" s="62">
        <f t="shared" si="42"/>
        <v>351.38386928091433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3.887142857142857</v>
      </c>
      <c r="DO36" s="13">
        <f>IF('Données projet'!$A$166&gt;35,DO35+DN36-DW35,IF(A36&lt;'Données projet'!$A$166,$DL$205^A36,IF(A36='Données projet'!$A$166,'Données projet'!$B$166,DO35+DN36-DW35)))</f>
        <v>128.27571428571434</v>
      </c>
      <c r="DP36" s="18">
        <f>DO36*VLOOKUP('Données projet'!$B$14,Paramètres!$A$1:$I$89,3,0)*VLOOKUP('Données projet'!$B$14,Paramètres!$A$1:$I$89,5,0)</f>
        <v>108.05946171428576</v>
      </c>
      <c r="DQ36" s="14">
        <f t="shared" si="43"/>
        <v>28.873306082973244</v>
      </c>
      <c r="DR36" s="22">
        <f t="shared" si="16"/>
        <v>238.49123724689275</v>
      </c>
      <c r="DS36" s="62">
        <f t="shared" si="17"/>
        <v>531.82457058022601</v>
      </c>
      <c r="DT36" s="62">
        <f ca="1">AVERAGE(OFFSET($DS$3,0,0,'Données projet'!$E$14+1,1))-AVERAGE(OFFSET($H$3,0,0,'Données projet'!$E$14+1,1))</f>
        <v>544.89250424794909</v>
      </c>
      <c r="DU36" s="62">
        <f t="shared" si="44"/>
        <v>253.98688498110715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3.887142857142857</v>
      </c>
      <c r="EJ36" s="13">
        <f>IF('Données projet'!$A$192&gt;35,EJ35+EI36-ER35,IF(A36&lt;'Données projet'!$A$192,$EG$205^A36,IF(A36='Données projet'!$A$192,'Données projet'!$B$192,EJ35+EI36-ER35)))</f>
        <v>128.27571428571434</v>
      </c>
      <c r="EK36" s="18">
        <f>EJ36*VLOOKUP('Données projet'!$B$15,Paramètres!$A$1:$I$89,3,0)*VLOOKUP('Données projet'!$B$15,Paramètres!$A$1:$I$89,5,0)</f>
        <v>116.06386628571434</v>
      </c>
      <c r="EL36" s="14">
        <f t="shared" si="45"/>
        <v>30.755186414072718</v>
      </c>
      <c r="EM36" s="22">
        <f t="shared" si="19"/>
        <v>255.70985011879577</v>
      </c>
      <c r="EN36" s="62">
        <f t="shared" si="20"/>
        <v>549.04318345212914</v>
      </c>
      <c r="EO36" s="62">
        <f ca="1">AVERAGE(OFFSET($EN$3,0,0,'Données projet'!$E$15+1,1))-AVERAGE(OFFSET($H$3,0,0,'Données projet'!$E$15+1,1))</f>
        <v>581.88778927327667</v>
      </c>
      <c r="EP36" s="62">
        <f t="shared" si="46"/>
        <v>269.67340993773422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3.887142857142857</v>
      </c>
      <c r="FE36" s="13">
        <f>IF('Données projet'!$A$218&gt;35,FE35+FD36-FM35,IF(A36&lt;'Données projet'!$A$218,$FB$205^A36,IF(A36='Données projet'!$A$218,'Données projet'!$B$218,FE35+FD36-FM35)))</f>
        <v>128.27571428571434</v>
      </c>
      <c r="FF36" s="18">
        <f>FE36*VLOOKUP('Données projet'!$B$16,Paramètres!$A$1:$I$89,3,0)*VLOOKUP('Données projet'!$B$16,Paramètres!$A$1:$I$89,5,0)</f>
        <v>130.07157428571435</v>
      </c>
      <c r="FG36" s="14">
        <f t="shared" si="47"/>
        <v>34.012897518459816</v>
      </c>
      <c r="FH36" s="22">
        <f t="shared" si="22"/>
        <v>285.78045505893664</v>
      </c>
      <c r="FI36" s="62">
        <f t="shared" si="23"/>
        <v>579.11378839226995</v>
      </c>
      <c r="FJ36" s="62">
        <f ca="1">AVERAGE(OFFSET($FI$3,0,0,'Données projet'!$E$16+1,1))-AVERAGE(OFFSET($H$3,0,0,'Données projet'!$E$16+1,1))</f>
        <v>646.50767193970182</v>
      </c>
      <c r="FK36" s="62">
        <f t="shared" si="48"/>
        <v>297.06786598620607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3.887142857142857</v>
      </c>
      <c r="FZ36" s="13">
        <f>IF('Données projet'!$A$244&gt;35,FZ35+FY36-GH35,IF(A36&lt;'Données projet'!$A$244,$FW$205^A36,IF(A36='Données projet'!$A$244,'Données projet'!$B$244,FZ35+FY36-GH35)))</f>
        <v>128.27571428571434</v>
      </c>
      <c r="GA36" s="18">
        <f>FZ36*VLOOKUP('Données projet'!$B$17,Paramètres!$A$1:$I$89,3,0)*VLOOKUP('Données projet'!$B$17,Paramètres!$A$1:$I$89,5,0)</f>
        <v>86.047349142857186</v>
      </c>
      <c r="GB36" s="14">
        <f t="shared" si="49"/>
        <v>23.609463372360441</v>
      </c>
      <c r="GC36" s="22">
        <f t="shared" si="25"/>
        <v>190.98561513067068</v>
      </c>
      <c r="GD36" s="62">
        <f t="shared" si="26"/>
        <v>484.318948464004</v>
      </c>
      <c r="GE36" s="62">
        <f ca="1">AVERAGE(OFFSET($GD$3,0,0,'Données projet'!$E$17+1,1))-AVERAGE(OFFSET($H$3,0,0,'Données projet'!$E$17+1,1))</f>
        <v>442.85175349826028</v>
      </c>
      <c r="GF36" s="62">
        <f t="shared" si="50"/>
        <v>210.70697808232501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12.2</v>
      </c>
      <c r="GU36" s="13">
        <f>IF('Données projet'!$A$270&gt;35,GU35+GT36-HC35,IF(A36&lt;'Données projet'!$A$270,$GR$205^A36,IF(A36='Données projet'!$A$270,'Données projet'!$B$270,GU35+GT36-HC35)))</f>
        <v>112.60000000000001</v>
      </c>
      <c r="GV36" s="18">
        <f>GU36*VLOOKUP('Données projet'!$B$18,Paramètres!$A$1:$I$89,3,0)*VLOOKUP('Données projet'!$B$18,Paramètres!$A$1:$I$89,5,0)</f>
        <v>107.15016000000001</v>
      </c>
      <c r="GW36" s="14">
        <f t="shared" si="51"/>
        <v>28.658517723314343</v>
      </c>
      <c r="GX36" s="22">
        <f t="shared" si="28"/>
        <v>236.53344703477251</v>
      </c>
      <c r="GY36" s="62">
        <f t="shared" si="29"/>
        <v>529.86678036810576</v>
      </c>
      <c r="GZ36" s="62">
        <f ca="1">AVERAGE(OFFSET($GY$3,0,0,'Données projet'!$E$18+1,1))-AVERAGE(OFFSET($H$3,0,0,'Données projet'!$E$18+1,1))</f>
        <v>420.2510366318939</v>
      </c>
      <c r="HA36" s="62">
        <f t="shared" si="52"/>
        <v>220.59884411514116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0.93775655610296904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0</v>
      </c>
      <c r="HJ36" s="24">
        <f t="shared" si="30"/>
        <v>0.93775655610296904</v>
      </c>
    </row>
    <row r="37" spans="1:218" s="5" customFormat="1" x14ac:dyDescent="0.2">
      <c r="A37" s="11">
        <f t="shared" si="31"/>
        <v>34</v>
      </c>
      <c r="B37" s="74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24.333333333333332</v>
      </c>
      <c r="N37" s="14">
        <f>IF('Données projet'!$A$36&gt;35,N36+M37-V36,IF(A37&lt;'Données projet'!$A$36,$K$205^A37,IF(A37='Données projet'!$A$36,'Données projet'!$B$36,N36+M37-V36)))</f>
        <v>277.33333333333343</v>
      </c>
      <c r="O37" s="14">
        <f>N37*VLOOKUP('Données projet'!$B$9,Paramètres!$A$1:$I$89,3,0)*VLOOKUP('Données projet'!$B$9,Paramètres!$A$1:$I$89,5,0)</f>
        <v>237.95200000000008</v>
      </c>
      <c r="P37" s="14">
        <f t="shared" si="33"/>
        <v>57.99867376947342</v>
      </c>
      <c r="Q37" s="22">
        <f t="shared" si="53"/>
        <v>515.44742348183297</v>
      </c>
      <c r="R37" s="62">
        <f t="shared" si="0"/>
        <v>808.78075681516634</v>
      </c>
      <c r="S37" s="62">
        <f ca="1">AVERAGE(OFFSET($R$3,0,0,'Données projet'!$E$9+1,1))-AVERAGE(OFFSET($H$3,0,0,'Données projet'!$E$9+1,1))</f>
        <v>623.31285537237943</v>
      </c>
      <c r="T37" s="62">
        <f t="shared" si="34"/>
        <v>462.33909258902241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6.687585259628074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6.687585259628074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5.8</v>
      </c>
      <c r="AI37" s="14">
        <f>IF('Données projet'!$A$62&gt;35,AI36+AH37-AQ36,IF(A37&lt;'Données projet'!$A$62,$AF$205^A37,IF(A37='Données projet'!$A$62,'Données projet'!$B$62,AI36+AH37-AQ36)))</f>
        <v>200.20000000000002</v>
      </c>
      <c r="AJ37" s="14">
        <f>AI37*VLOOKUP('Données projet'!$B$10,Paramètres!$A$1:$I$89,3,0)*VLOOKUP('Données projet'!$B$10,Paramètres!$A$1:$I$89,5,0)</f>
        <v>174.89472000000004</v>
      </c>
      <c r="AK37" s="14">
        <f t="shared" si="35"/>
        <v>44.184460410211607</v>
      </c>
      <c r="AL37" s="22">
        <f t="shared" si="4"/>
        <v>381.56290588111864</v>
      </c>
      <c r="AM37" s="62">
        <f t="shared" si="5"/>
        <v>674.89623921445195</v>
      </c>
      <c r="AN37" s="62">
        <f ca="1">AVERAGE(OFFSET($AM$3,0,0,'Données projet'!$E$10+1,1))-AVERAGE(OFFSET($H$3,0,0,'Données projet'!$E$10+1,1))</f>
        <v>390.70479111593545</v>
      </c>
      <c r="AO37" s="62">
        <f t="shared" si="36"/>
        <v>374.99493809709708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5.8</v>
      </c>
      <c r="BD37" s="13">
        <f>IF('Données projet'!$A$88&gt;35,BD36+BC37-BL36,IF(A37&lt;'Données projet'!$A$88,$BA$205^A37,IF(A37='Données projet'!$A$88,'Données projet'!$B$88,BD36+BC37-BL36)))</f>
        <v>200.20000000000002</v>
      </c>
      <c r="BE37" s="14">
        <f>BD37*VLOOKUP('Données projet'!$B$11,Paramètres!$A$1:$I$89,3,0)*VLOOKUP('Données projet'!$B$11,Paramètres!$A$1:$I$89,5,0)</f>
        <v>159.27912000000001</v>
      </c>
      <c r="BF37" s="14">
        <f t="shared" si="37"/>
        <v>40.679876202753341</v>
      </c>
      <c r="BG37" s="22">
        <f t="shared" si="7"/>
        <v>348.26191838646213</v>
      </c>
      <c r="BH37" s="62">
        <f t="shared" si="8"/>
        <v>641.59525171979544</v>
      </c>
      <c r="BI37" s="62">
        <f ca="1">AVERAGE(OFFSET($BH$3,0,0,'Données projet'!$E$11+1,1))-AVERAGE(OFFSET($H$3,0,0,'Données projet'!$E$11+1,1))</f>
        <v>359.18294335011535</v>
      </c>
      <c r="BJ37" s="62">
        <f t="shared" si="38"/>
        <v>345.47508134331241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5.8</v>
      </c>
      <c r="BY37" s="13">
        <f>IF('Données projet'!$A$114&gt;35,BY36+BX37-CG36,IF(A37&lt;'Données projet'!$A$114,$BV$205^A37,IF(A37='Données projet'!$A$114,'Données projet'!$B$114,BY36+BX37-CG36)))</f>
        <v>200.20000000000002</v>
      </c>
      <c r="BZ37" s="14">
        <f>BY37*VLOOKUP('Données projet'!$B$12,Paramètres!$A$1:$I$89,3,0)*VLOOKUP('Données projet'!$B$12,Paramètres!$A$1:$I$89,5,0)</f>
        <v>146.78664000000001</v>
      </c>
      <c r="CA37" s="14">
        <f t="shared" si="39"/>
        <v>37.847420227803333</v>
      </c>
      <c r="CB37" s="22">
        <f t="shared" si="10"/>
        <v>321.57098823009079</v>
      </c>
      <c r="CC37" s="62">
        <f t="shared" si="11"/>
        <v>614.90432156342411</v>
      </c>
      <c r="CD37" s="62">
        <f ca="1">AVERAGE(OFFSET($CC$3,0,0,'Données projet'!$E$12+1,1))-AVERAGE(OFFSET($H$3,0,0,'Données projet'!$E$12+1,1))</f>
        <v>333.9187211440219</v>
      </c>
      <c r="CE37" s="62">
        <f t="shared" si="40"/>
        <v>321.81422611044997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5.8</v>
      </c>
      <c r="CT37" s="13">
        <f>IF('Données projet'!$A$140&gt;35,CT36+CS37-DB36,IF(A37&lt;'Données projet'!$A$140,$CQ$205^A37,IF(A37='Données projet'!$A$140,'Données projet'!$B$140,CT36+CS37-DB36)))</f>
        <v>200.20000000000002</v>
      </c>
      <c r="CU37" s="18">
        <f>CT37*VLOOKUP('Données projet'!$B$13,Paramètres!$A$1:$I$89,3,0)*VLOOKUP('Données projet'!$B$13,Paramètres!$A$1:$I$89,5,0)</f>
        <v>162.40224000000003</v>
      </c>
      <c r="CV37" s="14">
        <f t="shared" si="41"/>
        <v>41.383876507887827</v>
      </c>
      <c r="CW37" s="22">
        <f t="shared" si="13"/>
        <v>354.92748625123801</v>
      </c>
      <c r="CX37" s="62">
        <f t="shared" si="14"/>
        <v>648.26081958457132</v>
      </c>
      <c r="CY37" s="62">
        <f ca="1">AVERAGE(OFFSET($CX$3,0,0,'Données projet'!$E$13+1,1))-AVERAGE(OFFSET($H$3,0,0,'Données projet'!$E$13+1,1))</f>
        <v>365.492319515595</v>
      </c>
      <c r="CZ37" s="62">
        <f t="shared" si="42"/>
        <v>351.38386928091433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3.887142857142857</v>
      </c>
      <c r="DO37" s="13">
        <f>IF('Données projet'!$A$166&gt;35,DO36+DN37-DW36,IF(A37&lt;'Données projet'!$A$166,$DL$205^A37,IF(A37='Données projet'!$A$166,'Données projet'!$B$166,DO36+DN37-DW36)))</f>
        <v>132.16285714285721</v>
      </c>
      <c r="DP37" s="18">
        <f>DO37*VLOOKUP('Données projet'!$B$14,Paramètres!$A$1:$I$89,3,0)*VLOOKUP('Données projet'!$B$14,Paramètres!$A$1:$I$89,5,0)</f>
        <v>111.33399085714292</v>
      </c>
      <c r="DQ37" s="14">
        <f t="shared" si="43"/>
        <v>29.645062385233768</v>
      </c>
      <c r="DR37" s="22">
        <f t="shared" si="16"/>
        <v>245.53851773047276</v>
      </c>
      <c r="DS37" s="62">
        <f t="shared" si="17"/>
        <v>538.87185106380605</v>
      </c>
      <c r="DT37" s="62">
        <f ca="1">AVERAGE(OFFSET($DS$3,0,0,'Données projet'!$E$14+1,1))-AVERAGE(OFFSET($H$3,0,0,'Données projet'!$E$14+1,1))</f>
        <v>544.89250424794909</v>
      </c>
      <c r="DU37" s="62">
        <f t="shared" si="44"/>
        <v>253.98688498110715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3.887142857142857</v>
      </c>
      <c r="EJ37" s="13">
        <f>IF('Données projet'!$A$192&gt;35,EJ36+EI37-ER36,IF(A37&lt;'Données projet'!$A$192,$EG$205^A37,IF(A37='Données projet'!$A$192,'Données projet'!$B$192,EJ36+EI37-ER36)))</f>
        <v>132.16285714285721</v>
      </c>
      <c r="EK37" s="18">
        <f>EJ37*VLOOKUP('Données projet'!$B$15,Paramètres!$A$1:$I$89,3,0)*VLOOKUP('Données projet'!$B$15,Paramètres!$A$1:$I$89,5,0)</f>
        <v>119.58095314285718</v>
      </c>
      <c r="EL37" s="14">
        <f t="shared" si="45"/>
        <v>31.577243606763055</v>
      </c>
      <c r="EM37" s="22">
        <f t="shared" si="19"/>
        <v>263.26719267225525</v>
      </c>
      <c r="EN37" s="62">
        <f t="shared" si="20"/>
        <v>556.60052600558856</v>
      </c>
      <c r="EO37" s="62">
        <f ca="1">AVERAGE(OFFSET($EN$3,0,0,'Données projet'!$E$15+1,1))-AVERAGE(OFFSET($H$3,0,0,'Données projet'!$E$15+1,1))</f>
        <v>581.88778927327667</v>
      </c>
      <c r="EP37" s="62">
        <f t="shared" si="46"/>
        <v>269.67340993773422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3.887142857142857</v>
      </c>
      <c r="FE37" s="13">
        <f>IF('Données projet'!$A$218&gt;35,FE36+FD37-FM36,IF(A37&lt;'Données projet'!$A$218,$FB$205^A37,IF(A37='Données projet'!$A$218,'Données projet'!$B$218,FE36+FD37-FM36)))</f>
        <v>132.16285714285721</v>
      </c>
      <c r="FF37" s="18">
        <f>FE37*VLOOKUP('Données projet'!$B$16,Paramètres!$A$1:$I$89,3,0)*VLOOKUP('Données projet'!$B$16,Paramètres!$A$1:$I$89,5,0)</f>
        <v>134.0131371428572</v>
      </c>
      <c r="FG37" s="14">
        <f t="shared" si="47"/>
        <v>34.92203026351433</v>
      </c>
      <c r="FH37" s="22">
        <f t="shared" si="22"/>
        <v>294.2287498994304</v>
      </c>
      <c r="FI37" s="62">
        <f t="shared" si="23"/>
        <v>587.56208323276371</v>
      </c>
      <c r="FJ37" s="62">
        <f ca="1">AVERAGE(OFFSET($FI$3,0,0,'Données projet'!$E$16+1,1))-AVERAGE(OFFSET($H$3,0,0,'Données projet'!$E$16+1,1))</f>
        <v>646.50767193970182</v>
      </c>
      <c r="FK37" s="62">
        <f t="shared" si="48"/>
        <v>297.06786598620607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3.887142857142857</v>
      </c>
      <c r="FZ37" s="13">
        <f>IF('Données projet'!$A$244&gt;35,FZ36+FY37-GH36,IF(A37&lt;'Données projet'!$A$244,$FW$205^A37,IF(A37='Données projet'!$A$244,'Données projet'!$B$244,FZ36+FY37-GH36)))</f>
        <v>132.16285714285721</v>
      </c>
      <c r="GA37" s="18">
        <f>FZ37*VLOOKUP('Données projet'!$B$17,Paramètres!$A$1:$I$89,3,0)*VLOOKUP('Données projet'!$B$17,Paramètres!$A$1:$I$89,5,0)</f>
        <v>88.654844571428612</v>
      </c>
      <c r="GB37" s="14">
        <f t="shared" si="49"/>
        <v>24.240522112161401</v>
      </c>
      <c r="GC37" s="22">
        <f t="shared" si="25"/>
        <v>196.62609697391926</v>
      </c>
      <c r="GD37" s="62">
        <f t="shared" si="26"/>
        <v>489.95943030725255</v>
      </c>
      <c r="GE37" s="62">
        <f ca="1">AVERAGE(OFFSET($GD$3,0,0,'Données projet'!$E$17+1,1))-AVERAGE(OFFSET($H$3,0,0,'Données projet'!$E$17+1,1))</f>
        <v>442.85175349826028</v>
      </c>
      <c r="GF37" s="62">
        <f t="shared" si="50"/>
        <v>210.70697808232501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12.2</v>
      </c>
      <c r="GU37" s="13">
        <f>IF('Données projet'!$A$270&gt;35,GU36+GT37-HC36,IF(A37&lt;'Données projet'!$A$270,$GR$205^A37,IF(A37='Données projet'!$A$270,'Données projet'!$B$270,GU36+GT37-HC36)))</f>
        <v>124.80000000000001</v>
      </c>
      <c r="GV37" s="18">
        <f>GU37*VLOOKUP('Données projet'!$B$18,Paramètres!$A$1:$I$89,3,0)*VLOOKUP('Données projet'!$B$18,Paramètres!$A$1:$I$89,5,0)</f>
        <v>118.75968</v>
      </c>
      <c r="GW37" s="14">
        <f t="shared" si="51"/>
        <v>31.385540329000516</v>
      </c>
      <c r="GX37" s="22">
        <f t="shared" si="28"/>
        <v>261.50292540634257</v>
      </c>
      <c r="GY37" s="62">
        <f t="shared" si="29"/>
        <v>554.83625873967594</v>
      </c>
      <c r="GZ37" s="62">
        <f ca="1">AVERAGE(OFFSET($GY$3,0,0,'Données projet'!$E$18+1,1))-AVERAGE(OFFSET($H$3,0,0,'Données projet'!$E$18+1,1))</f>
        <v>420.2510366318939</v>
      </c>
      <c r="HA37" s="62">
        <f t="shared" si="52"/>
        <v>220.59884411514116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0.91936772201281125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0</v>
      </c>
      <c r="HJ37" s="24">
        <f t="shared" si="30"/>
        <v>0.91936772201281125</v>
      </c>
    </row>
    <row r="38" spans="1:218" s="5" customFormat="1" x14ac:dyDescent="0.2">
      <c r="A38" s="11">
        <f t="shared" si="31"/>
        <v>35</v>
      </c>
      <c r="B38" s="74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24.333333333333332</v>
      </c>
      <c r="N38" s="14">
        <f>IF('Données projet'!$A$36&gt;35,N37+M38-V37,IF(A38&lt;'Données projet'!$A$36,$K$205^A38,IF(A38='Données projet'!$A$36,'Données projet'!$B$36,N37+M38-V37)))</f>
        <v>301.66666666666674</v>
      </c>
      <c r="O38" s="14">
        <f>N38*VLOOKUP('Données projet'!$B$9,Paramètres!$A$1:$I$89,3,0)*VLOOKUP('Données projet'!$B$9,Paramètres!$A$1:$I$89,5,0)</f>
        <v>258.8300000000001</v>
      </c>
      <c r="P38" s="14">
        <f t="shared" si="33"/>
        <v>62.472915810291624</v>
      </c>
      <c r="Q38" s="22">
        <f t="shared" si="53"/>
        <v>559.60257836959147</v>
      </c>
      <c r="R38" s="62">
        <f t="shared" si="0"/>
        <v>852.93591170292484</v>
      </c>
      <c r="S38" s="62">
        <f ca="1">AVERAGE(OFFSET($R$3,0,0,'Données projet'!$E$9+1,1))-AVERAGE(OFFSET($H$3,0,0,'Données projet'!$E$9+1,1))</f>
        <v>623.31285537237943</v>
      </c>
      <c r="T38" s="62">
        <f t="shared" si="34"/>
        <v>462.33909258902241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6.5564457917110053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6.5564457917110053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206</v>
      </c>
      <c r="AG38" s="13">
        <f>VLOOKUP(A38,'Données projet'!$A$61:$I$81,9,0)</f>
        <v>5.8</v>
      </c>
      <c r="AH38" s="13">
        <f t="array" ref="AH38">INDEX(AG:AG,MIN(IF(ISNUMBER(AG38:AG234),ROW(AG38:AG234),"")))</f>
        <v>5.8</v>
      </c>
      <c r="AI38" s="14">
        <f>IF('Données projet'!$A$62&gt;35,AI37+AH38-AQ37,IF(A38&lt;'Données projet'!$A$62,$AF$205^A38,IF(A38='Données projet'!$A$62,'Données projet'!$B$62,AI37+AH38-AQ37)))</f>
        <v>206.00000000000003</v>
      </c>
      <c r="AJ38" s="14">
        <f>AI38*VLOOKUP('Données projet'!$B$10,Paramètres!$A$1:$I$89,3,0)*VLOOKUP('Données projet'!$B$10,Paramètres!$A$1:$I$89,5,0)</f>
        <v>179.96160000000006</v>
      </c>
      <c r="AK38" s="14">
        <f t="shared" si="35"/>
        <v>45.313642767960104</v>
      </c>
      <c r="AL38" s="22">
        <f t="shared" si="4"/>
        <v>392.3543811541972</v>
      </c>
      <c r="AM38" s="62">
        <f t="shared" si="5"/>
        <v>685.68771448753046</v>
      </c>
      <c r="AN38" s="62">
        <f ca="1">AVERAGE(OFFSET($AM$3,0,0,'Données projet'!$E$10+1,1))-AVERAGE(OFFSET($H$3,0,0,'Données projet'!$E$10+1,1))</f>
        <v>390.70479111593545</v>
      </c>
      <c r="AO38" s="62">
        <f t="shared" si="36"/>
        <v>374.99493809709708</v>
      </c>
      <c r="AP38" s="16">
        <f>IF(ISNA(VLOOKUP(A38,'Données projet'!$A$61:$I$81,3,0)),0,VLOOKUP(A38,'Données projet'!$A$61:$I$81,3,0))</f>
        <v>6</v>
      </c>
      <c r="AQ38" s="16">
        <f>IF(ISNA(VLOOKUP(A38,'Données projet'!$A$61:$I$81,4,0)),0,VLOOKUP(A38,'Données projet'!$A$61:$I$81,4,0))</f>
        <v>35</v>
      </c>
      <c r="AR38" s="17">
        <f>IF(ISNA(VLOOKUP(A38,'Données projet'!$A$61:$I$81,5,0)),0%,VLOOKUP(A38,'Données projet'!$A$61:$I$81,5,0)*VLOOKUP('Données projet'!$B$10,Paramètres!$A$1:$I$89,7,0))</f>
        <v>0.21200000000000002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7.1657828128150927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7.1657828128150927</v>
      </c>
      <c r="AY38" s="7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206</v>
      </c>
      <c r="BB38" s="13">
        <f>VLOOKUP(A38,'Données projet'!$A$87:$I$107,9,0)</f>
        <v>5.8</v>
      </c>
      <c r="BC38" s="13">
        <f t="array" ref="BC38">INDEX(BB:BB,MIN(IF(ISNUMBER(BB38:BB234),ROW(BB38:BB234),"")))</f>
        <v>5.8</v>
      </c>
      <c r="BD38" s="13">
        <f>IF('Données projet'!$A$88&gt;35,BD37+BC38-BL37,IF(A38&lt;'Données projet'!$A$88,$BA$205^A38,IF(A38='Données projet'!$A$88,'Données projet'!$B$88,BD37+BC38-BL37)))</f>
        <v>206.00000000000003</v>
      </c>
      <c r="BE38" s="14">
        <f>BD38*VLOOKUP('Données projet'!$B$11,Paramètres!$A$1:$I$89,3,0)*VLOOKUP('Données projet'!$B$11,Paramètres!$A$1:$I$89,5,0)</f>
        <v>163.89360000000002</v>
      </c>
      <c r="BF38" s="14">
        <f t="shared" si="37"/>
        <v>41.71949506642347</v>
      </c>
      <c r="BG38" s="22">
        <f t="shared" si="7"/>
        <v>358.10947390735419</v>
      </c>
      <c r="BH38" s="62">
        <f t="shared" si="8"/>
        <v>651.44280724068744</v>
      </c>
      <c r="BI38" s="62">
        <f ca="1">AVERAGE(OFFSET($BH$3,0,0,'Données projet'!$E$11+1,1))-AVERAGE(OFFSET($H$3,0,0,'Données projet'!$E$11+1,1))</f>
        <v>359.18294335011535</v>
      </c>
      <c r="BJ38" s="62">
        <f t="shared" si="38"/>
        <v>345.47508134331241</v>
      </c>
      <c r="BK38" s="16">
        <f>IF(ISNA(VLOOKUP(A38,'Données projet'!$A$87:$I$107,3,0)),0,VLOOKUP(A38,'Données projet'!$A$87:$I$107,3,0))</f>
        <v>6</v>
      </c>
      <c r="BL38" s="16">
        <f>IF(ISNA(VLOOKUP(A38,'Données projet'!$A$87:$I$107,4,0)),0,VLOOKUP(A38,'Données projet'!$A$87:$I$107,4,0))</f>
        <v>35</v>
      </c>
      <c r="BM38" s="17">
        <f>IF(ISNA(VLOOKUP(A38,'Données projet'!$A$87:$I$107,5,0)),0%,VLOOKUP(A38,'Données projet'!$A$87:$I$107,5,0)*VLOOKUP('Données projet'!$B$11,Paramètres!$A$1:$I$89,7,0))</f>
        <v>0.21200000000000002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6.5259807759566018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6.5259807759566018</v>
      </c>
      <c r="BT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206</v>
      </c>
      <c r="BW38" s="13">
        <f>VLOOKUP(A38,'Données projet'!$A$113:$I$133,9,0)</f>
        <v>5.8</v>
      </c>
      <c r="BX38" s="13">
        <f t="array" ref="BX38">INDEX(BW:BW,MIN(IF(ISNUMBER(BW38:BW234),ROW(BW38:BW234),"")))</f>
        <v>5.8</v>
      </c>
      <c r="BY38" s="13">
        <f>IF('Données projet'!$A$114&gt;35,BY37+BX38-CG37,IF(A38&lt;'Données projet'!$A$114,$BV$205^A38,IF(A38='Données projet'!$A$114,'Données projet'!$B$114,BY37+BX38-CG37)))</f>
        <v>206.00000000000003</v>
      </c>
      <c r="BZ38" s="14">
        <f>BY38*VLOOKUP('Données projet'!$B$12,Paramètres!$A$1:$I$89,3,0)*VLOOKUP('Données projet'!$B$12,Paramètres!$A$1:$I$89,5,0)</f>
        <v>151.03920000000002</v>
      </c>
      <c r="CA38" s="14">
        <f t="shared" si="39"/>
        <v>38.814652571726079</v>
      </c>
      <c r="CB38" s="22">
        <f t="shared" si="10"/>
        <v>330.66212656242288</v>
      </c>
      <c r="CC38" s="62">
        <f t="shared" si="11"/>
        <v>623.9954598957562</v>
      </c>
      <c r="CD38" s="62">
        <f ca="1">AVERAGE(OFFSET($CC$3,0,0,'Données projet'!$E$12+1,1))-AVERAGE(OFFSET($H$3,0,0,'Données projet'!$E$12+1,1))</f>
        <v>333.9187211440219</v>
      </c>
      <c r="CE38" s="62">
        <f t="shared" si="40"/>
        <v>321.81422611044997</v>
      </c>
      <c r="CF38" s="16">
        <f>IF(ISNA(VLOOKUP(A38,'Données projet'!$A$113:$I$133,3,0)),0,VLOOKUP(A38,'Données projet'!$A$113:$I$133,3,0))</f>
        <v>6</v>
      </c>
      <c r="CG38" s="16">
        <f>IF(ISNA(VLOOKUP(A38,'Données projet'!$A$113:$I$133,4,0)),0,VLOOKUP(A38,'Données projet'!$A$113:$I$133,4,0))</f>
        <v>35</v>
      </c>
      <c r="CH38" s="17">
        <f>IF(ISNA(VLOOKUP(A38,'Données projet'!$A$113:$I$133,5,0)),0%,VLOOKUP(A38,'Données projet'!$A$113:$I$133,5,0)*VLOOKUP('Données projet'!$B$12,Paramètres!$A$1:$I$89,7,0))</f>
        <v>0.17200000000000001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4.8793959112868261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4.8793959112868261</v>
      </c>
      <c r="CO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206</v>
      </c>
      <c r="CR38" s="13">
        <f>VLOOKUP(A38,'Données projet'!$A$139:$I$159,9,0)</f>
        <v>5.8</v>
      </c>
      <c r="CS38" s="13">
        <f t="array" ref="CS38">INDEX(CR:CR,MIN(IF(ISNUMBER(CR38:CR234),ROW(CR38:CR234),"")))</f>
        <v>5.8</v>
      </c>
      <c r="CT38" s="13">
        <f>IF('Données projet'!$A$140&gt;35,CT37+CS38-DB37,IF(A38&lt;'Données projet'!$A$140,$CQ$205^A38,IF(A38='Données projet'!$A$140,'Données projet'!$B$140,CT37+CS38-DB37)))</f>
        <v>206.00000000000003</v>
      </c>
      <c r="CU38" s="18">
        <f>CT38*VLOOKUP('Données projet'!$B$13,Paramètres!$A$1:$I$89,3,0)*VLOOKUP('Données projet'!$B$13,Paramètres!$A$1:$I$89,5,0)</f>
        <v>167.10720000000003</v>
      </c>
      <c r="CV38" s="14">
        <f t="shared" si="41"/>
        <v>42.44148687166966</v>
      </c>
      <c r="CW38" s="22">
        <f t="shared" si="13"/>
        <v>364.96396296815806</v>
      </c>
      <c r="CX38" s="62">
        <f t="shared" si="14"/>
        <v>658.29729630149131</v>
      </c>
      <c r="CY38" s="62">
        <f ca="1">AVERAGE(OFFSET($CX$3,0,0,'Données projet'!$E$13+1,1))-AVERAGE(OFFSET($H$3,0,0,'Données projet'!$E$13+1,1))</f>
        <v>365.492319515595</v>
      </c>
      <c r="CZ38" s="62">
        <f t="shared" si="42"/>
        <v>351.38386928091433</v>
      </c>
      <c r="DA38" s="16">
        <f>IF(ISNA(VLOOKUP(A38,'Données projet'!$A$139:$I$159,3,0)),0,VLOOKUP(A38,'Données projet'!$A$139:$I$159,3,0))</f>
        <v>6</v>
      </c>
      <c r="DB38" s="16">
        <f>IF(ISNA(VLOOKUP(A38,'Données projet'!$A$139:$I$159,4,0)),0,VLOOKUP(A38,'Données projet'!$A$139:$I$159,4,0))</f>
        <v>35</v>
      </c>
      <c r="DC38" s="17">
        <f>IF(ISNA(VLOOKUP(A38,'Données projet'!$A$139:$I$159,5,0)),0%,VLOOKUP(A38,'Données projet'!$A$139:$I$159,5,0)*VLOOKUP('Données projet'!$B$13,Paramètres!$A$1:$I$89,7,0))</f>
        <v>0.17200000000000001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5.3984805827003184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5.3984805827003184</v>
      </c>
      <c r="DJ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3.887142857142857</v>
      </c>
      <c r="DO38" s="13">
        <f>IF('Données projet'!$A$166&gt;35,DO37+DN38-DW37,IF(A38&lt;'Données projet'!$A$166,$DL$205^A38,IF(A38='Données projet'!$A$166,'Données projet'!$B$166,DO37+DN38-DW37)))</f>
        <v>136.05000000000007</v>
      </c>
      <c r="DP38" s="18">
        <f>DO38*VLOOKUP('Données projet'!$B$14,Paramètres!$A$1:$I$89,3,0)*VLOOKUP('Données projet'!$B$14,Paramètres!$A$1:$I$89,5,0)</f>
        <v>114.60852000000007</v>
      </c>
      <c r="DQ38" s="14">
        <f t="shared" si="43"/>
        <v>30.414180672775622</v>
      </c>
      <c r="DR38" s="22">
        <f t="shared" si="16"/>
        <v>252.58120367175096</v>
      </c>
      <c r="DS38" s="62">
        <f t="shared" si="17"/>
        <v>545.9145370050843</v>
      </c>
      <c r="DT38" s="62">
        <f ca="1">AVERAGE(OFFSET($DS$3,0,0,'Données projet'!$E$14+1,1))-AVERAGE(OFFSET($H$3,0,0,'Données projet'!$E$14+1,1))</f>
        <v>544.89250424794909</v>
      </c>
      <c r="DU38" s="62">
        <f t="shared" si="44"/>
        <v>253.98688498110715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3.887142857142857</v>
      </c>
      <c r="EJ38" s="13">
        <f>IF('Données projet'!$A$192&gt;35,EJ37+EI38-ER37,IF(A38&lt;'Données projet'!$A$192,$EG$205^A38,IF(A38='Données projet'!$A$192,'Données projet'!$B$192,EJ37+EI38-ER37)))</f>
        <v>136.05000000000007</v>
      </c>
      <c r="EK38" s="18">
        <f>EJ38*VLOOKUP('Données projet'!$B$15,Paramètres!$A$1:$I$89,3,0)*VLOOKUP('Données projet'!$B$15,Paramètres!$A$1:$I$89,5,0)</f>
        <v>123.09804000000005</v>
      </c>
      <c r="EL38" s="14">
        <f t="shared" si="45"/>
        <v>32.396490846405321</v>
      </c>
      <c r="EM38" s="22">
        <f t="shared" si="19"/>
        <v>270.81964122415599</v>
      </c>
      <c r="EN38" s="62">
        <f t="shared" si="20"/>
        <v>564.1529745574893</v>
      </c>
      <c r="EO38" s="62">
        <f ca="1">AVERAGE(OFFSET($EN$3,0,0,'Données projet'!$E$15+1,1))-AVERAGE(OFFSET($H$3,0,0,'Données projet'!$E$15+1,1))</f>
        <v>581.88778927327667</v>
      </c>
      <c r="EP38" s="62">
        <f t="shared" si="46"/>
        <v>269.67340993773422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3.887142857142857</v>
      </c>
      <c r="FE38" s="13">
        <f>IF('Données projet'!$A$218&gt;35,FE37+FD38-FM37,IF(A38&lt;'Données projet'!$A$218,$FB$205^A38,IF(A38='Données projet'!$A$218,'Données projet'!$B$218,FE37+FD38-FM37)))</f>
        <v>136.05000000000007</v>
      </c>
      <c r="FF38" s="18">
        <f>FE38*VLOOKUP('Données projet'!$B$16,Paramètres!$A$1:$I$89,3,0)*VLOOKUP('Données projet'!$B$16,Paramètres!$A$1:$I$89,5,0)</f>
        <v>137.95470000000009</v>
      </c>
      <c r="FG38" s="14">
        <f t="shared" si="47"/>
        <v>35.828055414169384</v>
      </c>
      <c r="FH38" s="22">
        <f t="shared" si="22"/>
        <v>302.67163234634512</v>
      </c>
      <c r="FI38" s="62">
        <f t="shared" si="23"/>
        <v>596.00496567967843</v>
      </c>
      <c r="FJ38" s="62">
        <f ca="1">AVERAGE(OFFSET($FI$3,0,0,'Données projet'!$E$16+1,1))-AVERAGE(OFFSET($H$3,0,0,'Données projet'!$E$16+1,1))</f>
        <v>646.50767193970182</v>
      </c>
      <c r="FK38" s="62">
        <f t="shared" si="48"/>
        <v>297.06786598620607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3.887142857142857</v>
      </c>
      <c r="FZ38" s="13">
        <f>IF('Données projet'!$A$244&gt;35,FZ37+FY38-GH37,IF(A38&lt;'Données projet'!$A$244,$FW$205^A38,IF(A38='Données projet'!$A$244,'Données projet'!$B$244,FZ37+FY38-GH37)))</f>
        <v>136.05000000000007</v>
      </c>
      <c r="GA38" s="18">
        <f>FZ38*VLOOKUP('Données projet'!$B$17,Paramètres!$A$1:$I$89,3,0)*VLOOKUP('Données projet'!$B$17,Paramètres!$A$1:$I$89,5,0)</f>
        <v>91.262340000000052</v>
      </c>
      <c r="GB38" s="14">
        <f t="shared" si="49"/>
        <v>24.869423769164257</v>
      </c>
      <c r="GC38" s="22">
        <f t="shared" si="25"/>
        <v>202.26282189796117</v>
      </c>
      <c r="GD38" s="62">
        <f t="shared" si="26"/>
        <v>495.59615523129446</v>
      </c>
      <c r="GE38" s="62">
        <f ca="1">AVERAGE(OFFSET($GD$3,0,0,'Données projet'!$E$17+1,1))-AVERAGE(OFFSET($H$3,0,0,'Données projet'!$E$17+1,1))</f>
        <v>442.85175349826028</v>
      </c>
      <c r="GF38" s="62">
        <f t="shared" si="50"/>
        <v>210.70697808232501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>
        <f>VLOOKUP(A38,'Données projet'!$A$269:$I$289,2,0)</f>
        <v>137</v>
      </c>
      <c r="GS38" s="13">
        <f>VLOOKUP(A38,'Données projet'!$A$269:$I$289,9,0)</f>
        <v>12.2</v>
      </c>
      <c r="GT38" s="13">
        <f t="array" ref="GT38">INDEX(GS:GS,MIN(IF(ISNUMBER(GS38:GS234),ROW(GS38:GS234),"")))</f>
        <v>12.2</v>
      </c>
      <c r="GU38" s="13">
        <f>IF('Données projet'!$A$270&gt;35,GU37+GT38-HC37,IF(A38&lt;'Données projet'!$A$270,$GR$205^A38,IF(A38='Données projet'!$A$270,'Données projet'!$B$270,GU37+GT38-HC37)))</f>
        <v>137</v>
      </c>
      <c r="GV38" s="18">
        <f>GU38*VLOOKUP('Données projet'!$B$18,Paramètres!$A$1:$I$89,3,0)*VLOOKUP('Données projet'!$B$18,Paramètres!$A$1:$I$89,5,0)</f>
        <v>130.36920000000001</v>
      </c>
      <c r="GW38" s="14">
        <f t="shared" si="51"/>
        <v>34.081656526320486</v>
      </c>
      <c r="GX38" s="22">
        <f t="shared" si="28"/>
        <v>286.41857511667479</v>
      </c>
      <c r="GY38" s="62">
        <f t="shared" si="29"/>
        <v>579.75190845000816</v>
      </c>
      <c r="GZ38" s="62">
        <f ca="1">AVERAGE(OFFSET($GY$3,0,0,'Données projet'!$E$18+1,1))-AVERAGE(OFFSET($H$3,0,0,'Données projet'!$E$18+1,1))</f>
        <v>420.2510366318939</v>
      </c>
      <c r="HA38" s="62">
        <f t="shared" si="52"/>
        <v>220.59884411514116</v>
      </c>
      <c r="HB38" s="16">
        <f>IF(ISNA(VLOOKUP(A38,'Données projet'!$A$269:$I$289,3,0)),0,VLOOKUP(A38,'Données projet'!$A$269:$I$289,3,0))</f>
        <v>3</v>
      </c>
      <c r="HC38" s="16">
        <f>IF(ISNA(VLOOKUP(A38,'Données projet'!$A$269:$I$289,4,0)),0,VLOOKUP(A38,'Données projet'!$A$269:$I$289,4,0))</f>
        <v>18</v>
      </c>
      <c r="HD38" s="17">
        <f>IF(ISNA(VLOOKUP(A38,'Données projet'!$A$269:$I$289,5,0)),0%,VLOOKUP(A38,'Données projet'!$A$269:$I$289,5,0)*VLOOKUP('Données projet'!$B$18,Paramètres!$A$1:$I$89,7,0))</f>
        <v>8.6000000000000007E-2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2.5297822509202637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</v>
      </c>
      <c r="HJ38" s="24">
        <f t="shared" si="30"/>
        <v>2.5297822509202637</v>
      </c>
    </row>
    <row r="39" spans="1:218" s="5" customFormat="1" x14ac:dyDescent="0.2">
      <c r="A39" s="11">
        <f t="shared" si="31"/>
        <v>36</v>
      </c>
      <c r="B39" s="74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326</v>
      </c>
      <c r="L39" s="13">
        <f>VLOOKUP(A39,'Données projet'!$A$35:$I$55,9,0)</f>
        <v>24.333333333333332</v>
      </c>
      <c r="M39" s="13">
        <f t="array" ref="M39">INDEX(L:L,MIN(IF(ISNUMBER(L39:L235),ROW(L39:L235),"")))</f>
        <v>24.333333333333332</v>
      </c>
      <c r="N39" s="14">
        <f>IF('Données projet'!$A$36&gt;35,N38+M39-V38,IF(A39&lt;'Données projet'!$A$36,$K$205^A39,IF(A39='Données projet'!$A$36,'Données projet'!$B$36,N38+M39-V38)))</f>
        <v>326.00000000000006</v>
      </c>
      <c r="O39" s="14">
        <f>N39*VLOOKUP('Données projet'!$B$9,Paramètres!$A$1:$I$89,3,0)*VLOOKUP('Données projet'!$B$9,Paramètres!$A$1:$I$89,5,0)</f>
        <v>279.70800000000008</v>
      </c>
      <c r="P39" s="14">
        <f t="shared" si="33"/>
        <v>66.905297140324564</v>
      </c>
      <c r="Q39" s="22">
        <f t="shared" si="53"/>
        <v>603.68482585273216</v>
      </c>
      <c r="R39" s="62">
        <f t="shared" si="0"/>
        <v>897.01815918606553</v>
      </c>
      <c r="S39" s="62">
        <f ca="1">AVERAGE(OFFSET($R$3,0,0,'Données projet'!$E$9+1,1))-AVERAGE(OFFSET($H$3,0,0,'Données projet'!$E$9+1,1))</f>
        <v>623.31285537237943</v>
      </c>
      <c r="T39" s="62">
        <f t="shared" si="34"/>
        <v>462.33909258902241</v>
      </c>
      <c r="U39" s="16">
        <f>IF(ISNA(VLOOKUP(A39,'Données projet'!$A$35:$I$55,3,0)),0,VLOOKUP(A39,'Données projet'!$A$35:$I$55,3,0))</f>
        <v>6</v>
      </c>
      <c r="V39" s="16">
        <f>IF(ISNA(VLOOKUP(A39,'Données projet'!$A$35:$I$55,4,0)),0,VLOOKUP(A39,'Données projet'!$A$35:$I$55,4,0))</f>
        <v>92</v>
      </c>
      <c r="W39" s="17">
        <f>IF(ISNA(VLOOKUP(A39,'Données projet'!$A$35:$I$55,5,0)),0%,VLOOKUP(A39,'Données projet'!$A$35:$I$55,5,0)*VLOOKUP('Données projet'!$B$9,Paramètres!$A$1:$I$89,7,0))</f>
        <v>0.21200000000000002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24.927296783080966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24.927296783080966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11.4</v>
      </c>
      <c r="AI39" s="14">
        <f>IF('Données projet'!$A$62&gt;35,AI38+AH39-AQ38,IF(A39&lt;'Données projet'!$A$62,$AF$205^A39,IF(A39='Données projet'!$A$62,'Données projet'!$B$62,AI38+AH39-AQ38)))</f>
        <v>182.40000000000003</v>
      </c>
      <c r="AJ39" s="14">
        <f>AI39*VLOOKUP('Données projet'!$B$10,Paramètres!$A$1:$I$89,3,0)*VLOOKUP('Données projet'!$B$10,Paramètres!$A$1:$I$89,5,0)</f>
        <v>159.34464000000006</v>
      </c>
      <c r="AK39" s="14">
        <f t="shared" si="35"/>
        <v>40.694661837553809</v>
      </c>
      <c r="AL39" s="22">
        <f t="shared" si="4"/>
        <v>348.40178403373966</v>
      </c>
      <c r="AM39" s="62">
        <f t="shared" si="5"/>
        <v>641.73511736707292</v>
      </c>
      <c r="AN39" s="62">
        <f ca="1">AVERAGE(OFFSET($AM$3,0,0,'Données projet'!$E$10+1,1))-AVERAGE(OFFSET($H$3,0,0,'Données projet'!$E$10+1,1))</f>
        <v>390.70479111593545</v>
      </c>
      <c r="AO39" s="62">
        <f t="shared" si="36"/>
        <v>374.99493809709708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7.025266182551734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7.025266182551734</v>
      </c>
      <c r="AY39" s="7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11.4</v>
      </c>
      <c r="BD39" s="13">
        <f>IF('Données projet'!$A$88&gt;35,BD38+BC39-BL38,IF(A39&lt;'Données projet'!$A$88,$BA$205^A39,IF(A39='Données projet'!$A$88,'Données projet'!$B$88,BD38+BC39-BL38)))</f>
        <v>182.40000000000003</v>
      </c>
      <c r="BE39" s="14">
        <f>BD39*VLOOKUP('Données projet'!$B$11,Paramètres!$A$1:$I$89,3,0)*VLOOKUP('Données projet'!$B$11,Paramètres!$A$1:$I$89,5,0)</f>
        <v>145.11744000000002</v>
      </c>
      <c r="BF39" s="14">
        <f t="shared" si="37"/>
        <v>37.466878406916173</v>
      </c>
      <c r="BG39" s="22">
        <f t="shared" si="7"/>
        <v>318.00102122537902</v>
      </c>
      <c r="BH39" s="62">
        <f t="shared" si="8"/>
        <v>611.33435455871233</v>
      </c>
      <c r="BI39" s="62">
        <f ca="1">AVERAGE(OFFSET($BH$3,0,0,'Données projet'!$E$11+1,1))-AVERAGE(OFFSET($H$3,0,0,'Données projet'!$E$11+1,1))</f>
        <v>359.18294335011535</v>
      </c>
      <c r="BJ39" s="62">
        <f t="shared" si="38"/>
        <v>345.47508134331241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6.3980102733953288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6.3980102733953288</v>
      </c>
      <c r="BT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11.4</v>
      </c>
      <c r="BY39" s="13">
        <f>IF('Données projet'!$A$114&gt;35,BY38+BX39-CG38,IF(A39&lt;'Données projet'!$A$114,$BV$205^A39,IF(A39='Données projet'!$A$114,'Données projet'!$B$114,BY38+BX39-CG38)))</f>
        <v>182.40000000000003</v>
      </c>
      <c r="BZ39" s="14">
        <f>BY39*VLOOKUP('Données projet'!$B$12,Paramètres!$A$1:$I$89,3,0)*VLOOKUP('Données projet'!$B$12,Paramètres!$A$1:$I$89,5,0)</f>
        <v>133.73568000000003</v>
      </c>
      <c r="CA39" s="14">
        <f t="shared" si="39"/>
        <v>34.858136849359241</v>
      </c>
      <c r="CB39" s="22">
        <f t="shared" si="10"/>
        <v>293.63423101263402</v>
      </c>
      <c r="CC39" s="62">
        <f t="shared" si="11"/>
        <v>586.96756434596728</v>
      </c>
      <c r="CD39" s="62">
        <f ca="1">AVERAGE(OFFSET($CC$3,0,0,'Données projet'!$E$12+1,1))-AVERAGE(OFFSET($H$3,0,0,'Données projet'!$E$12+1,1))</f>
        <v>333.9187211440219</v>
      </c>
      <c r="CE39" s="62">
        <f t="shared" si="40"/>
        <v>321.81422611044997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4.7837139336041279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4.7837139336041279</v>
      </c>
      <c r="CO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11.4</v>
      </c>
      <c r="CT39" s="13">
        <f>IF('Données projet'!$A$140&gt;35,CT38+CS39-DB38,IF(A39&lt;'Données projet'!$A$140,$CQ$205^A39,IF(A39='Données projet'!$A$140,'Données projet'!$B$140,CT38+CS39-DB38)))</f>
        <v>182.40000000000003</v>
      </c>
      <c r="CU39" s="18">
        <f>CT39*VLOOKUP('Données projet'!$B$13,Paramètres!$A$1:$I$89,3,0)*VLOOKUP('Données projet'!$B$13,Paramètres!$A$1:$I$89,5,0)</f>
        <v>147.96288000000004</v>
      </c>
      <c r="CV39" s="14">
        <f t="shared" si="41"/>
        <v>38.115275017059226</v>
      </c>
      <c r="CW39" s="22">
        <f t="shared" si="13"/>
        <v>324.08611998804486</v>
      </c>
      <c r="CX39" s="62">
        <f t="shared" si="14"/>
        <v>617.41945332137811</v>
      </c>
      <c r="CY39" s="62">
        <f ca="1">AVERAGE(OFFSET($CX$3,0,0,'Données projet'!$E$13+1,1))-AVERAGE(OFFSET($H$3,0,0,'Données projet'!$E$13+1,1))</f>
        <v>365.492319515595</v>
      </c>
      <c r="CZ39" s="62">
        <f t="shared" si="42"/>
        <v>351.38386928091433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5.2926196712215887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5.2926196712215887</v>
      </c>
      <c r="DJ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3.887142857142857</v>
      </c>
      <c r="DO39" s="13">
        <f>IF('Données projet'!$A$166&gt;35,DO38+DN39-DW38,IF(A39&lt;'Données projet'!$A$166,$DL$205^A39,IF(A39='Données projet'!$A$166,'Données projet'!$B$166,DO38+DN39-DW38)))</f>
        <v>139.93714285714293</v>
      </c>
      <c r="DP39" s="18">
        <f>DO39*VLOOKUP('Données projet'!$B$14,Paramètres!$A$1:$I$89,3,0)*VLOOKUP('Données projet'!$B$14,Paramètres!$A$1:$I$89,5,0)</f>
        <v>117.88304914285722</v>
      </c>
      <c r="DQ39" s="14">
        <f t="shared" si="43"/>
        <v>31.180744974132423</v>
      </c>
      <c r="DR39" s="22">
        <f t="shared" si="16"/>
        <v>259.61944142042358</v>
      </c>
      <c r="DS39" s="62">
        <f t="shared" si="17"/>
        <v>552.9527747537569</v>
      </c>
      <c r="DT39" s="62">
        <f ca="1">AVERAGE(OFFSET($DS$3,0,0,'Données projet'!$E$14+1,1))-AVERAGE(OFFSET($H$3,0,0,'Données projet'!$E$14+1,1))</f>
        <v>544.89250424794909</v>
      </c>
      <c r="DU39" s="62">
        <f t="shared" si="44"/>
        <v>253.98688498110715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3.887142857142857</v>
      </c>
      <c r="EJ39" s="13">
        <f>IF('Données projet'!$A$192&gt;35,EJ38+EI39-ER38,IF(A39&lt;'Données projet'!$A$192,$EG$205^A39,IF(A39='Données projet'!$A$192,'Données projet'!$B$192,EJ38+EI39-ER38)))</f>
        <v>139.93714285714293</v>
      </c>
      <c r="EK39" s="18">
        <f>EJ39*VLOOKUP('Données projet'!$B$15,Paramètres!$A$1:$I$89,3,0)*VLOOKUP('Données projet'!$B$15,Paramètres!$A$1:$I$89,5,0)</f>
        <v>126.61512685714293</v>
      </c>
      <c r="EL39" s="14">
        <f t="shared" si="45"/>
        <v>33.213017638275041</v>
      </c>
      <c r="EM39" s="22">
        <f t="shared" si="19"/>
        <v>278.36735166285297</v>
      </c>
      <c r="EN39" s="62">
        <f t="shared" si="20"/>
        <v>571.70068499618628</v>
      </c>
      <c r="EO39" s="62">
        <f ca="1">AVERAGE(OFFSET($EN$3,0,0,'Données projet'!$E$15+1,1))-AVERAGE(OFFSET($H$3,0,0,'Données projet'!$E$15+1,1))</f>
        <v>581.88778927327667</v>
      </c>
      <c r="EP39" s="62">
        <f t="shared" si="46"/>
        <v>269.67340993773422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3.887142857142857</v>
      </c>
      <c r="FE39" s="13">
        <f>IF('Données projet'!$A$218&gt;35,FE38+FD39-FM38,IF(A39&lt;'Données projet'!$A$218,$FB$205^A39,IF(A39='Données projet'!$A$218,'Données projet'!$B$218,FE38+FD39-FM38)))</f>
        <v>139.93714285714293</v>
      </c>
      <c r="FF39" s="18">
        <f>FE39*VLOOKUP('Données projet'!$B$16,Paramètres!$A$1:$I$89,3,0)*VLOOKUP('Données projet'!$B$16,Paramètres!$A$1:$I$89,5,0)</f>
        <v>141.89626285714294</v>
      </c>
      <c r="FG39" s="14">
        <f t="shared" si="47"/>
        <v>36.73107195645354</v>
      </c>
      <c r="FH39" s="22">
        <f t="shared" si="22"/>
        <v>311.10927480034724</v>
      </c>
      <c r="FI39" s="62">
        <f t="shared" si="23"/>
        <v>604.44260813368055</v>
      </c>
      <c r="FJ39" s="62">
        <f ca="1">AVERAGE(OFFSET($FI$3,0,0,'Données projet'!$E$16+1,1))-AVERAGE(OFFSET($H$3,0,0,'Données projet'!$E$16+1,1))</f>
        <v>646.50767193970182</v>
      </c>
      <c r="FK39" s="62">
        <f t="shared" si="48"/>
        <v>297.06786598620607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3.887142857142857</v>
      </c>
      <c r="FZ39" s="13">
        <f>IF('Données projet'!$A$244&gt;35,FZ38+FY39-GH38,IF(A39&lt;'Données projet'!$A$244,$FW$205^A39,IF(A39='Données projet'!$A$244,'Données projet'!$B$244,FZ38+FY39-GH38)))</f>
        <v>139.93714285714293</v>
      </c>
      <c r="GA39" s="18">
        <f>FZ39*VLOOKUP('Données projet'!$B$17,Paramètres!$A$1:$I$89,3,0)*VLOOKUP('Données projet'!$B$17,Paramètres!$A$1:$I$89,5,0)</f>
        <v>93.869835428571477</v>
      </c>
      <c r="GB39" s="14">
        <f t="shared" si="49"/>
        <v>25.49623705280532</v>
      </c>
      <c r="GC39" s="22">
        <f t="shared" si="25"/>
        <v>207.89590957173127</v>
      </c>
      <c r="GD39" s="62">
        <f t="shared" si="26"/>
        <v>501.22924290506455</v>
      </c>
      <c r="GE39" s="62">
        <f ca="1">AVERAGE(OFFSET($GD$3,0,0,'Données projet'!$E$17+1,1))-AVERAGE(OFFSET($H$3,0,0,'Données projet'!$E$17+1,1))</f>
        <v>442.85175349826028</v>
      </c>
      <c r="GF39" s="62">
        <f t="shared" si="50"/>
        <v>210.70697808232501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10.6</v>
      </c>
      <c r="GU39" s="13">
        <f>IF('Données projet'!$A$270&gt;35,GU38+GT39-HC38,IF(A39&lt;'Données projet'!$A$270,$GR$205^A39,IF(A39='Données projet'!$A$270,'Données projet'!$B$270,GU38+GT39-HC38)))</f>
        <v>129.6</v>
      </c>
      <c r="GV39" s="18">
        <f>GU39*VLOOKUP('Données projet'!$B$18,Paramètres!$A$1:$I$89,3,0)*VLOOKUP('Données projet'!$B$18,Paramètres!$A$1:$I$89,5,0)</f>
        <v>123.32736</v>
      </c>
      <c r="GW39" s="14">
        <f t="shared" si="51"/>
        <v>32.449811739634434</v>
      </c>
      <c r="GX39" s="22">
        <f t="shared" si="28"/>
        <v>271.31190744653003</v>
      </c>
      <c r="GY39" s="62">
        <f t="shared" si="29"/>
        <v>564.64524077986334</v>
      </c>
      <c r="GZ39" s="62">
        <f ca="1">AVERAGE(OFFSET($GY$3,0,0,'Données projet'!$E$18+1,1))-AVERAGE(OFFSET($H$3,0,0,'Données projet'!$E$18+1,1))</f>
        <v>420.2510366318939</v>
      </c>
      <c r="HA39" s="62">
        <f t="shared" si="52"/>
        <v>220.59884411514116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2.4801747639945302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</v>
      </c>
      <c r="HJ39" s="24">
        <f t="shared" si="30"/>
        <v>2.4801747639945302</v>
      </c>
    </row>
    <row r="40" spans="1:218" s="5" customFormat="1" x14ac:dyDescent="0.2">
      <c r="A40" s="11">
        <f t="shared" si="31"/>
        <v>37</v>
      </c>
      <c r="B40" s="74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22.166666666666668</v>
      </c>
      <c r="N40" s="14">
        <f>IF('Données projet'!$A$36&gt;35,N39+M40-V39,IF(A40&lt;'Données projet'!$A$36,$K$205^A40,IF(A40='Données projet'!$A$36,'Données projet'!$B$36,N39+M40-V39)))</f>
        <v>256.16666666666674</v>
      </c>
      <c r="O40" s="14">
        <f>N40*VLOOKUP('Données projet'!$B$9,Paramètres!$A$1:$I$89,3,0)*VLOOKUP('Données projet'!$B$9,Paramètres!$A$1:$I$89,5,0)</f>
        <v>219.79100000000008</v>
      </c>
      <c r="P40" s="14">
        <f t="shared" si="33"/>
        <v>54.069458090781318</v>
      </c>
      <c r="Q40" s="22">
        <f t="shared" si="53"/>
        <v>476.97363117477761</v>
      </c>
      <c r="R40" s="62">
        <f t="shared" si="0"/>
        <v>770.30696450811092</v>
      </c>
      <c r="S40" s="62">
        <f ca="1">AVERAGE(OFFSET($R$3,0,0,'Données projet'!$E$9+1,1))-AVERAGE(OFFSET($H$3,0,0,'Données projet'!$E$9+1,1))</f>
        <v>623.31285537237943</v>
      </c>
      <c r="T40" s="62">
        <f t="shared" si="34"/>
        <v>462.33909258902241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24.4384876973145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24.4384876973145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11.4</v>
      </c>
      <c r="AI40" s="14">
        <f>IF('Données projet'!$A$62&gt;35,AI39+AH40-AQ39,IF(A40&lt;'Données projet'!$A$62,$AF$205^A40,IF(A40='Données projet'!$A$62,'Données projet'!$B$62,AI39+AH40-AQ39)))</f>
        <v>193.80000000000004</v>
      </c>
      <c r="AJ40" s="14">
        <f>AI40*VLOOKUP('Données projet'!$B$10,Paramètres!$A$1:$I$89,3,0)*VLOOKUP('Données projet'!$B$10,Paramètres!$A$1:$I$89,5,0)</f>
        <v>169.30368000000007</v>
      </c>
      <c r="AK40" s="14">
        <f t="shared" si="35"/>
        <v>42.934033834973256</v>
      </c>
      <c r="AL40" s="22">
        <f t="shared" si="4"/>
        <v>369.64735159591186</v>
      </c>
      <c r="AM40" s="62">
        <f t="shared" si="5"/>
        <v>662.98068492924517</v>
      </c>
      <c r="AN40" s="62">
        <f ca="1">AVERAGE(OFFSET($AM$3,0,0,'Données projet'!$E$10+1,1))-AVERAGE(OFFSET($H$3,0,0,'Données projet'!$E$10+1,1))</f>
        <v>390.70479111593545</v>
      </c>
      <c r="AO40" s="62">
        <f t="shared" si="36"/>
        <v>374.99493809709708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6.887504997701158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6.887504997701158</v>
      </c>
      <c r="AY40" s="7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11.4</v>
      </c>
      <c r="BD40" s="13">
        <f>IF('Données projet'!$A$88&gt;35,BD39+BC40-BL39,IF(A40&lt;'Données projet'!$A$88,$BA$205^A40,IF(A40='Données projet'!$A$88,'Données projet'!$B$88,BD39+BC40-BL39)))</f>
        <v>193.80000000000004</v>
      </c>
      <c r="BE40" s="14">
        <f>BD40*VLOOKUP('Données projet'!$B$11,Paramètres!$A$1:$I$89,3,0)*VLOOKUP('Données projet'!$B$11,Paramètres!$A$1:$I$89,5,0)</f>
        <v>154.18728000000004</v>
      </c>
      <c r="BF40" s="14">
        <f t="shared" si="37"/>
        <v>39.528629863903113</v>
      </c>
      <c r="BG40" s="22">
        <f t="shared" si="7"/>
        <v>337.38854301296465</v>
      </c>
      <c r="BH40" s="62">
        <f t="shared" si="8"/>
        <v>630.7218763462979</v>
      </c>
      <c r="BI40" s="62">
        <f ca="1">AVERAGE(OFFSET($BH$3,0,0,'Données projet'!$E$11+1,1))-AVERAGE(OFFSET($H$3,0,0,'Données projet'!$E$11+1,1))</f>
        <v>359.18294335011535</v>
      </c>
      <c r="BJ40" s="62">
        <f t="shared" si="38"/>
        <v>345.47508134331241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6.2725491943349834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6.2725491943349834</v>
      </c>
      <c r="BT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11.4</v>
      </c>
      <c r="BY40" s="13">
        <f>IF('Données projet'!$A$114&gt;35,BY39+BX40-CG39,IF(A40&lt;'Données projet'!$A$114,$BV$205^A40,IF(A40='Données projet'!$A$114,'Données projet'!$B$114,BY39+BX40-CG39)))</f>
        <v>193.80000000000004</v>
      </c>
      <c r="BZ40" s="14">
        <f>BY40*VLOOKUP('Données projet'!$B$12,Paramètres!$A$1:$I$89,3,0)*VLOOKUP('Données projet'!$B$12,Paramètres!$A$1:$I$89,5,0)</f>
        <v>142.09416000000002</v>
      </c>
      <c r="CA40" s="14">
        <f t="shared" si="39"/>
        <v>36.77633279983236</v>
      </c>
      <c r="CB40" s="22">
        <f t="shared" si="10"/>
        <v>311.53277495970804</v>
      </c>
      <c r="CC40" s="62">
        <f t="shared" si="11"/>
        <v>604.86610829304141</v>
      </c>
      <c r="CD40" s="62">
        <f ca="1">AVERAGE(OFFSET($CC$3,0,0,'Données projet'!$E$12+1,1))-AVERAGE(OFFSET($H$3,0,0,'Données projet'!$E$12+1,1))</f>
        <v>333.9187211440219</v>
      </c>
      <c r="CE40" s="62">
        <f t="shared" si="40"/>
        <v>321.81422611044997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4.6899082211435434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4.6899082211435434</v>
      </c>
      <c r="CO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11.4</v>
      </c>
      <c r="CT40" s="13">
        <f>IF('Données projet'!$A$140&gt;35,CT39+CS40-DB39,IF(A40&lt;'Données projet'!$A$140,$CQ$205^A40,IF(A40='Données projet'!$A$140,'Données projet'!$B$140,CT39+CS40-DB39)))</f>
        <v>193.80000000000004</v>
      </c>
      <c r="CU40" s="18">
        <f>CT40*VLOOKUP('Données projet'!$B$13,Paramètres!$A$1:$I$89,3,0)*VLOOKUP('Données projet'!$B$13,Paramètres!$A$1:$I$89,5,0)</f>
        <v>157.21056000000004</v>
      </c>
      <c r="CV40" s="14">
        <f t="shared" si="41"/>
        <v>40.212706859296013</v>
      </c>
      <c r="CW40" s="22">
        <f t="shared" si="13"/>
        <v>343.84552311327394</v>
      </c>
      <c r="CX40" s="62">
        <f t="shared" si="14"/>
        <v>637.17885644660726</v>
      </c>
      <c r="CY40" s="62">
        <f ca="1">AVERAGE(OFFSET($CX$3,0,0,'Données projet'!$E$13+1,1))-AVERAGE(OFFSET($H$3,0,0,'Données projet'!$E$13+1,1))</f>
        <v>365.492319515595</v>
      </c>
      <c r="CZ40" s="62">
        <f t="shared" si="42"/>
        <v>351.38386928091433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5.1888346276481769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5.1888346276481769</v>
      </c>
      <c r="DJ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3.887142857142857</v>
      </c>
      <c r="DO40" s="13">
        <f>IF('Données projet'!$A$166&gt;35,DO39+DN40-DW39,IF(A40&lt;'Données projet'!$A$166,$DL$205^A40,IF(A40='Données projet'!$A$166,'Données projet'!$B$166,DO39+DN40-DW39)))</f>
        <v>143.82428571428579</v>
      </c>
      <c r="DP40" s="18">
        <f>DO40*VLOOKUP('Données projet'!$B$14,Paramètres!$A$1:$I$89,3,0)*VLOOKUP('Données projet'!$B$14,Paramètres!$A$1:$I$89,5,0)</f>
        <v>121.15757828571437</v>
      </c>
      <c r="DQ40" s="14">
        <f t="shared" si="43"/>
        <v>31.944834383953008</v>
      </c>
      <c r="DR40" s="22">
        <f t="shared" si="16"/>
        <v>266.65336873300402</v>
      </c>
      <c r="DS40" s="62">
        <f t="shared" si="17"/>
        <v>559.98670206633733</v>
      </c>
      <c r="DT40" s="62">
        <f ca="1">AVERAGE(OFFSET($DS$3,0,0,'Données projet'!$E$14+1,1))-AVERAGE(OFFSET($H$3,0,0,'Données projet'!$E$14+1,1))</f>
        <v>544.89250424794909</v>
      </c>
      <c r="DU40" s="62">
        <f t="shared" si="44"/>
        <v>253.98688498110715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3.887142857142857</v>
      </c>
      <c r="EJ40" s="13">
        <f>IF('Données projet'!$A$192&gt;35,EJ39+EI40-ER39,IF(A40&lt;'Données projet'!$A$192,$EG$205^A40,IF(A40='Données projet'!$A$192,'Données projet'!$B$192,EJ39+EI40-ER39)))</f>
        <v>143.82428571428579</v>
      </c>
      <c r="EK40" s="18">
        <f>EJ40*VLOOKUP('Données projet'!$B$15,Paramètres!$A$1:$I$89,3,0)*VLOOKUP('Données projet'!$B$15,Paramètres!$A$1:$I$89,5,0)</f>
        <v>130.13221371428577</v>
      </c>
      <c r="EL40" s="14">
        <f t="shared" si="45"/>
        <v>34.026908232186209</v>
      </c>
      <c r="EM40" s="22">
        <f t="shared" si="19"/>
        <v>285.91047072343866</v>
      </c>
      <c r="EN40" s="62">
        <f t="shared" si="20"/>
        <v>579.24380405677198</v>
      </c>
      <c r="EO40" s="62">
        <f ca="1">AVERAGE(OFFSET($EN$3,0,0,'Données projet'!$E$15+1,1))-AVERAGE(OFFSET($H$3,0,0,'Données projet'!$E$15+1,1))</f>
        <v>581.88778927327667</v>
      </c>
      <c r="EP40" s="62">
        <f t="shared" si="46"/>
        <v>269.67340993773422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3.887142857142857</v>
      </c>
      <c r="FE40" s="13">
        <f>IF('Données projet'!$A$218&gt;35,FE39+FD40-FM39,IF(A40&lt;'Données projet'!$A$218,$FB$205^A40,IF(A40='Données projet'!$A$218,'Données projet'!$B$218,FE39+FD40-FM39)))</f>
        <v>143.82428571428579</v>
      </c>
      <c r="FF40" s="18">
        <f>FE40*VLOOKUP('Données projet'!$B$16,Paramètres!$A$1:$I$89,3,0)*VLOOKUP('Données projet'!$B$16,Paramètres!$A$1:$I$89,5,0)</f>
        <v>145.8378257142858</v>
      </c>
      <c r="FG40" s="14">
        <f t="shared" si="47"/>
        <v>37.631173064254732</v>
      </c>
      <c r="FH40" s="22">
        <f t="shared" si="22"/>
        <v>319.5418395392914</v>
      </c>
      <c r="FI40" s="62">
        <f t="shared" si="23"/>
        <v>612.87517287262472</v>
      </c>
      <c r="FJ40" s="62">
        <f ca="1">AVERAGE(OFFSET($FI$3,0,0,'Données projet'!$E$16+1,1))-AVERAGE(OFFSET($H$3,0,0,'Données projet'!$E$16+1,1))</f>
        <v>646.50767193970182</v>
      </c>
      <c r="FK40" s="62">
        <f t="shared" si="48"/>
        <v>297.06786598620607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3.887142857142857</v>
      </c>
      <c r="FZ40" s="13">
        <f>IF('Données projet'!$A$244&gt;35,FZ39+FY40-GH39,IF(A40&lt;'Données projet'!$A$244,$FW$205^A40,IF(A40='Données projet'!$A$244,'Données projet'!$B$244,FZ39+FY40-GH39)))</f>
        <v>143.82428571428579</v>
      </c>
      <c r="GA40" s="18">
        <f>FZ40*VLOOKUP('Données projet'!$B$17,Paramètres!$A$1:$I$89,3,0)*VLOOKUP('Données projet'!$B$17,Paramètres!$A$1:$I$89,5,0)</f>
        <v>96.477330857142903</v>
      </c>
      <c r="GB40" s="14">
        <f t="shared" si="49"/>
        <v>26.121026638124231</v>
      </c>
      <c r="GC40" s="22">
        <f t="shared" si="25"/>
        <v>213.52547263759024</v>
      </c>
      <c r="GD40" s="62">
        <f t="shared" si="26"/>
        <v>506.85880597092353</v>
      </c>
      <c r="GE40" s="62">
        <f ca="1">AVERAGE(OFFSET($GD$3,0,0,'Données projet'!$E$17+1,1))-AVERAGE(OFFSET($H$3,0,0,'Données projet'!$E$17+1,1))</f>
        <v>442.85175349826028</v>
      </c>
      <c r="GF40" s="62">
        <f t="shared" si="50"/>
        <v>210.70697808232501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10.6</v>
      </c>
      <c r="GU40" s="13">
        <f>IF('Données projet'!$A$270&gt;35,GU39+GT40-HC39,IF(A40&lt;'Données projet'!$A$270,$GR$205^A40,IF(A40='Données projet'!$A$270,'Données projet'!$B$270,GU39+GT40-HC39)))</f>
        <v>140.19999999999999</v>
      </c>
      <c r="GV40" s="18">
        <f>GU40*VLOOKUP('Données projet'!$B$18,Paramètres!$A$1:$I$89,3,0)*VLOOKUP('Données projet'!$B$18,Paramètres!$A$1:$I$89,5,0)</f>
        <v>133.41432</v>
      </c>
      <c r="GW40" s="14">
        <f t="shared" si="51"/>
        <v>34.784114103160398</v>
      </c>
      <c r="GX40" s="22">
        <f t="shared" si="28"/>
        <v>292.94560606300433</v>
      </c>
      <c r="GY40" s="62">
        <f t="shared" si="29"/>
        <v>586.27893939633759</v>
      </c>
      <c r="GZ40" s="62">
        <f ca="1">AVERAGE(OFFSET($GY$3,0,0,'Données projet'!$E$18+1,1))-AVERAGE(OFFSET($H$3,0,0,'Données projet'!$E$18+1,1))</f>
        <v>420.2510366318939</v>
      </c>
      <c r="HA40" s="62">
        <f t="shared" si="52"/>
        <v>220.59884411514116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2.4315400496298309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</v>
      </c>
      <c r="HJ40" s="24">
        <f t="shared" si="30"/>
        <v>2.4315400496298309</v>
      </c>
    </row>
    <row r="41" spans="1:218" s="5" customFormat="1" x14ac:dyDescent="0.2">
      <c r="A41" s="11">
        <f t="shared" si="31"/>
        <v>38</v>
      </c>
      <c r="B41" s="74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22.166666666666668</v>
      </c>
      <c r="N41" s="14">
        <f>IF('Données projet'!$A$36&gt;35,N40+M41-V40,IF(A41&lt;'Données projet'!$A$36,$K$205^A41,IF(A41='Données projet'!$A$36,'Données projet'!$B$36,N40+M41-V40)))</f>
        <v>278.33333333333343</v>
      </c>
      <c r="O41" s="14">
        <f>N41*VLOOKUP('Données projet'!$B$9,Paramètres!$A$1:$I$89,3,0)*VLOOKUP('Données projet'!$B$9,Paramètres!$A$1:$I$89,5,0)</f>
        <v>238.81000000000012</v>
      </c>
      <c r="P41" s="14">
        <f t="shared" si="33"/>
        <v>58.183422163472152</v>
      </c>
      <c r="Q41" s="22">
        <f t="shared" si="53"/>
        <v>517.26354360138077</v>
      </c>
      <c r="R41" s="62">
        <f t="shared" si="0"/>
        <v>810.59687693471415</v>
      </c>
      <c r="S41" s="62">
        <f ca="1">AVERAGE(OFFSET($R$3,0,0,'Données projet'!$E$9+1,1))-AVERAGE(OFFSET($H$3,0,0,'Données projet'!$E$9+1,1))</f>
        <v>623.31285537237943</v>
      </c>
      <c r="T41" s="62">
        <f t="shared" si="34"/>
        <v>462.33909258902241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23.959263859575813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23.959263859575813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11.4</v>
      </c>
      <c r="AI41" s="14">
        <f>IF('Données projet'!$A$62&gt;35,AI40+AH41-AQ40,IF(A41&lt;'Données projet'!$A$62,$AF$205^A41,IF(A41='Données projet'!$A$62,'Données projet'!$B$62,AI40+AH41-AQ40)))</f>
        <v>205.20000000000005</v>
      </c>
      <c r="AJ41" s="14">
        <f>AI41*VLOOKUP('Données projet'!$B$10,Paramètres!$A$1:$I$89,3,0)*VLOOKUP('Données projet'!$B$10,Paramètres!$A$1:$I$89,5,0)</f>
        <v>179.26272000000006</v>
      </c>
      <c r="AK41" s="14">
        <f t="shared" si="35"/>
        <v>45.158115787467153</v>
      </c>
      <c r="AL41" s="22">
        <f t="shared" si="4"/>
        <v>390.86628899650538</v>
      </c>
      <c r="AM41" s="62">
        <f t="shared" si="5"/>
        <v>684.19962232983869</v>
      </c>
      <c r="AN41" s="62">
        <f ca="1">AVERAGE(OFFSET($AM$3,0,0,'Données projet'!$E$10+1,1))-AVERAGE(OFFSET($H$3,0,0,'Données projet'!$E$10+1,1))</f>
        <v>390.70479111593545</v>
      </c>
      <c r="AO41" s="62">
        <f t="shared" si="36"/>
        <v>374.99493809709708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6.7524452256594758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6.7524452256594758</v>
      </c>
      <c r="AY41" s="7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11.4</v>
      </c>
      <c r="BD41" s="13">
        <f>IF('Données projet'!$A$88&gt;35,BD40+BC41-BL40,IF(A41&lt;'Données projet'!$A$88,$BA$205^A41,IF(A41='Données projet'!$A$88,'Données projet'!$B$88,BD40+BC41-BL40)))</f>
        <v>205.20000000000005</v>
      </c>
      <c r="BE41" s="14">
        <f>BD41*VLOOKUP('Données projet'!$B$11,Paramètres!$A$1:$I$89,3,0)*VLOOKUP('Données projet'!$B$11,Paramètres!$A$1:$I$89,5,0)</f>
        <v>163.25712000000004</v>
      </c>
      <c r="BF41" s="14">
        <f t="shared" si="37"/>
        <v>41.576304038313076</v>
      </c>
      <c r="BG41" s="22">
        <f t="shared" si="7"/>
        <v>356.75154686672869</v>
      </c>
      <c r="BH41" s="62">
        <f t="shared" si="8"/>
        <v>650.084880200062</v>
      </c>
      <c r="BI41" s="62">
        <f ca="1">AVERAGE(OFFSET($BH$3,0,0,'Données projet'!$E$11+1,1))-AVERAGE(OFFSET($H$3,0,0,'Données projet'!$E$11+1,1))</f>
        <v>359.18294335011535</v>
      </c>
      <c r="BJ41" s="62">
        <f t="shared" si="38"/>
        <v>345.47508134331241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6.1495483305113092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6.1495483305113092</v>
      </c>
      <c r="BT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11.4</v>
      </c>
      <c r="BY41" s="13">
        <f>IF('Données projet'!$A$114&gt;35,BY40+BX41-CG40,IF(A41&lt;'Données projet'!$A$114,$BV$205^A41,IF(A41='Données projet'!$A$114,'Données projet'!$B$114,BY40+BX41-CG40)))</f>
        <v>205.20000000000005</v>
      </c>
      <c r="BZ41" s="14">
        <f>BY41*VLOOKUP('Données projet'!$B$12,Paramètres!$A$1:$I$89,3,0)*VLOOKUP('Données projet'!$B$12,Paramètres!$A$1:$I$89,5,0)</f>
        <v>150.45264000000003</v>
      </c>
      <c r="CA41" s="14">
        <f t="shared" si="39"/>
        <v>38.68143163991364</v>
      </c>
      <c r="CB41" s="22">
        <f t="shared" si="10"/>
        <v>329.40850810618292</v>
      </c>
      <c r="CC41" s="62">
        <f t="shared" si="11"/>
        <v>622.74184143951629</v>
      </c>
      <c r="CD41" s="62">
        <f ca="1">AVERAGE(OFFSET($CC$3,0,0,'Données projet'!$E$12+1,1))-AVERAGE(OFFSET($H$3,0,0,'Données projet'!$E$12+1,1))</f>
        <v>333.9187211440219</v>
      </c>
      <c r="CE41" s="62">
        <f t="shared" si="40"/>
        <v>321.81422611044997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4.5979419814884768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4.5979419814884768</v>
      </c>
      <c r="CO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11.4</v>
      </c>
      <c r="CT41" s="13">
        <f>IF('Données projet'!$A$140&gt;35,CT40+CS41-DB40,IF(A41&lt;'Données projet'!$A$140,$CQ$205^A41,IF(A41='Données projet'!$A$140,'Données projet'!$B$140,CT40+CS41-DB40)))</f>
        <v>205.20000000000005</v>
      </c>
      <c r="CU41" s="18">
        <f>CT41*VLOOKUP('Données projet'!$B$13,Paramètres!$A$1:$I$89,3,0)*VLOOKUP('Données projet'!$B$13,Paramètres!$A$1:$I$89,5,0)</f>
        <v>166.45824000000005</v>
      </c>
      <c r="CV41" s="14">
        <f t="shared" si="41"/>
        <v>42.295817799452685</v>
      </c>
      <c r="CW41" s="22">
        <f t="shared" si="13"/>
        <v>363.57998400071347</v>
      </c>
      <c r="CX41" s="62">
        <f t="shared" si="14"/>
        <v>656.91331733404672</v>
      </c>
      <c r="CY41" s="62">
        <f ca="1">AVERAGE(OFFSET($CX$3,0,0,'Données projet'!$E$13+1,1))-AVERAGE(OFFSET($H$3,0,0,'Données projet'!$E$13+1,1))</f>
        <v>365.492319515595</v>
      </c>
      <c r="CZ41" s="62">
        <f t="shared" si="42"/>
        <v>351.38386928091433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5.0870847454766137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5.0870847454766137</v>
      </c>
      <c r="DJ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3.887142857142857</v>
      </c>
      <c r="DO41" s="13">
        <f>IF('Données projet'!$A$166&gt;35,DO40+DN41-DW40,IF(A41&lt;'Données projet'!$A$166,$DL$205^A41,IF(A41='Données projet'!$A$166,'Données projet'!$B$166,DO40+DN41-DW40)))</f>
        <v>147.71142857142866</v>
      </c>
      <c r="DP41" s="18">
        <f>DO41*VLOOKUP('Données projet'!$B$14,Paramètres!$A$1:$I$89,3,0)*VLOOKUP('Données projet'!$B$14,Paramètres!$A$1:$I$89,5,0)</f>
        <v>124.4321074285715</v>
      </c>
      <c r="DQ41" s="14">
        <f t="shared" si="43"/>
        <v>32.706523478119323</v>
      </c>
      <c r="DR41" s="22">
        <f t="shared" si="16"/>
        <v>273.68311549581978</v>
      </c>
      <c r="DS41" s="62">
        <f t="shared" si="17"/>
        <v>567.01644882915309</v>
      </c>
      <c r="DT41" s="62">
        <f ca="1">AVERAGE(OFFSET($DS$3,0,0,'Données projet'!$E$14+1,1))-AVERAGE(OFFSET($H$3,0,0,'Données projet'!$E$14+1,1))</f>
        <v>544.89250424794909</v>
      </c>
      <c r="DU41" s="62">
        <f t="shared" si="44"/>
        <v>253.98688498110715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3.887142857142857</v>
      </c>
      <c r="EJ41" s="13">
        <f>IF('Données projet'!$A$192&gt;35,EJ40+EI41-ER40,IF(A41&lt;'Données projet'!$A$192,$EG$205^A41,IF(A41='Données projet'!$A$192,'Données projet'!$B$192,EJ40+EI41-ER40)))</f>
        <v>147.71142857142866</v>
      </c>
      <c r="EK41" s="18">
        <f>EJ41*VLOOKUP('Données projet'!$B$15,Paramètres!$A$1:$I$89,3,0)*VLOOKUP('Données projet'!$B$15,Paramètres!$A$1:$I$89,5,0)</f>
        <v>133.64930057142865</v>
      </c>
      <c r="EL41" s="14">
        <f t="shared" si="45"/>
        <v>34.8382420646657</v>
      </c>
      <c r="EM41" s="22">
        <f t="shared" si="19"/>
        <v>293.44913675786432</v>
      </c>
      <c r="EN41" s="62">
        <f t="shared" si="20"/>
        <v>586.78247009119764</v>
      </c>
      <c r="EO41" s="62">
        <f ca="1">AVERAGE(OFFSET($EN$3,0,0,'Données projet'!$E$15+1,1))-AVERAGE(OFFSET($H$3,0,0,'Données projet'!$E$15+1,1))</f>
        <v>581.88778927327667</v>
      </c>
      <c r="EP41" s="62">
        <f t="shared" si="46"/>
        <v>269.67340993773422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3.887142857142857</v>
      </c>
      <c r="FE41" s="13">
        <f>IF('Données projet'!$A$218&gt;35,FE40+FD41-FM40,IF(A41&lt;'Données projet'!$A$218,$FB$205^A41,IF(A41='Données projet'!$A$218,'Données projet'!$B$218,FE40+FD41-FM40)))</f>
        <v>147.71142857142866</v>
      </c>
      <c r="FF41" s="18">
        <f>FE41*VLOOKUP('Données projet'!$B$16,Paramètres!$A$1:$I$89,3,0)*VLOOKUP('Données projet'!$B$16,Paramètres!$A$1:$I$89,5,0)</f>
        <v>149.77938857142865</v>
      </c>
      <c r="FG41" s="14">
        <f t="shared" si="47"/>
        <v>38.528446588331214</v>
      </c>
      <c r="FH41" s="22">
        <f t="shared" si="22"/>
        <v>327.96947956991511</v>
      </c>
      <c r="FI41" s="62">
        <f t="shared" si="23"/>
        <v>621.30281290324842</v>
      </c>
      <c r="FJ41" s="62">
        <f ca="1">AVERAGE(OFFSET($FI$3,0,0,'Données projet'!$E$16+1,1))-AVERAGE(OFFSET($H$3,0,0,'Données projet'!$E$16+1,1))</f>
        <v>646.50767193970182</v>
      </c>
      <c r="FK41" s="62">
        <f t="shared" si="48"/>
        <v>297.06786598620607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3.887142857142857</v>
      </c>
      <c r="FZ41" s="13">
        <f>IF('Données projet'!$A$244&gt;35,FZ40+FY41-GH40,IF(A41&lt;'Données projet'!$A$244,$FW$205^A41,IF(A41='Données projet'!$A$244,'Données projet'!$B$244,FZ40+FY41-GH40)))</f>
        <v>147.71142857142866</v>
      </c>
      <c r="GA41" s="18">
        <f>FZ41*VLOOKUP('Données projet'!$B$17,Paramètres!$A$1:$I$89,3,0)*VLOOKUP('Données projet'!$B$17,Paramètres!$A$1:$I$89,5,0)</f>
        <v>99.084826285714342</v>
      </c>
      <c r="GB41" s="14">
        <f t="shared" si="49"/>
        <v>26.743853505202381</v>
      </c>
      <c r="GC41" s="22">
        <f t="shared" si="25"/>
        <v>219.1516173025133</v>
      </c>
      <c r="GD41" s="62">
        <f t="shared" si="26"/>
        <v>512.48495063584664</v>
      </c>
      <c r="GE41" s="62">
        <f ca="1">AVERAGE(OFFSET($GD$3,0,0,'Données projet'!$E$17+1,1))-AVERAGE(OFFSET($H$3,0,0,'Données projet'!$E$17+1,1))</f>
        <v>442.85175349826028</v>
      </c>
      <c r="GF41" s="62">
        <f t="shared" si="50"/>
        <v>210.70697808232501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10.6</v>
      </c>
      <c r="GU41" s="13">
        <f>IF('Données projet'!$A$270&gt;35,GU40+GT41-HC40,IF(A41&lt;'Données projet'!$A$270,$GR$205^A41,IF(A41='Données projet'!$A$270,'Données projet'!$B$270,GU40+GT41-HC40)))</f>
        <v>150.79999999999998</v>
      </c>
      <c r="GV41" s="18">
        <f>GU41*VLOOKUP('Données projet'!$B$18,Paramètres!$A$1:$I$89,3,0)*VLOOKUP('Données projet'!$B$18,Paramètres!$A$1:$I$89,5,0)</f>
        <v>143.50127999999998</v>
      </c>
      <c r="GW41" s="14">
        <f t="shared" si="51"/>
        <v>37.097942826522427</v>
      </c>
      <c r="GX41" s="22">
        <f t="shared" si="28"/>
        <v>314.54364642285981</v>
      </c>
      <c r="GY41" s="62">
        <f t="shared" si="29"/>
        <v>607.87697975619312</v>
      </c>
      <c r="GZ41" s="62">
        <f ca="1">AVERAGE(OFFSET($GY$3,0,0,'Données projet'!$E$18+1,1))-AVERAGE(OFFSET($H$3,0,0,'Données projet'!$E$18+1,1))</f>
        <v>420.2510366318939</v>
      </c>
      <c r="HA41" s="62">
        <f t="shared" si="52"/>
        <v>220.59884411514116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2.383859032349577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</v>
      </c>
      <c r="HJ41" s="24">
        <f t="shared" si="30"/>
        <v>2.383859032349577</v>
      </c>
    </row>
    <row r="42" spans="1:218" s="5" customFormat="1" x14ac:dyDescent="0.2">
      <c r="A42" s="11">
        <f t="shared" si="31"/>
        <v>39</v>
      </c>
      <c r="B42" s="74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22.166666666666668</v>
      </c>
      <c r="N42" s="14">
        <f>IF('Données projet'!$A$36&gt;35,N41+M42-V41,IF(A42&lt;'Données projet'!$A$36,$K$205^A42,IF(A42='Données projet'!$A$36,'Données projet'!$B$36,N41+M42-V41)))</f>
        <v>300.50000000000011</v>
      </c>
      <c r="O42" s="14">
        <f>N42*VLOOKUP('Données projet'!$B$9,Paramètres!$A$1:$I$89,3,0)*VLOOKUP('Données projet'!$B$9,Paramètres!$A$1:$I$89,5,0)</f>
        <v>257.82900000000012</v>
      </c>
      <c r="P42" s="14">
        <f t="shared" si="33"/>
        <v>62.259382894267475</v>
      </c>
      <c r="Q42" s="22">
        <f t="shared" si="53"/>
        <v>557.48726687418275</v>
      </c>
      <c r="R42" s="62">
        <f t="shared" si="0"/>
        <v>850.82060020751601</v>
      </c>
      <c r="S42" s="62">
        <f ca="1">AVERAGE(OFFSET($R$3,0,0,'Données projet'!$E$9+1,1))-AVERAGE(OFFSET($H$3,0,0,'Données projet'!$E$9+1,1))</f>
        <v>623.31285537237943</v>
      </c>
      <c r="T42" s="62">
        <f t="shared" si="34"/>
        <v>462.33909258902241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23.489437308997502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23.489437308997502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11.4</v>
      </c>
      <c r="AI42" s="14">
        <f>IF('Données projet'!$A$62&gt;35,AI41+AH42-AQ41,IF(A42&lt;'Données projet'!$A$62,$AF$205^A42,IF(A42='Données projet'!$A$62,'Données projet'!$B$62,AI41+AH42-AQ41)))</f>
        <v>216.60000000000005</v>
      </c>
      <c r="AJ42" s="14">
        <f>AI42*VLOOKUP('Données projet'!$B$10,Paramètres!$A$1:$I$89,3,0)*VLOOKUP('Données projet'!$B$10,Paramètres!$A$1:$I$89,5,0)</f>
        <v>189.22176000000007</v>
      </c>
      <c r="AK42" s="14">
        <f t="shared" si="35"/>
        <v>47.367853957810077</v>
      </c>
      <c r="AL42" s="22">
        <f t="shared" si="4"/>
        <v>412.06024430985264</v>
      </c>
      <c r="AM42" s="62">
        <f t="shared" si="5"/>
        <v>705.39357764318595</v>
      </c>
      <c r="AN42" s="62">
        <f ca="1">AVERAGE(OFFSET($AM$3,0,0,'Données projet'!$E$10+1,1))-AVERAGE(OFFSET($H$3,0,0,'Données projet'!$E$10+1,1))</f>
        <v>390.70479111593545</v>
      </c>
      <c r="AO42" s="62">
        <f t="shared" si="36"/>
        <v>374.99493809709708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6.6200338933692047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6.6200338933692047</v>
      </c>
      <c r="AY42" s="7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11.4</v>
      </c>
      <c r="BD42" s="13">
        <f>IF('Données projet'!$A$88&gt;35,BD41+BC42-BL41,IF(A42&lt;'Données projet'!$A$88,$BA$205^A42,IF(A42='Données projet'!$A$88,'Données projet'!$B$88,BD41+BC42-BL41)))</f>
        <v>216.60000000000005</v>
      </c>
      <c r="BE42" s="14">
        <f>BD42*VLOOKUP('Données projet'!$B$11,Paramètres!$A$1:$I$89,3,0)*VLOOKUP('Données projet'!$B$11,Paramètres!$A$1:$I$89,5,0)</f>
        <v>172.32696000000004</v>
      </c>
      <c r="BF42" s="14">
        <f t="shared" si="37"/>
        <v>43.61077213808133</v>
      </c>
      <c r="BG42" s="22">
        <f t="shared" si="7"/>
        <v>376.09155014049173</v>
      </c>
      <c r="BH42" s="62">
        <f t="shared" si="8"/>
        <v>669.42488347382505</v>
      </c>
      <c r="BI42" s="62">
        <f ca="1">AVERAGE(OFFSET($BH$3,0,0,'Données projet'!$E$11+1,1))-AVERAGE(OFFSET($H$3,0,0,'Données projet'!$E$11+1,1))</f>
        <v>359.18294335011535</v>
      </c>
      <c r="BJ42" s="62">
        <f t="shared" si="38"/>
        <v>345.47508134331241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6.0289594386040983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6.0289594386040983</v>
      </c>
      <c r="BT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11.4</v>
      </c>
      <c r="BY42" s="13">
        <f>IF('Données projet'!$A$114&gt;35,BY41+BX42-CG41,IF(A42&lt;'Données projet'!$A$114,$BV$205^A42,IF(A42='Données projet'!$A$114,'Données projet'!$B$114,BY41+BX42-CG41)))</f>
        <v>216.60000000000005</v>
      </c>
      <c r="BZ42" s="14">
        <f>BY42*VLOOKUP('Données projet'!$B$12,Paramètres!$A$1:$I$89,3,0)*VLOOKUP('Données projet'!$B$12,Paramètres!$A$1:$I$89,5,0)</f>
        <v>158.81112000000005</v>
      </c>
      <c r="CA42" s="14">
        <f t="shared" si="39"/>
        <v>40.574243917124505</v>
      </c>
      <c r="CB42" s="22">
        <f t="shared" si="10"/>
        <v>347.26284215565857</v>
      </c>
      <c r="CC42" s="62">
        <f t="shared" si="11"/>
        <v>640.59617548899189</v>
      </c>
      <c r="CD42" s="62">
        <f ca="1">AVERAGE(OFFSET($CC$3,0,0,'Données projet'!$E$12+1,1))-AVERAGE(OFFSET($H$3,0,0,'Données projet'!$E$12+1,1))</f>
        <v>333.9187211440219</v>
      </c>
      <c r="CE42" s="62">
        <f t="shared" si="40"/>
        <v>321.81422611044997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4.5077791436991781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4.5077791436991781</v>
      </c>
      <c r="CO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11.4</v>
      </c>
      <c r="CT42" s="13">
        <f>IF('Données projet'!$A$140&gt;35,CT41+CS42-DB41,IF(A42&lt;'Données projet'!$A$140,$CQ$205^A42,IF(A42='Données projet'!$A$140,'Données projet'!$B$140,CT41+CS42-DB41)))</f>
        <v>216.60000000000005</v>
      </c>
      <c r="CU42" s="18">
        <f>CT42*VLOOKUP('Données projet'!$B$13,Paramètres!$A$1:$I$89,3,0)*VLOOKUP('Données projet'!$B$13,Paramètres!$A$1:$I$89,5,0)</f>
        <v>175.70592000000005</v>
      </c>
      <c r="CV42" s="14">
        <f t="shared" si="41"/>
        <v>44.365494122468341</v>
      </c>
      <c r="CW42" s="22">
        <f t="shared" si="13"/>
        <v>383.29104626329905</v>
      </c>
      <c r="CX42" s="62">
        <f t="shared" si="14"/>
        <v>676.62437959663237</v>
      </c>
      <c r="CY42" s="62">
        <f ca="1">AVERAGE(OFFSET($CX$3,0,0,'Données projet'!$E$13+1,1))-AVERAGE(OFFSET($H$3,0,0,'Données projet'!$E$13+1,1))</f>
        <v>365.492319515595</v>
      </c>
      <c r="CZ42" s="62">
        <f t="shared" si="42"/>
        <v>351.38386928091433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4.9873301164331343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4.9873301164331343</v>
      </c>
      <c r="DJ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3.887142857142857</v>
      </c>
      <c r="DO42" s="13">
        <f>IF('Données projet'!$A$166&gt;35,DO41+DN42-DW41,IF(A42&lt;'Données projet'!$A$166,$DL$205^A42,IF(A42='Données projet'!$A$166,'Données projet'!$B$166,DO41+DN42-DW41)))</f>
        <v>151.59857142857152</v>
      </c>
      <c r="DP42" s="18">
        <f>DO42*VLOOKUP('Données projet'!$B$14,Paramètres!$A$1:$I$89,3,0)*VLOOKUP('Données projet'!$B$14,Paramètres!$A$1:$I$89,5,0)</f>
        <v>127.70663657142866</v>
      </c>
      <c r="DQ42" s="14">
        <f t="shared" si="43"/>
        <v>33.465882683938744</v>
      </c>
      <c r="DR42" s="22">
        <f t="shared" si="16"/>
        <v>280.70880436976489</v>
      </c>
      <c r="DS42" s="62">
        <f t="shared" si="17"/>
        <v>574.04213770309821</v>
      </c>
      <c r="DT42" s="62">
        <f ca="1">AVERAGE(OFFSET($DS$3,0,0,'Données projet'!$E$14+1,1))-AVERAGE(OFFSET($H$3,0,0,'Données projet'!$E$14+1,1))</f>
        <v>544.89250424794909</v>
      </c>
      <c r="DU42" s="62">
        <f t="shared" si="44"/>
        <v>253.98688498110715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3.887142857142857</v>
      </c>
      <c r="EJ42" s="13">
        <f>IF('Données projet'!$A$192&gt;35,EJ41+EI42-ER41,IF(A42&lt;'Données projet'!$A$192,$EG$205^A42,IF(A42='Données projet'!$A$192,'Données projet'!$B$192,EJ41+EI42-ER41)))</f>
        <v>151.59857142857152</v>
      </c>
      <c r="EK42" s="18">
        <f>EJ42*VLOOKUP('Données projet'!$B$15,Paramètres!$A$1:$I$89,3,0)*VLOOKUP('Données projet'!$B$15,Paramètres!$A$1:$I$89,5,0)</f>
        <v>137.16638742857151</v>
      </c>
      <c r="EL42" s="14">
        <f t="shared" si="45"/>
        <v>35.647094153273272</v>
      </c>
      <c r="EM42" s="22">
        <f t="shared" si="19"/>
        <v>300.98348042171295</v>
      </c>
      <c r="EN42" s="62">
        <f t="shared" si="20"/>
        <v>594.31681375504627</v>
      </c>
      <c r="EO42" s="62">
        <f ca="1">AVERAGE(OFFSET($EN$3,0,0,'Données projet'!$E$15+1,1))-AVERAGE(OFFSET($H$3,0,0,'Données projet'!$E$15+1,1))</f>
        <v>581.88778927327667</v>
      </c>
      <c r="EP42" s="62">
        <f t="shared" si="46"/>
        <v>269.67340993773422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3.887142857142857</v>
      </c>
      <c r="FE42" s="13">
        <f>IF('Données projet'!$A$218&gt;35,FE41+FD42-FM41,IF(A42&lt;'Données projet'!$A$218,$FB$205^A42,IF(A42='Données projet'!$A$218,'Données projet'!$B$218,FE41+FD42-FM41)))</f>
        <v>151.59857142857152</v>
      </c>
      <c r="FF42" s="18">
        <f>FE42*VLOOKUP('Données projet'!$B$16,Paramètres!$A$1:$I$89,3,0)*VLOOKUP('Données projet'!$B$16,Paramètres!$A$1:$I$89,5,0)</f>
        <v>153.72095142857154</v>
      </c>
      <c r="FG42" s="14">
        <f t="shared" si="47"/>
        <v>39.422975492399672</v>
      </c>
      <c r="FH42" s="22">
        <f t="shared" si="22"/>
        <v>336.39233938735816</v>
      </c>
      <c r="FI42" s="62">
        <f t="shared" si="23"/>
        <v>629.72567272069148</v>
      </c>
      <c r="FJ42" s="62">
        <f ca="1">AVERAGE(OFFSET($FI$3,0,0,'Données projet'!$E$16+1,1))-AVERAGE(OFFSET($H$3,0,0,'Données projet'!$E$16+1,1))</f>
        <v>646.50767193970182</v>
      </c>
      <c r="FK42" s="62">
        <f t="shared" si="48"/>
        <v>297.06786598620607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3.887142857142857</v>
      </c>
      <c r="FZ42" s="13">
        <f>IF('Données projet'!$A$244&gt;35,FZ41+FY42-GH41,IF(A42&lt;'Données projet'!$A$244,$FW$205^A42,IF(A42='Données projet'!$A$244,'Données projet'!$B$244,FZ41+FY42-GH41)))</f>
        <v>151.59857142857152</v>
      </c>
      <c r="GA42" s="18">
        <f>FZ42*VLOOKUP('Données projet'!$B$17,Paramètres!$A$1:$I$89,3,0)*VLOOKUP('Données projet'!$B$17,Paramètres!$A$1:$I$89,5,0)</f>
        <v>101.69232171428578</v>
      </c>
      <c r="GB42" s="14">
        <f t="shared" si="49"/>
        <v>27.364775241865971</v>
      </c>
      <c r="GC42" s="22">
        <f t="shared" si="25"/>
        <v>224.7744438652976</v>
      </c>
      <c r="GD42" s="62">
        <f t="shared" si="26"/>
        <v>518.10777719863086</v>
      </c>
      <c r="GE42" s="62">
        <f ca="1">AVERAGE(OFFSET($GD$3,0,0,'Données projet'!$E$17+1,1))-AVERAGE(OFFSET($H$3,0,0,'Données projet'!$E$17+1,1))</f>
        <v>442.85175349826028</v>
      </c>
      <c r="GF42" s="62">
        <f t="shared" si="50"/>
        <v>210.70697808232501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10.6</v>
      </c>
      <c r="GU42" s="13">
        <f>IF('Données projet'!$A$270&gt;35,GU41+GT42-HC41,IF(A42&lt;'Données projet'!$A$270,$GR$205^A42,IF(A42='Données projet'!$A$270,'Données projet'!$B$270,GU41+GT42-HC41)))</f>
        <v>161.39999999999998</v>
      </c>
      <c r="GV42" s="18">
        <f>GU42*VLOOKUP('Données projet'!$B$18,Paramètres!$A$1:$I$89,3,0)*VLOOKUP('Données projet'!$B$18,Paramètres!$A$1:$I$89,5,0)</f>
        <v>153.58823999999998</v>
      </c>
      <c r="GW42" s="14">
        <f t="shared" si="51"/>
        <v>39.392900730657416</v>
      </c>
      <c r="GX42" s="22">
        <f t="shared" si="28"/>
        <v>336.10882010589495</v>
      </c>
      <c r="GY42" s="62">
        <f t="shared" si="29"/>
        <v>629.44215343922826</v>
      </c>
      <c r="GZ42" s="62">
        <f ca="1">AVERAGE(OFFSET($GY$3,0,0,'Données projet'!$E$18+1,1))-AVERAGE(OFFSET($H$3,0,0,'Données projet'!$E$18+1,1))</f>
        <v>420.2510366318939</v>
      </c>
      <c r="HA42" s="62">
        <f t="shared" si="52"/>
        <v>220.59884411514116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2.3371130107356399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</v>
      </c>
      <c r="HJ42" s="24">
        <f t="shared" si="30"/>
        <v>2.3371130107356399</v>
      </c>
    </row>
    <row r="43" spans="1:218" s="5" customFormat="1" x14ac:dyDescent="0.2">
      <c r="A43" s="11">
        <f t="shared" si="31"/>
        <v>40</v>
      </c>
      <c r="B43" s="74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22.166666666666668</v>
      </c>
      <c r="N43" s="14">
        <f>IF('Données projet'!$A$36&gt;35,N42+M43-V42,IF(A43&lt;'Données projet'!$A$36,$K$205^A43,IF(A43='Données projet'!$A$36,'Données projet'!$B$36,N42+M43-V42)))</f>
        <v>322.6666666666668</v>
      </c>
      <c r="O43" s="14">
        <f>N43*VLOOKUP('Données projet'!$B$9,Paramètres!$A$1:$I$89,3,0)*VLOOKUP('Données projet'!$B$9,Paramètres!$A$1:$I$89,5,0)</f>
        <v>276.84800000000013</v>
      </c>
      <c r="P43" s="14">
        <f t="shared" si="33"/>
        <v>66.300462421409705</v>
      </c>
      <c r="Q43" s="22">
        <f t="shared" si="53"/>
        <v>597.65023871728874</v>
      </c>
      <c r="R43" s="62">
        <f t="shared" si="0"/>
        <v>890.98357205062212</v>
      </c>
      <c r="S43" s="62">
        <f ca="1">AVERAGE(OFFSET($R$3,0,0,'Données projet'!$E$9+1,1))-AVERAGE(OFFSET($H$3,0,0,'Données projet'!$E$9+1,1))</f>
        <v>623.31285537237943</v>
      </c>
      <c r="T43" s="62">
        <f t="shared" si="34"/>
        <v>462.33909258902241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23.028823770510133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23.028823770510133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228</v>
      </c>
      <c r="AG43" s="13">
        <f>VLOOKUP(A43,'Données projet'!$A$61:$I$81,9,0)</f>
        <v>11.4</v>
      </c>
      <c r="AH43" s="13">
        <f t="array" ref="AH43">INDEX(AG:AG,MIN(IF(ISNUMBER(AG43:AG239),ROW(AG43:AG239),"")))</f>
        <v>11.4</v>
      </c>
      <c r="AI43" s="14">
        <f>IF('Données projet'!$A$62&gt;35,AI42+AH43-AQ42,IF(A43&lt;'Données projet'!$A$62,$AF$205^A43,IF(A43='Données projet'!$A$62,'Données projet'!$B$62,AI42+AH43-AQ42)))</f>
        <v>228.00000000000006</v>
      </c>
      <c r="AJ43" s="14">
        <f>AI43*VLOOKUP('Données projet'!$B$10,Paramètres!$A$1:$I$89,3,0)*VLOOKUP('Données projet'!$B$10,Paramètres!$A$1:$I$89,5,0)</f>
        <v>199.18080000000009</v>
      </c>
      <c r="AK43" s="14">
        <f t="shared" si="35"/>
        <v>49.564089376413726</v>
      </c>
      <c r="AL43" s="22">
        <f t="shared" si="4"/>
        <v>433.2306823305874</v>
      </c>
      <c r="AM43" s="62">
        <f t="shared" si="5"/>
        <v>726.56401566392071</v>
      </c>
      <c r="AN43" s="62">
        <f ca="1">AVERAGE(OFFSET($AM$3,0,0,'Données projet'!$E$10+1,1))-AVERAGE(OFFSET($H$3,0,0,'Données projet'!$E$10+1,1))</f>
        <v>390.70479111593545</v>
      </c>
      <c r="AO43" s="62">
        <f t="shared" si="36"/>
        <v>374.99493809709708</v>
      </c>
      <c r="AP43" s="16">
        <f>IF(ISNA(VLOOKUP(A43,'Données projet'!$A$61:$I$81,3,0)),0,VLOOKUP(A43,'Données projet'!$A$61:$I$81,3,0))</f>
        <v>7</v>
      </c>
      <c r="AQ43" s="16">
        <f>IF(ISNA(VLOOKUP(A43,'Données projet'!$A$61:$I$81,4,0)),0,VLOOKUP(A43,'Données projet'!$A$61:$I$81,4,0))</f>
        <v>35</v>
      </c>
      <c r="AR43" s="17">
        <f>IF(ISNA(VLOOKUP(A43,'Données projet'!$A$61:$I$81,5,0)),0%,VLOOKUP(A43,'Données projet'!$A$61:$I$81,5,0)*VLOOKUP('Données projet'!$B$10,Paramètres!$A$1:$I$89,7,0))</f>
        <v>0.21200000000000002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13.656001879357301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13.656001879357301</v>
      </c>
      <c r="AY43" s="7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228</v>
      </c>
      <c r="BB43" s="13">
        <f>VLOOKUP(A43,'Données projet'!$A$87:$I$107,9,0)</f>
        <v>11.4</v>
      </c>
      <c r="BC43" s="13">
        <f t="array" ref="BC43">INDEX(BB:BB,MIN(IF(ISNUMBER(BB43:BB239),ROW(BB43:BB239),"")))</f>
        <v>11.4</v>
      </c>
      <c r="BD43" s="13">
        <f>IF('Données projet'!$A$88&gt;35,BD42+BC43-BL42,IF(A43&lt;'Données projet'!$A$88,$BA$205^A43,IF(A43='Données projet'!$A$88,'Données projet'!$B$88,BD42+BC43-BL42)))</f>
        <v>228.00000000000006</v>
      </c>
      <c r="BE43" s="14">
        <f>BD43*VLOOKUP('Données projet'!$B$11,Paramètres!$A$1:$I$89,3,0)*VLOOKUP('Données projet'!$B$11,Paramètres!$A$1:$I$89,5,0)</f>
        <v>181.39680000000004</v>
      </c>
      <c r="BF43" s="14">
        <f t="shared" si="37"/>
        <v>45.63280848550832</v>
      </c>
      <c r="BG43" s="22">
        <f t="shared" si="7"/>
        <v>395.40990144559373</v>
      </c>
      <c r="BH43" s="62">
        <f t="shared" si="8"/>
        <v>688.74323477892699</v>
      </c>
      <c r="BI43" s="62">
        <f ca="1">AVERAGE(OFFSET($BH$3,0,0,'Données projet'!$E$11+1,1))-AVERAGE(OFFSET($H$3,0,0,'Données projet'!$E$11+1,1))</f>
        <v>359.18294335011535</v>
      </c>
      <c r="BJ43" s="62">
        <f t="shared" si="38"/>
        <v>345.47508134331241</v>
      </c>
      <c r="BK43" s="16">
        <f>IF(ISNA(VLOOKUP(A43,'Données projet'!$A$87:$I$107,3,0)),0,VLOOKUP(A43,'Données projet'!$A$87:$I$107,3,0))</f>
        <v>7</v>
      </c>
      <c r="BL43" s="16">
        <f>IF(ISNA(VLOOKUP(A43,'Données projet'!$A$87:$I$107,4,0)),0,VLOOKUP(A43,'Données projet'!$A$87:$I$107,4,0))</f>
        <v>35</v>
      </c>
      <c r="BM43" s="17">
        <f>IF(ISNA(VLOOKUP(A43,'Données projet'!$A$87:$I$107,5,0)),0%,VLOOKUP(A43,'Données projet'!$A$87:$I$107,5,0)*VLOOKUP('Données projet'!$B$11,Paramètres!$A$1:$I$89,7,0))</f>
        <v>0.21200000000000002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12.436715997271829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12.436715997271829</v>
      </c>
      <c r="BT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228</v>
      </c>
      <c r="BW43" s="13">
        <f>VLOOKUP(A43,'Données projet'!$A$113:$I$133,9,0)</f>
        <v>11.4</v>
      </c>
      <c r="BX43" s="13">
        <f t="array" ref="BX43">INDEX(BW:BW,MIN(IF(ISNUMBER(BW43:BW239),ROW(BW43:BW239),"")))</f>
        <v>11.4</v>
      </c>
      <c r="BY43" s="13">
        <f>IF('Données projet'!$A$114&gt;35,BY42+BX43-CG42,IF(A43&lt;'Données projet'!$A$114,$BV$205^A43,IF(A43='Données projet'!$A$114,'Données projet'!$B$114,BY42+BX43-CG42)))</f>
        <v>228.00000000000006</v>
      </c>
      <c r="BZ43" s="14">
        <f>BY43*VLOOKUP('Données projet'!$B$12,Paramètres!$A$1:$I$89,3,0)*VLOOKUP('Données projet'!$B$12,Paramètres!$A$1:$I$89,5,0)</f>
        <v>167.16960000000003</v>
      </c>
      <c r="CA43" s="14">
        <f t="shared" si="39"/>
        <v>42.455490039298851</v>
      </c>
      <c r="CB43" s="22">
        <f t="shared" si="10"/>
        <v>365.09703181844549</v>
      </c>
      <c r="CC43" s="62">
        <f t="shared" si="11"/>
        <v>658.4303651517788</v>
      </c>
      <c r="CD43" s="62">
        <f ca="1">AVERAGE(OFFSET($CC$3,0,0,'Données projet'!$E$12+1,1))-AVERAGE(OFFSET($H$3,0,0,'Données projet'!$E$12+1,1))</f>
        <v>333.9187211440219</v>
      </c>
      <c r="CE43" s="62">
        <f t="shared" si="40"/>
        <v>321.81422611044997</v>
      </c>
      <c r="CF43" s="16">
        <f>IF(ISNA(VLOOKUP(A43,'Données projet'!$A$113:$I$133,3,0)),0,VLOOKUP(A43,'Données projet'!$A$113:$I$133,3,0))</f>
        <v>7</v>
      </c>
      <c r="CG43" s="16">
        <f>IF(ISNA(VLOOKUP(A43,'Données projet'!$A$113:$I$133,4,0)),0,VLOOKUP(A43,'Données projet'!$A$113:$I$133,4,0))</f>
        <v>35</v>
      </c>
      <c r="CH43" s="17">
        <f>IF(ISNA(VLOOKUP(A43,'Données projet'!$A$113:$I$133,5,0)),0%,VLOOKUP(A43,'Données projet'!$A$113:$I$133,5,0)*VLOOKUP('Données projet'!$B$12,Paramètres!$A$1:$I$89,7,0))</f>
        <v>0.17200000000000001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9.2987802554518524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9.2987802554518524</v>
      </c>
      <c r="CO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228</v>
      </c>
      <c r="CR43" s="13">
        <f>VLOOKUP(A43,'Données projet'!$A$139:$I$159,9,0)</f>
        <v>11.4</v>
      </c>
      <c r="CS43" s="13">
        <f t="array" ref="CS43">INDEX(CR:CR,MIN(IF(ISNUMBER(CR43:CR239),ROW(CR43:CR239),"")))</f>
        <v>11.4</v>
      </c>
      <c r="CT43" s="13">
        <f>IF('Données projet'!$A$140&gt;35,CT42+CS43-DB42,IF(A43&lt;'Données projet'!$A$140,$CQ$205^A43,IF(A43='Données projet'!$A$140,'Données projet'!$B$140,CT42+CS43-DB42)))</f>
        <v>228.00000000000006</v>
      </c>
      <c r="CU43" s="18">
        <f>CT43*VLOOKUP('Données projet'!$B$13,Paramètres!$A$1:$I$89,3,0)*VLOOKUP('Données projet'!$B$13,Paramètres!$A$1:$I$89,5,0)</f>
        <v>184.95360000000005</v>
      </c>
      <c r="CV43" s="14">
        <f t="shared" si="41"/>
        <v>46.42252355095799</v>
      </c>
      <c r="CW43" s="22">
        <f t="shared" si="13"/>
        <v>402.9800818512519</v>
      </c>
      <c r="CX43" s="62">
        <f t="shared" si="14"/>
        <v>696.31341518458521</v>
      </c>
      <c r="CY43" s="62">
        <f ca="1">AVERAGE(OFFSET($CX$3,0,0,'Données projet'!$E$13+1,1))-AVERAGE(OFFSET($H$3,0,0,'Données projet'!$E$13+1,1))</f>
        <v>365.492319515595</v>
      </c>
      <c r="CZ43" s="62">
        <f t="shared" si="42"/>
        <v>351.38386928091433</v>
      </c>
      <c r="DA43" s="16">
        <f>IF(ISNA(VLOOKUP(A43,'Données projet'!$A$139:$I$159,3,0)),0,VLOOKUP(A43,'Données projet'!$A$139:$I$159,3,0))</f>
        <v>7</v>
      </c>
      <c r="DB43" s="16">
        <f>IF(ISNA(VLOOKUP(A43,'Données projet'!$A$139:$I$159,4,0)),0,VLOOKUP(A43,'Données projet'!$A$139:$I$159,4,0))</f>
        <v>35</v>
      </c>
      <c r="DC43" s="17">
        <f>IF(ISNA(VLOOKUP(A43,'Données projet'!$A$139:$I$159,5,0)),0%,VLOOKUP(A43,'Données projet'!$A$139:$I$159,5,0)*VLOOKUP('Données projet'!$B$13,Paramètres!$A$1:$I$89,7,0))</f>
        <v>0.17200000000000001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10.288012197521201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10.288012197521201</v>
      </c>
      <c r="DJ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3.887142857142857</v>
      </c>
      <c r="DO43" s="13">
        <f>IF('Données projet'!$A$166&gt;35,DO42+DN43-DW42,IF(A43&lt;'Données projet'!$A$166,$DL$205^A43,IF(A43='Données projet'!$A$166,'Données projet'!$B$166,DO42+DN43-DW42)))</f>
        <v>155.48571428571438</v>
      </c>
      <c r="DP43" s="18">
        <f>DO43*VLOOKUP('Données projet'!$B$14,Paramètres!$A$1:$I$89,3,0)*VLOOKUP('Données projet'!$B$14,Paramètres!$A$1:$I$89,5,0)</f>
        <v>130.98116571428579</v>
      </c>
      <c r="DQ43" s="14">
        <f t="shared" si="43"/>
        <v>34.222978611299233</v>
      </c>
      <c r="DR43" s="22">
        <f t="shared" si="16"/>
        <v>287.73055136706051</v>
      </c>
      <c r="DS43" s="62">
        <f t="shared" si="17"/>
        <v>581.06388470039383</v>
      </c>
      <c r="DT43" s="62">
        <f ca="1">AVERAGE(OFFSET($DS$3,0,0,'Données projet'!$E$14+1,1))-AVERAGE(OFFSET($H$3,0,0,'Données projet'!$E$14+1,1))</f>
        <v>544.89250424794909</v>
      </c>
      <c r="DU43" s="62">
        <f t="shared" si="44"/>
        <v>253.98688498110715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3.887142857142857</v>
      </c>
      <c r="EJ43" s="13">
        <f>IF('Données projet'!$A$192&gt;35,EJ42+EI43-ER42,IF(A43&lt;'Données projet'!$A$192,$EG$205^A43,IF(A43='Données projet'!$A$192,'Données projet'!$B$192,EJ42+EI43-ER42)))</f>
        <v>155.48571428571438</v>
      </c>
      <c r="EK43" s="18">
        <f>EJ43*VLOOKUP('Données projet'!$B$15,Paramètres!$A$1:$I$89,3,0)*VLOOKUP('Données projet'!$B$15,Paramètres!$A$1:$I$89,5,0)</f>
        <v>140.68347428571437</v>
      </c>
      <c r="EL43" s="14">
        <f t="shared" si="45"/>
        <v>36.453535449340755</v>
      </c>
      <c r="EM43" s="22">
        <f t="shared" si="19"/>
        <v>308.51362528855435</v>
      </c>
      <c r="EN43" s="62">
        <f t="shared" si="20"/>
        <v>601.84695862188767</v>
      </c>
      <c r="EO43" s="62">
        <f ca="1">AVERAGE(OFFSET($EN$3,0,0,'Données projet'!$E$15+1,1))-AVERAGE(OFFSET($H$3,0,0,'Données projet'!$E$15+1,1))</f>
        <v>581.88778927327667</v>
      </c>
      <c r="EP43" s="62">
        <f t="shared" si="46"/>
        <v>269.67340993773422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3.887142857142857</v>
      </c>
      <c r="FE43" s="13">
        <f>IF('Données projet'!$A$218&gt;35,FE42+FD43-FM42,IF(A43&lt;'Données projet'!$A$218,$FB$205^A43,IF(A43='Données projet'!$A$218,'Données projet'!$B$218,FE42+FD43-FM42)))</f>
        <v>155.48571428571438</v>
      </c>
      <c r="FF43" s="18">
        <f>FE43*VLOOKUP('Données projet'!$B$16,Paramètres!$A$1:$I$89,3,0)*VLOOKUP('Données projet'!$B$16,Paramètres!$A$1:$I$89,5,0)</f>
        <v>157.66251428571439</v>
      </c>
      <c r="FG43" s="14">
        <f t="shared" si="47"/>
        <v>40.314838243237894</v>
      </c>
      <c r="FH43" s="22">
        <f t="shared" si="22"/>
        <v>344.81055565459184</v>
      </c>
      <c r="FI43" s="62">
        <f t="shared" si="23"/>
        <v>638.14388898792515</v>
      </c>
      <c r="FJ43" s="62">
        <f ca="1">AVERAGE(OFFSET($FI$3,0,0,'Données projet'!$E$16+1,1))-AVERAGE(OFFSET($H$3,0,0,'Données projet'!$E$16+1,1))</f>
        <v>646.50767193970182</v>
      </c>
      <c r="FK43" s="62">
        <f t="shared" si="48"/>
        <v>297.06786598620607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3.887142857142857</v>
      </c>
      <c r="FZ43" s="13">
        <f>IF('Données projet'!$A$244&gt;35,FZ42+FY43-GH42,IF(A43&lt;'Données projet'!$A$244,$FW$205^A43,IF(A43='Données projet'!$A$244,'Données projet'!$B$244,FZ42+FY43-GH42)))</f>
        <v>155.48571428571438</v>
      </c>
      <c r="GA43" s="18">
        <f>FZ43*VLOOKUP('Données projet'!$B$17,Paramètres!$A$1:$I$89,3,0)*VLOOKUP('Données projet'!$B$17,Paramètres!$A$1:$I$89,5,0)</f>
        <v>104.29981714285719</v>
      </c>
      <c r="GB43" s="14">
        <f t="shared" si="49"/>
        <v>27.983846314468938</v>
      </c>
      <c r="GC43" s="22">
        <f t="shared" si="25"/>
        <v>230.3940471881763</v>
      </c>
      <c r="GD43" s="62">
        <f t="shared" si="26"/>
        <v>523.72738052150964</v>
      </c>
      <c r="GE43" s="62">
        <f ca="1">AVERAGE(OFFSET($GD$3,0,0,'Données projet'!$E$17+1,1))-AVERAGE(OFFSET($H$3,0,0,'Données projet'!$E$17+1,1))</f>
        <v>442.85175349826028</v>
      </c>
      <c r="GF43" s="62">
        <f t="shared" si="50"/>
        <v>210.70697808232501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>
        <f>VLOOKUP(A43,'Données projet'!$A$269:$I$289,2,0)</f>
        <v>172</v>
      </c>
      <c r="GS43" s="13">
        <f>VLOOKUP(A43,'Données projet'!$A$269:$I$289,9,0)</f>
        <v>10.6</v>
      </c>
      <c r="GT43" s="13">
        <f t="array" ref="GT43">INDEX(GS:GS,MIN(IF(ISNUMBER(GS43:GS239),ROW(GS43:GS239),"")))</f>
        <v>10.6</v>
      </c>
      <c r="GU43" s="13">
        <f>IF('Données projet'!$A$270&gt;35,GU42+GT43-HC42,IF(A43&lt;'Données projet'!$A$270,$GR$205^A43,IF(A43='Données projet'!$A$270,'Données projet'!$B$270,GU42+GT43-HC42)))</f>
        <v>171.99999999999997</v>
      </c>
      <c r="GV43" s="18">
        <f>GU43*VLOOKUP('Données projet'!$B$18,Paramètres!$A$1:$I$89,3,0)*VLOOKUP('Données projet'!$B$18,Paramètres!$A$1:$I$89,5,0)</f>
        <v>163.67519999999996</v>
      </c>
      <c r="GW43" s="14">
        <f t="shared" si="51"/>
        <v>41.670368197291587</v>
      </c>
      <c r="GX43" s="22">
        <f t="shared" si="28"/>
        <v>357.64353127694943</v>
      </c>
      <c r="GY43" s="62">
        <f t="shared" si="29"/>
        <v>650.97686461028275</v>
      </c>
      <c r="GZ43" s="62">
        <f ca="1">AVERAGE(OFFSET($GY$3,0,0,'Données projet'!$E$18+1,1))-AVERAGE(OFFSET($H$3,0,0,'Données projet'!$E$18+1,1))</f>
        <v>420.2510366318939</v>
      </c>
      <c r="HA43" s="62">
        <f t="shared" si="52"/>
        <v>220.59884411514116</v>
      </c>
      <c r="HB43" s="16">
        <f>IF(ISNA(VLOOKUP(A43,'Données projet'!$A$269:$I$289,3,0)),0,VLOOKUP(A43,'Données projet'!$A$269:$I$289,3,0))</f>
        <v>4</v>
      </c>
      <c r="HC43" s="16">
        <f>IF(ISNA(VLOOKUP(A43,'Données projet'!$A$269:$I$289,4,0)),0,VLOOKUP(A43,'Données projet'!$A$269:$I$289,4,0))</f>
        <v>22</v>
      </c>
      <c r="HD43" s="17">
        <f>IF(ISNA(VLOOKUP(A43,'Données projet'!$A$269:$I$289,5,0)),0%,VLOOKUP(A43,'Données projet'!$A$269:$I$289,5,0)*VLOOKUP('Données projet'!$B$18,Paramètres!$A$1:$I$89,7,0))</f>
        <v>8.6000000000000007E-2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4.2816025901987409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0</v>
      </c>
      <c r="HJ43" s="24">
        <f t="shared" si="30"/>
        <v>4.2816025901987409</v>
      </c>
    </row>
    <row r="44" spans="1:218" s="5" customFormat="1" x14ac:dyDescent="0.2">
      <c r="A44" s="11">
        <f t="shared" si="31"/>
        <v>41</v>
      </c>
      <c r="B44" s="74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22.166666666666668</v>
      </c>
      <c r="N44" s="14">
        <f>IF('Données projet'!$A$36&gt;35,N43+M44-V43,IF(A44&lt;'Données projet'!$A$36,$K$205^A44,IF(A44='Données projet'!$A$36,'Données projet'!$B$36,N43+M44-V43)))</f>
        <v>344.83333333333348</v>
      </c>
      <c r="O44" s="14">
        <f>N44*VLOOKUP('Données projet'!$B$9,Paramètres!$A$1:$I$89,3,0)*VLOOKUP('Données projet'!$B$9,Paramètres!$A$1:$I$89,5,0)</f>
        <v>295.86700000000019</v>
      </c>
      <c r="P44" s="14">
        <f t="shared" si="33"/>
        <v>70.30932962785549</v>
      </c>
      <c r="Q44" s="22">
        <f t="shared" si="53"/>
        <v>637.75710743518198</v>
      </c>
      <c r="R44" s="62">
        <f t="shared" si="0"/>
        <v>931.09044076851524</v>
      </c>
      <c r="S44" s="62">
        <f ca="1">AVERAGE(OFFSET($R$3,0,0,'Données projet'!$E$9+1,1))-AVERAGE(OFFSET($H$3,0,0,'Données projet'!$E$9+1,1))</f>
        <v>623.31285537237943</v>
      </c>
      <c r="T44" s="62">
        <f t="shared" si="34"/>
        <v>462.33909258902241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22.577242582565983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22.577242582565983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9.8000000000000007</v>
      </c>
      <c r="AI44" s="14">
        <f>IF('Données projet'!$A$62&gt;35,AI43+AH44-AQ43,IF(A44&lt;'Données projet'!$A$62,$AF$205^A44,IF(A44='Données projet'!$A$62,'Données projet'!$B$62,AI43+AH44-AQ43)))</f>
        <v>202.80000000000007</v>
      </c>
      <c r="AJ44" s="14">
        <f>AI44*VLOOKUP('Données projet'!$B$10,Paramètres!$A$1:$I$89,3,0)*VLOOKUP('Données projet'!$B$10,Paramètres!$A$1:$I$89,5,0)</f>
        <v>177.16608000000008</v>
      </c>
      <c r="AK44" s="14">
        <f t="shared" si="35"/>
        <v>44.691110042101691</v>
      </c>
      <c r="AL44" s="22">
        <f t="shared" si="4"/>
        <v>386.40127265666052</v>
      </c>
      <c r="AM44" s="62">
        <f t="shared" si="5"/>
        <v>679.73460598999384</v>
      </c>
      <c r="AN44" s="62">
        <f ca="1">AVERAGE(OFFSET($AM$3,0,0,'Données projet'!$E$10+1,1))-AVERAGE(OFFSET($H$3,0,0,'Données projet'!$E$10+1,1))</f>
        <v>390.70479111593545</v>
      </c>
      <c r="AO44" s="62">
        <f t="shared" si="36"/>
        <v>374.99493809709708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13.388216011841797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13.388216011841797</v>
      </c>
      <c r="AY44" s="7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9.8000000000000007</v>
      </c>
      <c r="BD44" s="13">
        <f>IF('Données projet'!$A$88&gt;35,BD43+BC44-BL43,IF(A44&lt;'Données projet'!$A$88,$BA$205^A44,IF(A44='Données projet'!$A$88,'Données projet'!$B$88,BD43+BC44-BL43)))</f>
        <v>202.80000000000007</v>
      </c>
      <c r="BE44" s="14">
        <f>BD44*VLOOKUP('Données projet'!$B$11,Paramètres!$A$1:$I$89,3,0)*VLOOKUP('Données projet'!$B$11,Paramètres!$A$1:$I$89,5,0)</f>
        <v>161.34768000000005</v>
      </c>
      <c r="BF44" s="14">
        <f t="shared" si="37"/>
        <v>41.146339844316692</v>
      </c>
      <c r="BG44" s="22">
        <f t="shared" si="7"/>
        <v>352.67708456218497</v>
      </c>
      <c r="BH44" s="62">
        <f t="shared" si="8"/>
        <v>646.01041789551823</v>
      </c>
      <c r="BI44" s="62">
        <f ca="1">AVERAGE(OFFSET($BH$3,0,0,'Données projet'!$E$11+1,1))-AVERAGE(OFFSET($H$3,0,0,'Données projet'!$E$11+1,1))</f>
        <v>359.18294335011535</v>
      </c>
      <c r="BJ44" s="62">
        <f t="shared" si="38"/>
        <v>345.47508134331241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12.192839582213066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12.192839582213066</v>
      </c>
      <c r="BT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9.8000000000000007</v>
      </c>
      <c r="BY44" s="13">
        <f>IF('Données projet'!$A$114&gt;35,BY43+BX44-CG43,IF(A44&lt;'Données projet'!$A$114,$BV$205^A44,IF(A44='Données projet'!$A$114,'Données projet'!$B$114,BY43+BX44-CG43)))</f>
        <v>202.80000000000007</v>
      </c>
      <c r="BZ44" s="14">
        <f>BY44*VLOOKUP('Données projet'!$B$12,Paramètres!$A$1:$I$89,3,0)*VLOOKUP('Données projet'!$B$12,Paramètres!$A$1:$I$89,5,0)</f>
        <v>148.69296000000006</v>
      </c>
      <c r="CA44" s="14">
        <f t="shared" si="39"/>
        <v>38.281404966971365</v>
      </c>
      <c r="CB44" s="22">
        <f t="shared" si="10"/>
        <v>325.64701898414188</v>
      </c>
      <c r="CC44" s="62">
        <f t="shared" si="11"/>
        <v>618.98035231747519</v>
      </c>
      <c r="CD44" s="62">
        <f ca="1">AVERAGE(OFFSET($CC$3,0,0,'Données projet'!$E$12+1,1))-AVERAGE(OFFSET($H$3,0,0,'Données projet'!$E$12+1,1))</f>
        <v>333.9187211440219</v>
      </c>
      <c r="CE44" s="62">
        <f t="shared" si="40"/>
        <v>321.81422611044997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9.1164368463383632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9.1164368463383632</v>
      </c>
      <c r="CO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9.8000000000000007</v>
      </c>
      <c r="CT44" s="13">
        <f>IF('Données projet'!$A$140&gt;35,CT43+CS44-DB43,IF(A44&lt;'Données projet'!$A$140,$CQ$205^A44,IF(A44='Données projet'!$A$140,'Données projet'!$B$140,CT43+CS44-DB43)))</f>
        <v>202.80000000000007</v>
      </c>
      <c r="CU44" s="18">
        <f>CT44*VLOOKUP('Données projet'!$B$13,Paramètres!$A$1:$I$89,3,0)*VLOOKUP('Données projet'!$B$13,Paramètres!$A$1:$I$89,5,0)</f>
        <v>164.51136000000008</v>
      </c>
      <c r="CV44" s="14">
        <f t="shared" si="41"/>
        <v>41.858412704646653</v>
      </c>
      <c r="CW44" s="22">
        <f t="shared" si="13"/>
        <v>359.42735412725966</v>
      </c>
      <c r="CX44" s="62">
        <f t="shared" si="14"/>
        <v>652.76068746059298</v>
      </c>
      <c r="CY44" s="62">
        <f ca="1">AVERAGE(OFFSET($CX$3,0,0,'Données projet'!$E$13+1,1))-AVERAGE(OFFSET($H$3,0,0,'Données projet'!$E$13+1,1))</f>
        <v>365.492319515595</v>
      </c>
      <c r="CZ44" s="62">
        <f t="shared" si="42"/>
        <v>351.38386928091433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10.086270553395639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10.086270553395639</v>
      </c>
      <c r="DJ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3.887142857142857</v>
      </c>
      <c r="DO44" s="13">
        <f>IF('Données projet'!$A$166&gt;35,DO43+DN44-DW43,IF(A44&lt;'Données projet'!$A$166,$DL$205^A44,IF(A44='Données projet'!$A$166,'Données projet'!$B$166,DO43+DN44-DW43)))</f>
        <v>159.37285714285724</v>
      </c>
      <c r="DP44" s="18">
        <f>DO44*VLOOKUP('Données projet'!$B$14,Paramètres!$A$1:$I$89,3,0)*VLOOKUP('Données projet'!$B$14,Paramètres!$A$1:$I$89,5,0)</f>
        <v>134.25569485714297</v>
      </c>
      <c r="DQ44" s="14">
        <f t="shared" si="43"/>
        <v>34.977874349776961</v>
      </c>
      <c r="DR44" s="22">
        <f t="shared" si="16"/>
        <v>294.74846636871888</v>
      </c>
      <c r="DS44" s="62">
        <f t="shared" si="17"/>
        <v>588.08179970205219</v>
      </c>
      <c r="DT44" s="62">
        <f ca="1">AVERAGE(OFFSET($DS$3,0,0,'Données projet'!$E$14+1,1))-AVERAGE(OFFSET($H$3,0,0,'Données projet'!$E$14+1,1))</f>
        <v>544.89250424794909</v>
      </c>
      <c r="DU44" s="62">
        <f t="shared" si="44"/>
        <v>253.98688498110715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3.887142857142857</v>
      </c>
      <c r="EJ44" s="13">
        <f>IF('Données projet'!$A$192&gt;35,EJ43+EI44-ER43,IF(A44&lt;'Données projet'!$A$192,$EG$205^A44,IF(A44='Données projet'!$A$192,'Données projet'!$B$192,EJ43+EI44-ER43)))</f>
        <v>159.37285714285724</v>
      </c>
      <c r="EK44" s="18">
        <f>EJ44*VLOOKUP('Données projet'!$B$15,Paramètres!$A$1:$I$89,3,0)*VLOOKUP('Données projet'!$B$15,Paramètres!$A$1:$I$89,5,0)</f>
        <v>144.20056114285723</v>
      </c>
      <c r="EL44" s="14">
        <f t="shared" si="45"/>
        <v>37.257633154444321</v>
      </c>
      <c r="EM44" s="22">
        <f t="shared" si="19"/>
        <v>316.03968840113345</v>
      </c>
      <c r="EN44" s="62">
        <f t="shared" si="20"/>
        <v>609.37302173446676</v>
      </c>
      <c r="EO44" s="62">
        <f ca="1">AVERAGE(OFFSET($EN$3,0,0,'Données projet'!$E$15+1,1))-AVERAGE(OFFSET($H$3,0,0,'Données projet'!$E$15+1,1))</f>
        <v>581.88778927327667</v>
      </c>
      <c r="EP44" s="62">
        <f t="shared" si="46"/>
        <v>269.67340993773422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3.887142857142857</v>
      </c>
      <c r="FE44" s="13">
        <f>IF('Données projet'!$A$218&gt;35,FE43+FD44-FM43,IF(A44&lt;'Données projet'!$A$218,$FB$205^A44,IF(A44='Données projet'!$A$218,'Données projet'!$B$218,FE43+FD44-FM43)))</f>
        <v>159.37285714285724</v>
      </c>
      <c r="FF44" s="18">
        <f>FE44*VLOOKUP('Données projet'!$B$16,Paramètres!$A$1:$I$89,3,0)*VLOOKUP('Données projet'!$B$16,Paramètres!$A$1:$I$89,5,0)</f>
        <v>161.60407714285725</v>
      </c>
      <c r="FG44" s="14">
        <f t="shared" si="47"/>
        <v>41.204109160679089</v>
      </c>
      <c r="FH44" s="22">
        <f t="shared" si="22"/>
        <v>353.2242578119924</v>
      </c>
      <c r="FI44" s="62">
        <f t="shared" si="23"/>
        <v>646.55759114532566</v>
      </c>
      <c r="FJ44" s="62">
        <f ca="1">AVERAGE(OFFSET($FI$3,0,0,'Données projet'!$E$16+1,1))-AVERAGE(OFFSET($H$3,0,0,'Données projet'!$E$16+1,1))</f>
        <v>646.50767193970182</v>
      </c>
      <c r="FK44" s="62">
        <f t="shared" si="48"/>
        <v>297.06786598620607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3.887142857142857</v>
      </c>
      <c r="FZ44" s="13">
        <f>IF('Données projet'!$A$244&gt;35,FZ43+FY44-GH43,IF(A44&lt;'Données projet'!$A$244,$FW$205^A44,IF(A44='Données projet'!$A$244,'Données projet'!$B$244,FZ43+FY44-GH43)))</f>
        <v>159.37285714285724</v>
      </c>
      <c r="GA44" s="18">
        <f>FZ44*VLOOKUP('Données projet'!$B$17,Paramètres!$A$1:$I$89,3,0)*VLOOKUP('Données projet'!$B$17,Paramètres!$A$1:$I$89,5,0)</f>
        <v>106.90731257142863</v>
      </c>
      <c r="GB44" s="14">
        <f t="shared" si="49"/>
        <v>28.601118310835538</v>
      </c>
      <c r="GC44" s="22">
        <f t="shared" si="25"/>
        <v>236.01051711994342</v>
      </c>
      <c r="GD44" s="62">
        <f t="shared" si="26"/>
        <v>529.34385045327667</v>
      </c>
      <c r="GE44" s="62">
        <f ca="1">AVERAGE(OFFSET($GD$3,0,0,'Données projet'!$E$17+1,1))-AVERAGE(OFFSET($H$3,0,0,'Données projet'!$E$17+1,1))</f>
        <v>442.85175349826028</v>
      </c>
      <c r="GF44" s="62">
        <f t="shared" si="50"/>
        <v>210.70697808232501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9.6</v>
      </c>
      <c r="GU44" s="13">
        <f>IF('Données projet'!$A$270&gt;35,GU43+GT44-HC43,IF(A44&lt;'Données projet'!$A$270,$GR$205^A44,IF(A44='Données projet'!$A$270,'Données projet'!$B$270,GU43+GT44-HC43)))</f>
        <v>159.59999999999997</v>
      </c>
      <c r="GV44" s="18">
        <f>GU44*VLOOKUP('Données projet'!$B$18,Paramètres!$A$1:$I$89,3,0)*VLOOKUP('Données projet'!$B$18,Paramètres!$A$1:$I$89,5,0)</f>
        <v>151.87535999999997</v>
      </c>
      <c r="GW44" s="14">
        <f t="shared" si="51"/>
        <v>39.004459236504758</v>
      </c>
      <c r="GX44" s="22">
        <f t="shared" si="28"/>
        <v>332.449018503579</v>
      </c>
      <c r="GY44" s="62">
        <f t="shared" si="29"/>
        <v>625.78235183691231</v>
      </c>
      <c r="GZ44" s="62">
        <f ca="1">AVERAGE(OFFSET($GY$3,0,0,'Données projet'!$E$18+1,1))-AVERAGE(OFFSET($H$3,0,0,'Données projet'!$E$18+1,1))</f>
        <v>420.2510366318939</v>
      </c>
      <c r="HA44" s="62">
        <f t="shared" si="52"/>
        <v>220.59884411514116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4.1976429749246575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0</v>
      </c>
      <c r="HJ44" s="24">
        <f t="shared" si="30"/>
        <v>4.1976429749246575</v>
      </c>
    </row>
    <row r="45" spans="1:218" s="5" customFormat="1" x14ac:dyDescent="0.2">
      <c r="A45" s="11">
        <f t="shared" si="31"/>
        <v>42</v>
      </c>
      <c r="B45" s="74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367</v>
      </c>
      <c r="L45" s="13">
        <f>VLOOKUP(A45,'Données projet'!$A$35:$I$55,9,0)</f>
        <v>22.166666666666668</v>
      </c>
      <c r="M45" s="13">
        <f t="array" ref="M45">INDEX(L:L,MIN(IF(ISNUMBER(L45:L241),ROW(L45:L241),"")))</f>
        <v>22.166666666666668</v>
      </c>
      <c r="N45" s="14">
        <f>IF('Données projet'!$A$36&gt;35,N44+M45-V44,IF(A45&lt;'Données projet'!$A$36,$K$205^A45,IF(A45='Données projet'!$A$36,'Données projet'!$B$36,N44+M45-V44)))</f>
        <v>367.00000000000017</v>
      </c>
      <c r="O45" s="14">
        <f>N45*VLOOKUP('Données projet'!$B$9,Paramètres!$A$1:$I$89,3,0)*VLOOKUP('Données projet'!$B$9,Paramètres!$A$1:$I$89,5,0)</f>
        <v>314.88600000000019</v>
      </c>
      <c r="P45" s="14">
        <f t="shared" si="33"/>
        <v>74.288290872440228</v>
      </c>
      <c r="Q45" s="22">
        <f t="shared" si="53"/>
        <v>677.81188993616718</v>
      </c>
      <c r="R45" s="62">
        <f t="shared" si="0"/>
        <v>971.14522326950055</v>
      </c>
      <c r="S45" s="62">
        <f ca="1">AVERAGE(OFFSET($R$3,0,0,'Données projet'!$E$9+1,1))-AVERAGE(OFFSET($H$3,0,0,'Données projet'!$E$9+1,1))</f>
        <v>623.31285537237943</v>
      </c>
      <c r="T45" s="62">
        <f t="shared" si="34"/>
        <v>462.33909258902241</v>
      </c>
      <c r="U45" s="16">
        <f>IF(ISNA(VLOOKUP(A45,'Données projet'!$A$35:$I$55,3,0)),0,VLOOKUP(A45,'Données projet'!$A$35:$I$55,3,0))</f>
        <v>7</v>
      </c>
      <c r="V45" s="16">
        <f>IF(ISNA(VLOOKUP(A45,'Données projet'!$A$35:$I$55,4,0)),0,VLOOKUP(A45,'Données projet'!$A$35:$I$55,4,0))</f>
        <v>90</v>
      </c>
      <c r="W45" s="17">
        <f>IF(ISNA(VLOOKUP(A45,'Données projet'!$A$35:$I$55,5,0)),0%,VLOOKUP(A45,'Données projet'!$A$35:$I$55,5,0)*VLOOKUP('Données projet'!$B$9,Paramètres!$A$1:$I$89,7,0))</f>
        <v>0.26500000000000001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44.756088643776707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44.756088643776707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9.8000000000000007</v>
      </c>
      <c r="AI45" s="14">
        <f>IF('Données projet'!$A$62&gt;35,AI44+AH45-AQ44,IF(A45&lt;'Données projet'!$A$62,$AF$205^A45,IF(A45='Données projet'!$A$62,'Données projet'!$B$62,AI44+AH45-AQ44)))</f>
        <v>212.60000000000008</v>
      </c>
      <c r="AJ45" s="14">
        <f>AI45*VLOOKUP('Données projet'!$B$10,Paramètres!$A$1:$I$89,3,0)*VLOOKUP('Données projet'!$B$10,Paramètres!$A$1:$I$89,5,0)</f>
        <v>185.72736000000009</v>
      </c>
      <c r="AK45" s="14">
        <f t="shared" si="35"/>
        <v>46.594086043363802</v>
      </c>
      <c r="AL45" s="22">
        <f t="shared" si="4"/>
        <v>404.62651852552546</v>
      </c>
      <c r="AM45" s="62">
        <f t="shared" si="5"/>
        <v>697.95985185885877</v>
      </c>
      <c r="AN45" s="62">
        <f ca="1">AVERAGE(OFFSET($AM$3,0,0,'Données projet'!$E$10+1,1))-AVERAGE(OFFSET($H$3,0,0,'Données projet'!$E$10+1,1))</f>
        <v>390.70479111593545</v>
      </c>
      <c r="AO45" s="62">
        <f t="shared" si="36"/>
        <v>374.99493809709708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13.12568126185502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13.12568126185502</v>
      </c>
      <c r="AY45" s="7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9.8000000000000007</v>
      </c>
      <c r="BD45" s="13">
        <f>IF('Données projet'!$A$88&gt;35,BD44+BC45-BL44,IF(A45&lt;'Données projet'!$A$88,$BA$205^A45,IF(A45='Données projet'!$A$88,'Données projet'!$B$88,BD44+BC45-BL44)))</f>
        <v>212.60000000000008</v>
      </c>
      <c r="BE45" s="14">
        <f>BD45*VLOOKUP('Données projet'!$B$11,Paramètres!$A$1:$I$89,3,0)*VLOOKUP('Données projet'!$B$11,Paramètres!$A$1:$I$89,5,0)</f>
        <v>169.14456000000007</v>
      </c>
      <c r="BF45" s="14">
        <f t="shared" si="37"/>
        <v>42.898377267189964</v>
      </c>
      <c r="BG45" s="22">
        <f t="shared" si="7"/>
        <v>369.30811574035596</v>
      </c>
      <c r="BH45" s="62">
        <f t="shared" si="8"/>
        <v>662.64144907368927</v>
      </c>
      <c r="BI45" s="62">
        <f ca="1">AVERAGE(OFFSET($BH$3,0,0,'Données projet'!$E$11+1,1))-AVERAGE(OFFSET($H$3,0,0,'Données projet'!$E$11+1,1))</f>
        <v>359.18294335011535</v>
      </c>
      <c r="BJ45" s="62">
        <f t="shared" si="38"/>
        <v>345.47508134331241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11.953745434903681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11.953745434903681</v>
      </c>
      <c r="BT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9.8000000000000007</v>
      </c>
      <c r="BY45" s="13">
        <f>IF('Données projet'!$A$114&gt;35,BY44+BX45-CG44,IF(A45&lt;'Données projet'!$A$114,$BV$205^A45,IF(A45='Données projet'!$A$114,'Données projet'!$B$114,BY44+BX45-CG44)))</f>
        <v>212.60000000000008</v>
      </c>
      <c r="BZ45" s="14">
        <f>BY45*VLOOKUP('Données projet'!$B$12,Paramètres!$A$1:$I$89,3,0)*VLOOKUP('Données projet'!$B$12,Paramètres!$A$1:$I$89,5,0)</f>
        <v>155.87832000000006</v>
      </c>
      <c r="CA45" s="14">
        <f t="shared" si="39"/>
        <v>39.911451633481022</v>
      </c>
      <c r="CB45" s="22">
        <f t="shared" si="10"/>
        <v>341.00051892831289</v>
      </c>
      <c r="CC45" s="62">
        <f t="shared" si="11"/>
        <v>634.33385226164614</v>
      </c>
      <c r="CD45" s="62">
        <f ca="1">AVERAGE(OFFSET($CC$3,0,0,'Données projet'!$E$12+1,1))-AVERAGE(OFFSET($H$3,0,0,'Données projet'!$E$12+1,1))</f>
        <v>333.9187211440219</v>
      </c>
      <c r="CE45" s="62">
        <f t="shared" si="40"/>
        <v>321.81422611044997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8.9376690802590932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8.9376690802590932</v>
      </c>
      <c r="CO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9.8000000000000007</v>
      </c>
      <c r="CT45" s="13">
        <f>IF('Données projet'!$A$140&gt;35,CT44+CS45-DB44,IF(A45&lt;'Données projet'!$A$140,$CQ$205^A45,IF(A45='Données projet'!$A$140,'Données projet'!$B$140,CT44+CS45-DB44)))</f>
        <v>212.60000000000008</v>
      </c>
      <c r="CU45" s="18">
        <f>CT45*VLOOKUP('Données projet'!$B$13,Paramètres!$A$1:$I$89,3,0)*VLOOKUP('Données projet'!$B$13,Paramètres!$A$1:$I$89,5,0)</f>
        <v>172.46112000000008</v>
      </c>
      <c r="CV45" s="14">
        <f t="shared" si="41"/>
        <v>43.640770644577643</v>
      </c>
      <c r="CW45" s="22">
        <f t="shared" si="13"/>
        <v>376.37745953930624</v>
      </c>
      <c r="CX45" s="62">
        <f t="shared" si="14"/>
        <v>669.71079287263956</v>
      </c>
      <c r="CY45" s="62">
        <f ca="1">AVERAGE(OFFSET($CX$3,0,0,'Données projet'!$E$13+1,1))-AVERAGE(OFFSET($H$3,0,0,'Données projet'!$E$13+1,1))</f>
        <v>365.492319515595</v>
      </c>
      <c r="CZ45" s="62">
        <f t="shared" si="42"/>
        <v>351.38386928091433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9.8884849398611276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9.8884849398611276</v>
      </c>
      <c r="DJ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>
        <f>VLOOKUP(A45,'Données projet'!$A$165:$I$185,2,0)</f>
        <v>163.26</v>
      </c>
      <c r="DM45" s="13">
        <f>VLOOKUP(A45,'Données projet'!$A$165:$I$185,9,0)</f>
        <v>3.887142857142857</v>
      </c>
      <c r="DN45" s="13">
        <f t="array" ref="DN45">INDEX(DM:DM,MIN(IF(ISNUMBER(DM45:DM241),ROW(DM45:DM241),"")))</f>
        <v>3.887142857142857</v>
      </c>
      <c r="DO45" s="13">
        <f>IF('Données projet'!$A$166&gt;35,DO44+DN45-DW44,IF(A45&lt;'Données projet'!$A$166,$DL$205^A45,IF(A45='Données projet'!$A$166,'Données projet'!$B$166,DO44+DN45-DW44)))</f>
        <v>163.2600000000001</v>
      </c>
      <c r="DP45" s="18">
        <f>DO45*VLOOKUP('Données projet'!$B$14,Paramètres!$A$1:$I$89,3,0)*VLOOKUP('Données projet'!$B$14,Paramètres!$A$1:$I$89,5,0)</f>
        <v>137.53022400000012</v>
      </c>
      <c r="DQ45" s="14">
        <f t="shared" si="43"/>
        <v>35.730629735941804</v>
      </c>
      <c r="DR45" s="22">
        <f t="shared" si="16"/>
        <v>301.76265359009881</v>
      </c>
      <c r="DS45" s="62">
        <f t="shared" si="17"/>
        <v>595.09598692343206</v>
      </c>
      <c r="DT45" s="62">
        <f ca="1">AVERAGE(OFFSET($DS$3,0,0,'Données projet'!$E$14+1,1))-AVERAGE(OFFSET($H$3,0,0,'Données projet'!$E$14+1,1))</f>
        <v>544.89250424794909</v>
      </c>
      <c r="DU45" s="62">
        <f t="shared" si="44"/>
        <v>253.98688498110715</v>
      </c>
      <c r="DV45" s="16">
        <f>IF(ISNA(VLOOKUP(A45,'Données projet'!$A$165:$I$185,3,0)),0,VLOOKUP(A45,'Données projet'!$A$165:$I$185,3,0))</f>
        <v>1</v>
      </c>
      <c r="DW45" s="16">
        <f>IF(ISNA(VLOOKUP(A45,'Données projet'!$A$165:$I$185,4,0)),0,VLOOKUP(A45,'Données projet'!$A$165:$I$185,4,0))</f>
        <v>43.21</v>
      </c>
      <c r="DX45" s="17">
        <f>IF(ISNA(VLOOKUP(A45,'Données projet'!$A$165:$I$185,5,0)),0%,VLOOKUP(A45,'Données projet'!$A$165:$I$185,5,0)*VLOOKUP('Données projet'!$B$14,Paramètres!$A$1:$I$89,7,0))</f>
        <v>8.6000000000000007E-2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3.4605743634170221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3.4605743634170221</v>
      </c>
      <c r="EE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>
        <f>VLOOKUP(A45,'Données projet'!$A$191:$I$211,2,0)</f>
        <v>163.26</v>
      </c>
      <c r="EH45" s="13">
        <f>VLOOKUP(A45,'Données projet'!$A$191:$I$211,9,0)</f>
        <v>3.887142857142857</v>
      </c>
      <c r="EI45" s="13">
        <f t="array" ref="EI45">INDEX(EH:EH,MIN(IF(ISNUMBER(EH45:EH241),ROW(EH45:EH241),"")))</f>
        <v>3.887142857142857</v>
      </c>
      <c r="EJ45" s="13">
        <f>IF('Données projet'!$A$192&gt;35,EJ44+EI45-ER44,IF(A45&lt;'Données projet'!$A$192,$EG$205^A45,IF(A45='Données projet'!$A$192,'Données projet'!$B$192,EJ44+EI45-ER44)))</f>
        <v>163.2600000000001</v>
      </c>
      <c r="EK45" s="18">
        <f>EJ45*VLOOKUP('Données projet'!$B$15,Paramètres!$A$1:$I$89,3,0)*VLOOKUP('Données projet'!$B$15,Paramètres!$A$1:$I$89,5,0)</f>
        <v>147.71764800000008</v>
      </c>
      <c r="EL45" s="14">
        <f t="shared" si="45"/>
        <v>38.059451005131997</v>
      </c>
      <c r="EM45" s="22">
        <f t="shared" si="19"/>
        <v>323.56178076727167</v>
      </c>
      <c r="EN45" s="62">
        <f t="shared" si="20"/>
        <v>616.89511410060504</v>
      </c>
      <c r="EO45" s="62">
        <f ca="1">AVERAGE(OFFSET($EN$3,0,0,'Données projet'!$E$15+1,1))-AVERAGE(OFFSET($H$3,0,0,'Données projet'!$E$15+1,1))</f>
        <v>581.88778927327667</v>
      </c>
      <c r="EP45" s="62">
        <f t="shared" si="46"/>
        <v>269.67340993773422</v>
      </c>
      <c r="EQ45" s="16">
        <f>IF(ISNA(VLOOKUP(A45,'Données projet'!$A$191:$I$211,3,0)),0,VLOOKUP(A45,'Données projet'!$A$191:$I$211,3,0))</f>
        <v>1</v>
      </c>
      <c r="ER45" s="16">
        <f>IF(ISNA(VLOOKUP(A45,'Données projet'!$A$191:$I$211,4,0)),0,VLOOKUP(A45,'Données projet'!$A$191:$I$211,4,0))</f>
        <v>43.21</v>
      </c>
      <c r="ES45" s="17">
        <f>IF(ISNA(VLOOKUP(A45,'Données projet'!$A$191:$I$211,5,0)),0%,VLOOKUP(A45,'Données projet'!$A$191:$I$211,5,0)*VLOOKUP('Données projet'!$B$15,Paramètres!$A$1:$I$89,7,0))</f>
        <v>8.6000000000000007E-2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3.7169132051516152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3.7169132051516152</v>
      </c>
      <c r="EZ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>
        <f>VLOOKUP(A45,'Données projet'!$A$217:$I$237,2,0)</f>
        <v>163.26</v>
      </c>
      <c r="FC45" s="13">
        <f>VLOOKUP(A45,'Données projet'!$A$217:$I$237,9,0)</f>
        <v>3.887142857142857</v>
      </c>
      <c r="FD45" s="13">
        <f t="array" ref="FD45">INDEX(FC:FC,MIN(IF(ISNUMBER(FC45:FC241),ROW(FC45:FC241),"")))</f>
        <v>3.887142857142857</v>
      </c>
      <c r="FE45" s="13">
        <f>IF('Données projet'!$A$218&gt;35,FE44+FD45-FM44,IF(A45&lt;'Données projet'!$A$218,$FB$205^A45,IF(A45='Données projet'!$A$218,'Données projet'!$B$218,FE44+FD45-FM44)))</f>
        <v>163.2600000000001</v>
      </c>
      <c r="FF45" s="18">
        <f>FE45*VLOOKUP('Données projet'!$B$16,Paramètres!$A$1:$I$89,3,0)*VLOOKUP('Données projet'!$B$16,Paramètres!$A$1:$I$89,5,0)</f>
        <v>165.54564000000011</v>
      </c>
      <c r="FG45" s="14">
        <f t="shared" si="47"/>
        <v>42.090858732498674</v>
      </c>
      <c r="FH45" s="22">
        <f t="shared" si="22"/>
        <v>361.6335686257687</v>
      </c>
      <c r="FI45" s="62">
        <f t="shared" si="23"/>
        <v>654.96690195910196</v>
      </c>
      <c r="FJ45" s="62">
        <f ca="1">AVERAGE(OFFSET($FI$3,0,0,'Données projet'!$E$16+1,1))-AVERAGE(OFFSET($H$3,0,0,'Données projet'!$E$16+1,1))</f>
        <v>646.50767193970182</v>
      </c>
      <c r="FK45" s="62">
        <f t="shared" si="48"/>
        <v>297.06786598620607</v>
      </c>
      <c r="FL45" s="16">
        <f>IF(ISNA(VLOOKUP(A45,'Données projet'!$A$217:$I$237,3,0)),0,VLOOKUP(A45,'Données projet'!$A$217:$I$237,3,0))</f>
        <v>1</v>
      </c>
      <c r="FM45" s="16">
        <f>IF(ISNA(VLOOKUP(A45,'Données projet'!$A$217:$I$237,4,0)),0,VLOOKUP(A45,'Données projet'!$A$217:$I$237,4,0))</f>
        <v>43.21</v>
      </c>
      <c r="FN45" s="17">
        <f>IF(ISNA(VLOOKUP(A45,'Données projet'!$A$217:$I$237,5,0)),0%,VLOOKUP(A45,'Données projet'!$A$217:$I$237,5,0)*VLOOKUP('Données projet'!$B$16,Paramètres!$A$1:$I$89,7,0))</f>
        <v>8.6000000000000007E-2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4.1655061781871554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4.1655061781871554</v>
      </c>
      <c r="FU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>
        <f>VLOOKUP(A45,'Données projet'!$A$243:$I$263,2,0)</f>
        <v>163.26</v>
      </c>
      <c r="FX45" s="13">
        <f>VLOOKUP(A45,'Données projet'!$A$243:$I$263,9,0)</f>
        <v>3.887142857142857</v>
      </c>
      <c r="FY45" s="13">
        <f t="array" ref="FY45">INDEX(FX:FX,MIN(IF(ISNUMBER(FX45:FX241),ROW(FX45:FX241),"")))</f>
        <v>3.887142857142857</v>
      </c>
      <c r="FZ45" s="13">
        <f>IF('Données projet'!$A$244&gt;35,FZ44+FY45-GH44,IF(A45&lt;'Données projet'!$A$244,$FW$205^A45,IF(A45='Données projet'!$A$244,'Données projet'!$B$244,FZ44+FY45-GH44)))</f>
        <v>163.2600000000001</v>
      </c>
      <c r="GA45" s="18">
        <f>FZ45*VLOOKUP('Données projet'!$B$17,Paramètres!$A$1:$I$89,3,0)*VLOOKUP('Données projet'!$B$17,Paramètres!$A$1:$I$89,5,0)</f>
        <v>109.51480800000007</v>
      </c>
      <c r="GB45" s="14">
        <f t="shared" si="49"/>
        <v>29.216640158833595</v>
      </c>
      <c r="GC45" s="22">
        <f t="shared" si="25"/>
        <v>241.62393887663529</v>
      </c>
      <c r="GD45" s="62">
        <f t="shared" si="26"/>
        <v>534.95727220996855</v>
      </c>
      <c r="GE45" s="62">
        <f ca="1">AVERAGE(OFFSET($GD$3,0,0,'Données projet'!$E$17+1,1))-AVERAGE(OFFSET($H$3,0,0,'Données projet'!$E$17+1,1))</f>
        <v>442.85175349826028</v>
      </c>
      <c r="GF45" s="62">
        <f t="shared" si="50"/>
        <v>210.70697808232501</v>
      </c>
      <c r="GG45" s="16">
        <f>IF(ISNA(VLOOKUP(A45,'Données projet'!$A$243:$I$263,3,0)),0,VLOOKUP(A45,'Données projet'!$A$243:$I$263,3,0))</f>
        <v>1</v>
      </c>
      <c r="GH45" s="16">
        <f>IF(ISNA(VLOOKUP(A45,'Données projet'!$A$243:$I$263,4,0)),0,VLOOKUP(A45,'Données projet'!$A$243:$I$263,4,0))</f>
        <v>43.21</v>
      </c>
      <c r="GI45" s="17">
        <f>IF(ISNA(VLOOKUP(A45,'Données projet'!$A$243:$I$263,5,0)),0%,VLOOKUP(A45,'Données projet'!$A$243:$I$263,5,0)*VLOOKUP('Données projet'!$B$17,Paramètres!$A$1:$I$89,7,0))</f>
        <v>0.10600000000000001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3.3964896529833735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3.3964896529833735</v>
      </c>
      <c r="GP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9.6</v>
      </c>
      <c r="GU45" s="13">
        <f>IF('Données projet'!$A$270&gt;35,GU44+GT45-HC44,IF(A45&lt;'Données projet'!$A$270,$GR$205^A45,IF(A45='Données projet'!$A$270,'Données projet'!$B$270,GU44+GT45-HC44)))</f>
        <v>169.19999999999996</v>
      </c>
      <c r="GV45" s="18">
        <f>GU45*VLOOKUP('Données projet'!$B$18,Paramètres!$A$1:$I$89,3,0)*VLOOKUP('Données projet'!$B$18,Paramètres!$A$1:$I$89,5,0)</f>
        <v>161.01071999999996</v>
      </c>
      <c r="GW45" s="14">
        <f t="shared" si="51"/>
        <v>41.070402507024518</v>
      </c>
      <c r="GX45" s="22">
        <f t="shared" si="28"/>
        <v>351.95795503306755</v>
      </c>
      <c r="GY45" s="62">
        <f t="shared" si="29"/>
        <v>645.29128836640086</v>
      </c>
      <c r="GZ45" s="62">
        <f ca="1">AVERAGE(OFFSET($GY$3,0,0,'Données projet'!$E$18+1,1))-AVERAGE(OFFSET($H$3,0,0,'Données projet'!$E$18+1,1))</f>
        <v>420.2510366318939</v>
      </c>
      <c r="HA45" s="62">
        <f t="shared" si="52"/>
        <v>220.59884411514116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4.1153297564957905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0</v>
      </c>
      <c r="HJ45" s="24">
        <f t="shared" si="30"/>
        <v>4.1153297564957905</v>
      </c>
    </row>
    <row r="46" spans="1:218" s="5" customFormat="1" x14ac:dyDescent="0.2">
      <c r="A46" s="11">
        <f t="shared" si="31"/>
        <v>43</v>
      </c>
      <c r="B46" s="74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19.777777777777779</v>
      </c>
      <c r="N46" s="14">
        <f>IF('Données projet'!$A$36&gt;35,N45+M46-V45,IF(A46&lt;'Données projet'!$A$36,$K$205^A46,IF(A46='Données projet'!$A$36,'Données projet'!$B$36,N45+M46-V45)))</f>
        <v>296.77777777777794</v>
      </c>
      <c r="O46" s="14">
        <f>N46*VLOOKUP('Données projet'!$B$9,Paramètres!$A$1:$I$89,3,0)*VLOOKUP('Données projet'!$B$9,Paramètres!$A$1:$I$89,5,0)</f>
        <v>254.63533333333351</v>
      </c>
      <c r="P46" s="14">
        <f t="shared" si="33"/>
        <v>61.577463933637681</v>
      </c>
      <c r="Q46" s="22">
        <f t="shared" si="53"/>
        <v>550.73728857330809</v>
      </c>
      <c r="R46" s="62">
        <f t="shared" si="0"/>
        <v>844.07062190664146</v>
      </c>
      <c r="S46" s="62">
        <f ca="1">AVERAGE(OFFSET($R$3,0,0,'Données projet'!$E$9+1,1))-AVERAGE(OFFSET($H$3,0,0,'Données projet'!$E$9+1,1))</f>
        <v>623.31285537237943</v>
      </c>
      <c r="T46" s="62">
        <f t="shared" si="34"/>
        <v>462.33909258902241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43.878449043990813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43.878449043990813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9.8000000000000007</v>
      </c>
      <c r="AI46" s="14">
        <f>IF('Données projet'!$A$62&gt;35,AI45+AH46-AQ45,IF(A46&lt;'Données projet'!$A$62,$AF$205^A46,IF(A46='Données projet'!$A$62,'Données projet'!$B$62,AI45+AH46-AQ45)))</f>
        <v>222.40000000000009</v>
      </c>
      <c r="AJ46" s="14">
        <f>AI46*VLOOKUP('Données projet'!$B$10,Paramètres!$A$1:$I$89,3,0)*VLOOKUP('Données projet'!$B$10,Paramètres!$A$1:$I$89,5,0)</f>
        <v>194.2886400000001</v>
      </c>
      <c r="AK46" s="14">
        <f t="shared" si="35"/>
        <v>48.486875029770822</v>
      </c>
      <c r="AL46" s="22">
        <f t="shared" si="4"/>
        <v>422.8340220101843</v>
      </c>
      <c r="AM46" s="62">
        <f t="shared" si="5"/>
        <v>716.16735534351756</v>
      </c>
      <c r="AN46" s="62">
        <f ca="1">AVERAGE(OFFSET($AM$3,0,0,'Données projet'!$E$10+1,1))-AVERAGE(OFFSET($H$3,0,0,'Données projet'!$E$10+1,1))</f>
        <v>390.70479111593545</v>
      </c>
      <c r="AO46" s="62">
        <f t="shared" si="36"/>
        <v>374.99493809709708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12.868294658185098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12.868294658185098</v>
      </c>
      <c r="AY46" s="7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9.8000000000000007</v>
      </c>
      <c r="BD46" s="13">
        <f>IF('Données projet'!$A$88&gt;35,BD45+BC46-BL45,IF(A46&lt;'Données projet'!$A$88,$BA$205^A46,IF(A46='Données projet'!$A$88,'Données projet'!$B$88,BD45+BC46-BL45)))</f>
        <v>222.40000000000009</v>
      </c>
      <c r="BE46" s="14">
        <f>BD46*VLOOKUP('Données projet'!$B$11,Paramètres!$A$1:$I$89,3,0)*VLOOKUP('Données projet'!$B$11,Paramètres!$A$1:$I$89,5,0)</f>
        <v>176.94144000000009</v>
      </c>
      <c r="BF46" s="14">
        <f t="shared" si="37"/>
        <v>44.641035679901449</v>
      </c>
      <c r="BG46" s="22">
        <f t="shared" si="7"/>
        <v>385.92281180916189</v>
      </c>
      <c r="BH46" s="62">
        <f t="shared" si="8"/>
        <v>679.25614514249514</v>
      </c>
      <c r="BI46" s="62">
        <f ca="1">AVERAGE(OFFSET($BH$3,0,0,'Données projet'!$E$11+1,1))-AVERAGE(OFFSET($H$3,0,0,'Données projet'!$E$11+1,1))</f>
        <v>359.18294335011535</v>
      </c>
      <c r="BJ46" s="62">
        <f t="shared" si="38"/>
        <v>345.47508134331241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11.719339777990003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11.719339777990003</v>
      </c>
      <c r="BT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9.8000000000000007</v>
      </c>
      <c r="BY46" s="13">
        <f>IF('Données projet'!$A$114&gt;35,BY45+BX46-CG45,IF(A46&lt;'Données projet'!$A$114,$BV$205^A46,IF(A46='Données projet'!$A$114,'Données projet'!$B$114,BY45+BX46-CG45)))</f>
        <v>222.40000000000009</v>
      </c>
      <c r="BZ46" s="14">
        <f>BY46*VLOOKUP('Données projet'!$B$12,Paramètres!$A$1:$I$89,3,0)*VLOOKUP('Données projet'!$B$12,Paramètres!$A$1:$I$89,5,0)</f>
        <v>163.06368000000006</v>
      </c>
      <c r="CA46" s="14">
        <f t="shared" si="39"/>
        <v>41.532772330984663</v>
      </c>
      <c r="CB46" s="22">
        <f t="shared" si="10"/>
        <v>356.33882114313172</v>
      </c>
      <c r="CC46" s="62">
        <f t="shared" si="11"/>
        <v>649.67215447646504</v>
      </c>
      <c r="CD46" s="62">
        <f ca="1">AVERAGE(OFFSET($CC$3,0,0,'Données projet'!$E$12+1,1))-AVERAGE(OFFSET($H$3,0,0,'Données projet'!$E$12+1,1))</f>
        <v>333.9187211440219</v>
      </c>
      <c r="CE46" s="62">
        <f t="shared" si="40"/>
        <v>321.81422611044997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8.762406841035066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8.762406841035066</v>
      </c>
      <c r="CO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9.8000000000000007</v>
      </c>
      <c r="CT46" s="13">
        <f>IF('Données projet'!$A$140&gt;35,CT45+CS46-DB45,IF(A46&lt;'Données projet'!$A$140,$CQ$205^A46,IF(A46='Données projet'!$A$140,'Données projet'!$B$140,CT45+CS46-DB45)))</f>
        <v>222.40000000000009</v>
      </c>
      <c r="CU46" s="18">
        <f>CT46*VLOOKUP('Données projet'!$B$13,Paramètres!$A$1:$I$89,3,0)*VLOOKUP('Données projet'!$B$13,Paramètres!$A$1:$I$89,5,0)</f>
        <v>180.41088000000008</v>
      </c>
      <c r="CV46" s="14">
        <f t="shared" si="41"/>
        <v>45.413587262495575</v>
      </c>
      <c r="CW46" s="22">
        <f t="shared" si="13"/>
        <v>393.31094714884654</v>
      </c>
      <c r="CX46" s="62">
        <f t="shared" si="14"/>
        <v>686.64428048217985</v>
      </c>
      <c r="CY46" s="62">
        <f ca="1">AVERAGE(OFFSET($CX$3,0,0,'Données projet'!$E$13+1,1))-AVERAGE(OFFSET($H$3,0,0,'Données projet'!$E$13+1,1))</f>
        <v>365.492319515595</v>
      </c>
      <c r="CZ46" s="62">
        <f t="shared" si="42"/>
        <v>351.38386928091433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9.6945777815707146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9.6945777815707146</v>
      </c>
      <c r="DJ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9.3712500000000034</v>
      </c>
      <c r="DO46" s="13">
        <f>IF('Données projet'!$A$166&gt;35,DO45+DN46-DW45,IF(A46&lt;'Données projet'!$A$166,$DL$205^A46,IF(A46='Données projet'!$A$166,'Données projet'!$B$166,DO45+DN46-DW45)))</f>
        <v>129.4212500000001</v>
      </c>
      <c r="DP46" s="18">
        <f>DO46*VLOOKUP('Données projet'!$B$14,Paramètres!$A$1:$I$89,3,0)*VLOOKUP('Données projet'!$B$14,Paramètres!$A$1:$I$89,5,0)</f>
        <v>109.02446100000009</v>
      </c>
      <c r="DQ46" s="14">
        <f t="shared" si="43"/>
        <v>29.101020947846376</v>
      </c>
      <c r="DR46" s="22">
        <f t="shared" si="16"/>
        <v>240.56854772583256</v>
      </c>
      <c r="DS46" s="62">
        <f t="shared" si="17"/>
        <v>533.90188105916582</v>
      </c>
      <c r="DT46" s="62">
        <f ca="1">AVERAGE(OFFSET($DS$3,0,0,'Données projet'!$E$14+1,1))-AVERAGE(OFFSET($H$3,0,0,'Données projet'!$E$14+1,1))</f>
        <v>544.89250424794909</v>
      </c>
      <c r="DU46" s="62">
        <f t="shared" si="44"/>
        <v>253.98688498110715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3.3927146108923574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3.3927146108923574</v>
      </c>
      <c r="EE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9.3712500000000034</v>
      </c>
      <c r="EJ46" s="13">
        <f>IF('Données projet'!$A$192&gt;35,EJ45+EI46-ER45,IF(A46&lt;'Données projet'!$A$192,$EG$205^A46,IF(A46='Données projet'!$A$192,'Données projet'!$B$192,EJ45+EI46-ER45)))</f>
        <v>129.4212500000001</v>
      </c>
      <c r="EK46" s="18">
        <f>EJ46*VLOOKUP('Données projet'!$B$15,Paramètres!$A$1:$I$89,3,0)*VLOOKUP('Données projet'!$B$15,Paramètres!$A$1:$I$89,5,0)</f>
        <v>117.10034700000008</v>
      </c>
      <c r="EL46" s="14">
        <f t="shared" si="45"/>
        <v>30.997743089027207</v>
      </c>
      <c r="EM46" s="22">
        <f t="shared" si="19"/>
        <v>257.93750690505584</v>
      </c>
      <c r="EN46" s="62">
        <f t="shared" si="20"/>
        <v>551.27084023838916</v>
      </c>
      <c r="EO46" s="62">
        <f ca="1">AVERAGE(OFFSET($EN$3,0,0,'Données projet'!$E$15+1,1))-AVERAGE(OFFSET($H$3,0,0,'Données projet'!$E$15+1,1))</f>
        <v>581.88778927327667</v>
      </c>
      <c r="EP46" s="62">
        <f t="shared" si="46"/>
        <v>269.67340993773422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3.6440268042917903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3.6440268042917903</v>
      </c>
      <c r="EZ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9.3712500000000034</v>
      </c>
      <c r="FE46" s="13">
        <f>IF('Données projet'!$A$218&gt;35,FE45+FD46-FM45,IF(A46&lt;'Données projet'!$A$218,$FB$205^A46,IF(A46='Données projet'!$A$218,'Données projet'!$B$218,FE45+FD46-FM45)))</f>
        <v>129.4212500000001</v>
      </c>
      <c r="FF46" s="18">
        <f>FE46*VLOOKUP('Données projet'!$B$16,Paramètres!$A$1:$I$89,3,0)*VLOOKUP('Données projet'!$B$16,Paramètres!$A$1:$I$89,5,0)</f>
        <v>131.23314750000011</v>
      </c>
      <c r="FG46" s="14">
        <f t="shared" si="47"/>
        <v>34.281146756704409</v>
      </c>
      <c r="FH46" s="22">
        <f t="shared" si="22"/>
        <v>288.27072916376034</v>
      </c>
      <c r="FI46" s="62">
        <f t="shared" si="23"/>
        <v>581.60406249709365</v>
      </c>
      <c r="FJ46" s="62">
        <f ca="1">AVERAGE(OFFSET($FI$3,0,0,'Données projet'!$E$16+1,1))-AVERAGE(OFFSET($H$3,0,0,'Données projet'!$E$16+1,1))</f>
        <v>646.50767193970182</v>
      </c>
      <c r="FK46" s="62">
        <f t="shared" si="48"/>
        <v>297.06786598620607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4.0838231427408003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4.0838231427408003</v>
      </c>
      <c r="FU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9.3712500000000034</v>
      </c>
      <c r="FZ46" s="13">
        <f>IF('Données projet'!$A$244&gt;35,FZ45+FY46-GH45,IF(A46&lt;'Données projet'!$A$244,$FW$205^A46,IF(A46='Données projet'!$A$244,'Données projet'!$B$244,FZ45+FY46-GH45)))</f>
        <v>129.4212500000001</v>
      </c>
      <c r="GA46" s="18">
        <f>FZ46*VLOOKUP('Données projet'!$B$17,Paramètres!$A$1:$I$89,3,0)*VLOOKUP('Données projet'!$B$17,Paramètres!$A$1:$I$89,5,0)</f>
        <v>86.81577450000006</v>
      </c>
      <c r="GB46" s="14">
        <f t="shared" si="49"/>
        <v>23.795663932355723</v>
      </c>
      <c r="GC46" s="22">
        <f t="shared" si="25"/>
        <v>192.6482552696863</v>
      </c>
      <c r="GD46" s="62">
        <f t="shared" si="26"/>
        <v>485.98158860301965</v>
      </c>
      <c r="GE46" s="62">
        <f ca="1">AVERAGE(OFFSET($GD$3,0,0,'Données projet'!$E$17+1,1))-AVERAGE(OFFSET($H$3,0,0,'Données projet'!$E$17+1,1))</f>
        <v>442.85175349826028</v>
      </c>
      <c r="GF46" s="62">
        <f t="shared" si="50"/>
        <v>210.70697808232501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3.3298865625424989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3.3298865625424989</v>
      </c>
      <c r="GP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9.6</v>
      </c>
      <c r="GU46" s="13">
        <f>IF('Données projet'!$A$270&gt;35,GU45+GT46-HC45,IF(A46&lt;'Données projet'!$A$270,$GR$205^A46,IF(A46='Données projet'!$A$270,'Données projet'!$B$270,GU45+GT46-HC45)))</f>
        <v>178.79999999999995</v>
      </c>
      <c r="GV46" s="18">
        <f>GU46*VLOOKUP('Données projet'!$B$18,Paramètres!$A$1:$I$89,3,0)*VLOOKUP('Données projet'!$B$18,Paramètres!$A$1:$I$89,5,0)</f>
        <v>170.14607999999996</v>
      </c>
      <c r="GW46" s="14">
        <f t="shared" si="51"/>
        <v>43.122739010179124</v>
      </c>
      <c r="GX46" s="22">
        <f t="shared" si="28"/>
        <v>371.44319310939517</v>
      </c>
      <c r="GY46" s="62">
        <f t="shared" si="29"/>
        <v>664.77652644272848</v>
      </c>
      <c r="GZ46" s="62">
        <f ca="1">AVERAGE(OFFSET($GY$3,0,0,'Données projet'!$E$18+1,1))-AVERAGE(OFFSET($H$3,0,0,'Données projet'!$E$18+1,1))</f>
        <v>420.2510366318939</v>
      </c>
      <c r="HA46" s="62">
        <f t="shared" si="52"/>
        <v>220.59884411514116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4.0346306500742077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0</v>
      </c>
      <c r="HJ46" s="24">
        <f t="shared" si="30"/>
        <v>4.0346306500742077</v>
      </c>
    </row>
    <row r="47" spans="1:218" s="5" customFormat="1" x14ac:dyDescent="0.2">
      <c r="A47" s="11">
        <f t="shared" si="31"/>
        <v>44</v>
      </c>
      <c r="B47" s="74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19.777777777777779</v>
      </c>
      <c r="N47" s="14">
        <f>IF('Données projet'!$A$36&gt;35,N46+M47-V46,IF(A47&lt;'Données projet'!$A$36,$K$205^A47,IF(A47='Données projet'!$A$36,'Données projet'!$B$36,N46+M47-V46)))</f>
        <v>316.55555555555571</v>
      </c>
      <c r="O47" s="14">
        <f>N47*VLOOKUP('Données projet'!$B$9,Paramètres!$A$1:$I$89,3,0)*VLOOKUP('Données projet'!$B$9,Paramètres!$A$1:$I$89,5,0)</f>
        <v>271.60466666666684</v>
      </c>
      <c r="P47" s="14">
        <f t="shared" si="33"/>
        <v>65.189702518536876</v>
      </c>
      <c r="Q47" s="22">
        <f t="shared" si="53"/>
        <v>586.58352633089646</v>
      </c>
      <c r="R47" s="62">
        <f t="shared" si="0"/>
        <v>879.91685966422983</v>
      </c>
      <c r="S47" s="62">
        <f ca="1">AVERAGE(OFFSET($R$3,0,0,'Données projet'!$E$9+1,1))-AVERAGE(OFFSET($H$3,0,0,'Données projet'!$E$9+1,1))</f>
        <v>623.31285537237943</v>
      </c>
      <c r="T47" s="62">
        <f t="shared" si="34"/>
        <v>462.33909258902241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43.018019421449424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43.018019421449424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9.8000000000000007</v>
      </c>
      <c r="AI47" s="14">
        <f>IF('Données projet'!$A$62&gt;35,AI46+AH47-AQ46,IF(A47&lt;'Données projet'!$A$62,$AF$205^A47,IF(A47='Données projet'!$A$62,'Données projet'!$B$62,AI46+AH47-AQ46)))</f>
        <v>232.2000000000001</v>
      </c>
      <c r="AJ47" s="14">
        <f>AI47*VLOOKUP('Données projet'!$B$10,Paramètres!$A$1:$I$89,3,0)*VLOOKUP('Données projet'!$B$10,Paramètres!$A$1:$I$89,5,0)</f>
        <v>202.84992000000011</v>
      </c>
      <c r="AK47" s="14">
        <f t="shared" si="35"/>
        <v>50.369977187686075</v>
      </c>
      <c r="AL47" s="22">
        <f t="shared" si="4"/>
        <v>441.02465426855338</v>
      </c>
      <c r="AM47" s="62">
        <f t="shared" si="5"/>
        <v>734.35798760188663</v>
      </c>
      <c r="AN47" s="62">
        <f ca="1">AVERAGE(OFFSET($AM$3,0,0,'Données projet'!$E$10+1,1))-AVERAGE(OFFSET($H$3,0,0,'Données projet'!$E$10+1,1))</f>
        <v>390.70479111593545</v>
      </c>
      <c r="AO47" s="62">
        <f t="shared" si="36"/>
        <v>374.99493809709708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12.615955248822816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12.615955248822816</v>
      </c>
      <c r="AY47" s="7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9.8000000000000007</v>
      </c>
      <c r="BD47" s="13">
        <f>IF('Données projet'!$A$88&gt;35,BD46+BC47-BL46,IF(A47&lt;'Données projet'!$A$88,$BA$205^A47,IF(A47='Données projet'!$A$88,'Données projet'!$B$88,BD46+BC47-BL46)))</f>
        <v>232.2000000000001</v>
      </c>
      <c r="BE47" s="14">
        <f>BD47*VLOOKUP('Données projet'!$B$11,Paramètres!$A$1:$I$89,3,0)*VLOOKUP('Données projet'!$B$11,Paramètres!$A$1:$I$89,5,0)</f>
        <v>184.7383200000001</v>
      </c>
      <c r="BF47" s="14">
        <f t="shared" si="37"/>
        <v>46.374775595471988</v>
      </c>
      <c r="BG47" s="22">
        <f t="shared" si="7"/>
        <v>402.52197482878051</v>
      </c>
      <c r="BH47" s="62">
        <f t="shared" si="8"/>
        <v>695.85530816211383</v>
      </c>
      <c r="BI47" s="62">
        <f ca="1">AVERAGE(OFFSET($BH$3,0,0,'Données projet'!$E$11+1,1))-AVERAGE(OFFSET($H$3,0,0,'Données projet'!$E$11+1,1))</f>
        <v>359.18294335011535</v>
      </c>
      <c r="BJ47" s="62">
        <f t="shared" si="38"/>
        <v>345.47508134331241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11.489530673035068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11.489530673035068</v>
      </c>
      <c r="BT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9.8000000000000007</v>
      </c>
      <c r="BY47" s="13">
        <f>IF('Données projet'!$A$114&gt;35,BY46+BX47-CG46,IF(A47&lt;'Données projet'!$A$114,$BV$205^A47,IF(A47='Données projet'!$A$114,'Données projet'!$B$114,BY46+BX47-CG46)))</f>
        <v>232.2000000000001</v>
      </c>
      <c r="BZ47" s="14">
        <f>BY47*VLOOKUP('Données projet'!$B$12,Paramètres!$A$1:$I$89,3,0)*VLOOKUP('Données projet'!$B$12,Paramètres!$A$1:$I$89,5,0)</f>
        <v>170.24904000000006</v>
      </c>
      <c r="CA47" s="14">
        <f t="shared" si="39"/>
        <v>43.145795507930117</v>
      </c>
      <c r="CB47" s="22">
        <f t="shared" si="10"/>
        <v>371.6626718429784</v>
      </c>
      <c r="CC47" s="62">
        <f t="shared" si="11"/>
        <v>664.99600517631166</v>
      </c>
      <c r="CD47" s="62">
        <f ca="1">AVERAGE(OFFSET($CC$3,0,0,'Données projet'!$E$12+1,1))-AVERAGE(OFFSET($H$3,0,0,'Données projet'!$E$12+1,1))</f>
        <v>333.9187211440219</v>
      </c>
      <c r="CE47" s="62">
        <f t="shared" si="40"/>
        <v>321.81422611044997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8.5905813874228123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8.5905813874228123</v>
      </c>
      <c r="CO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9.8000000000000007</v>
      </c>
      <c r="CT47" s="13">
        <f>IF('Données projet'!$A$140&gt;35,CT46+CS47-DB46,IF(A47&lt;'Données projet'!$A$140,$CQ$205^A47,IF(A47='Données projet'!$A$140,'Données projet'!$B$140,CT46+CS47-DB46)))</f>
        <v>232.2000000000001</v>
      </c>
      <c r="CU47" s="18">
        <f>CT47*VLOOKUP('Données projet'!$B$13,Paramètres!$A$1:$I$89,3,0)*VLOOKUP('Données projet'!$B$13,Paramètres!$A$1:$I$89,5,0)</f>
        <v>188.3606400000001</v>
      </c>
      <c r="CV47" s="14">
        <f t="shared" si="41"/>
        <v>47.177331040995796</v>
      </c>
      <c r="CW47" s="22">
        <f t="shared" si="13"/>
        <v>410.22863289640117</v>
      </c>
      <c r="CX47" s="62">
        <f t="shared" si="14"/>
        <v>703.56196622973448</v>
      </c>
      <c r="CY47" s="62">
        <f ca="1">AVERAGE(OFFSET($CX$3,0,0,'Données projet'!$E$13+1,1))-AVERAGE(OFFSET($H$3,0,0,'Données projet'!$E$13+1,1))</f>
        <v>365.492319515595</v>
      </c>
      <c r="CZ47" s="62">
        <f t="shared" si="42"/>
        <v>351.38386928091433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9.5044730243826887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9.5044730243826887</v>
      </c>
      <c r="DJ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9.3712500000000034</v>
      </c>
      <c r="DO47" s="13">
        <f>IF('Données projet'!$A$166&gt;35,DO46+DN47-DW46,IF(A47&lt;'Données projet'!$A$166,$DL$205^A47,IF(A47='Données projet'!$A$166,'Données projet'!$B$166,DO46+DN47-DW46)))</f>
        <v>138.7925000000001</v>
      </c>
      <c r="DP47" s="18">
        <f>DO47*VLOOKUP('Données projet'!$B$14,Paramètres!$A$1:$I$89,3,0)*VLOOKUP('Données projet'!$B$14,Paramètres!$A$1:$I$89,5,0)</f>
        <v>116.9188020000001</v>
      </c>
      <c r="DQ47" s="14">
        <f t="shared" si="43"/>
        <v>30.955276136263098</v>
      </c>
      <c r="DR47" s="22">
        <f t="shared" si="16"/>
        <v>257.54735275399173</v>
      </c>
      <c r="DS47" s="62">
        <f t="shared" si="17"/>
        <v>550.8806860873251</v>
      </c>
      <c r="DT47" s="62">
        <f ca="1">AVERAGE(OFFSET($DS$3,0,0,'Données projet'!$E$14+1,1))-AVERAGE(OFFSET($H$3,0,0,'Données projet'!$E$14+1,1))</f>
        <v>544.89250424794909</v>
      </c>
      <c r="DU47" s="62">
        <f t="shared" si="44"/>
        <v>253.98688498110715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3.3261855467243393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3.3261855467243393</v>
      </c>
      <c r="EE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9.3712500000000034</v>
      </c>
      <c r="EJ47" s="13">
        <f>IF('Données projet'!$A$192&gt;35,EJ46+EI47-ER46,IF(A47&lt;'Données projet'!$A$192,$EG$205^A47,IF(A47='Données projet'!$A$192,'Données projet'!$B$192,EJ46+EI47-ER46)))</f>
        <v>138.7925000000001</v>
      </c>
      <c r="EK47" s="18">
        <f>EJ47*VLOOKUP('Données projet'!$B$15,Paramètres!$A$1:$I$89,3,0)*VLOOKUP('Données projet'!$B$15,Paramètres!$A$1:$I$89,5,0)</f>
        <v>125.5794540000001</v>
      </c>
      <c r="EL47" s="14">
        <f t="shared" si="45"/>
        <v>32.97285338000448</v>
      </c>
      <c r="EM47" s="22">
        <f t="shared" si="19"/>
        <v>276.14526868684135</v>
      </c>
      <c r="EN47" s="62">
        <f t="shared" si="20"/>
        <v>569.47860202017466</v>
      </c>
      <c r="EO47" s="62">
        <f ca="1">AVERAGE(OFFSET($EN$3,0,0,'Données projet'!$E$15+1,1))-AVERAGE(OFFSET($H$3,0,0,'Données projet'!$E$15+1,1))</f>
        <v>581.88778927327667</v>
      </c>
      <c r="EP47" s="62">
        <f t="shared" si="46"/>
        <v>269.67340993773422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3.5725696612965119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3.5725696612965119</v>
      </c>
      <c r="EZ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9.3712500000000034</v>
      </c>
      <c r="FE47" s="13">
        <f>IF('Données projet'!$A$218&gt;35,FE46+FD47-FM46,IF(A47&lt;'Données projet'!$A$218,$FB$205^A47,IF(A47='Données projet'!$A$218,'Données projet'!$B$218,FE46+FD47-FM46)))</f>
        <v>138.7925000000001</v>
      </c>
      <c r="FF47" s="18">
        <f>FE47*VLOOKUP('Données projet'!$B$16,Paramètres!$A$1:$I$89,3,0)*VLOOKUP('Données projet'!$B$16,Paramètres!$A$1:$I$89,5,0)</f>
        <v>140.7355950000001</v>
      </c>
      <c r="FG47" s="14">
        <f t="shared" si="47"/>
        <v>36.465468549139587</v>
      </c>
      <c r="FH47" s="22">
        <f t="shared" si="22"/>
        <v>308.62518568141826</v>
      </c>
      <c r="FI47" s="62">
        <f t="shared" si="23"/>
        <v>601.95851901475157</v>
      </c>
      <c r="FJ47" s="62">
        <f ca="1">AVERAGE(OFFSET($FI$3,0,0,'Données projet'!$E$16+1,1))-AVERAGE(OFFSET($H$3,0,0,'Données projet'!$E$16+1,1))</f>
        <v>646.50767193970182</v>
      </c>
      <c r="FK47" s="62">
        <f t="shared" si="48"/>
        <v>297.06786598620607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4.003741861797816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4.003741861797816</v>
      </c>
      <c r="FU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9.3712500000000034</v>
      </c>
      <c r="FZ47" s="13">
        <f>IF('Données projet'!$A$244&gt;35,FZ46+FY47-GH46,IF(A47&lt;'Données projet'!$A$244,$FW$205^A47,IF(A47='Données projet'!$A$244,'Données projet'!$B$244,FZ46+FY47-GH46)))</f>
        <v>138.7925000000001</v>
      </c>
      <c r="GA47" s="18">
        <f>FZ47*VLOOKUP('Données projet'!$B$17,Paramètres!$A$1:$I$89,3,0)*VLOOKUP('Données projet'!$B$17,Paramètres!$A$1:$I$89,5,0)</f>
        <v>93.102009000000081</v>
      </c>
      <c r="GB47" s="14">
        <f t="shared" si="49"/>
        <v>25.31187305049858</v>
      </c>
      <c r="GC47" s="22">
        <f t="shared" si="25"/>
        <v>206.23751123795182</v>
      </c>
      <c r="GD47" s="62">
        <f t="shared" si="26"/>
        <v>499.57084457128514</v>
      </c>
      <c r="GE47" s="62">
        <f ca="1">AVERAGE(OFFSET($GD$3,0,0,'Données projet'!$E$17+1,1))-AVERAGE(OFFSET($H$3,0,0,'Données projet'!$E$17+1,1))</f>
        <v>442.85175349826028</v>
      </c>
      <c r="GF47" s="62">
        <f t="shared" si="50"/>
        <v>210.70697808232501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3.264589518081296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3.264589518081296</v>
      </c>
      <c r="GP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9.6</v>
      </c>
      <c r="GU47" s="13">
        <f>IF('Données projet'!$A$270&gt;35,GU46+GT47-HC46,IF(A47&lt;'Données projet'!$A$270,$GR$205^A47,IF(A47='Données projet'!$A$270,'Données projet'!$B$270,GU46+GT47-HC46)))</f>
        <v>188.39999999999995</v>
      </c>
      <c r="GV47" s="18">
        <f>GU47*VLOOKUP('Données projet'!$B$18,Paramètres!$A$1:$I$89,3,0)*VLOOKUP('Données projet'!$B$18,Paramètres!$A$1:$I$89,5,0)</f>
        <v>179.28143999999995</v>
      </c>
      <c r="GW47" s="14">
        <f t="shared" si="51"/>
        <v>45.16228260749731</v>
      </c>
      <c r="GX47" s="22">
        <f t="shared" si="28"/>
        <v>390.90615020805768</v>
      </c>
      <c r="GY47" s="62">
        <f t="shared" si="29"/>
        <v>684.239483541391</v>
      </c>
      <c r="GZ47" s="62">
        <f ca="1">AVERAGE(OFFSET($GY$3,0,0,'Données projet'!$E$18+1,1))-AVERAGE(OFFSET($H$3,0,0,'Données projet'!$E$18+1,1))</f>
        <v>420.2510366318939</v>
      </c>
      <c r="HA47" s="62">
        <f t="shared" si="52"/>
        <v>220.59884411514116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3.955514003907957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0</v>
      </c>
      <c r="HJ47" s="24">
        <f t="shared" si="30"/>
        <v>3.955514003907957</v>
      </c>
    </row>
    <row r="48" spans="1:218" s="5" customFormat="1" x14ac:dyDescent="0.2">
      <c r="A48" s="11">
        <f t="shared" si="31"/>
        <v>45</v>
      </c>
      <c r="B48" s="74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19.777777777777779</v>
      </c>
      <c r="N48" s="14">
        <f>IF('Données projet'!$A$36&gt;35,N47+M48-V47,IF(A48&lt;'Données projet'!$A$36,$K$205^A48,IF(A48='Données projet'!$A$36,'Données projet'!$B$36,N47+M48-V47)))</f>
        <v>336.33333333333348</v>
      </c>
      <c r="O48" s="14">
        <f>N48*VLOOKUP('Données projet'!$B$9,Paramètres!$A$1:$I$89,3,0)*VLOOKUP('Données projet'!$B$9,Paramètres!$A$1:$I$89,5,0)</f>
        <v>288.57400000000018</v>
      </c>
      <c r="P48" s="14">
        <f t="shared" si="33"/>
        <v>68.775748599702908</v>
      </c>
      <c r="Q48" s="22">
        <f t="shared" si="53"/>
        <v>622.38414547781622</v>
      </c>
      <c r="R48" s="62">
        <f t="shared" si="0"/>
        <v>915.71747881114948</v>
      </c>
      <c r="S48" s="62">
        <f ca="1">AVERAGE(OFFSET($R$3,0,0,'Données projet'!$E$9+1,1))-AVERAGE(OFFSET($H$3,0,0,'Données projet'!$E$9+1,1))</f>
        <v>623.31285537237943</v>
      </c>
      <c r="T48" s="62">
        <f t="shared" si="34"/>
        <v>462.33909258902241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42.17446229899582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42.17446229899582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242</v>
      </c>
      <c r="AG48" s="13">
        <f>VLOOKUP(A48,'Données projet'!$A$61:$I$81,9,0)</f>
        <v>9.8000000000000007</v>
      </c>
      <c r="AH48" s="13">
        <f t="array" ref="AH48">INDEX(AG:AG,MIN(IF(ISNUMBER(AG48:AG244),ROW(AG48:AG244),"")))</f>
        <v>9.8000000000000007</v>
      </c>
      <c r="AI48" s="14">
        <f>IF('Données projet'!$A$62&gt;35,AI47+AH48-AQ47,IF(A48&lt;'Données projet'!$A$62,$AF$205^A48,IF(A48='Données projet'!$A$62,'Données projet'!$B$62,AI47+AH48-AQ47)))</f>
        <v>242.00000000000011</v>
      </c>
      <c r="AJ48" s="14">
        <f>AI48*VLOOKUP('Données projet'!$B$10,Paramètres!$A$1:$I$89,3,0)*VLOOKUP('Données projet'!$B$10,Paramètres!$A$1:$I$89,5,0)</f>
        <v>211.41120000000012</v>
      </c>
      <c r="AK48" s="14">
        <f t="shared" si="35"/>
        <v>52.243848094411206</v>
      </c>
      <c r="AL48" s="22">
        <f t="shared" si="4"/>
        <v>459.19920876443302</v>
      </c>
      <c r="AM48" s="62">
        <f t="shared" si="5"/>
        <v>752.53254209776628</v>
      </c>
      <c r="AN48" s="62">
        <f ca="1">AVERAGE(OFFSET($AM$3,0,0,'Données projet'!$E$10+1,1))-AVERAGE(OFFSET($H$3,0,0,'Données projet'!$E$10+1,1))</f>
        <v>390.70479111593545</v>
      </c>
      <c r="AO48" s="62">
        <f t="shared" si="36"/>
        <v>374.99493809709708</v>
      </c>
      <c r="AP48" s="16">
        <f>IF(ISNA(VLOOKUP(A48,'Données projet'!$A$61:$I$81,3,0)),0,VLOOKUP(A48,'Données projet'!$A$61:$I$81,3,0))</f>
        <v>8</v>
      </c>
      <c r="AQ48" s="16">
        <f>IF(ISNA(VLOOKUP(A48,'Données projet'!$A$61:$I$81,4,0)),0,VLOOKUP(A48,'Données projet'!$A$61:$I$81,4,0))</f>
        <v>24</v>
      </c>
      <c r="AR48" s="17">
        <f>IF(ISNA(VLOOKUP(A48,'Données projet'!$A$61:$I$81,5,0)),0%,VLOOKUP(A48,'Données projet'!$A$61:$I$81,5,0)*VLOOKUP('Données projet'!$B$10,Paramètres!$A$1:$I$89,7,0))</f>
        <v>0.26500000000000001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18.510663615207797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18.510663615207797</v>
      </c>
      <c r="AY48" s="7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242</v>
      </c>
      <c r="BB48" s="13">
        <f>VLOOKUP(A48,'Données projet'!$A$87:$I$107,9,0)</f>
        <v>9.8000000000000007</v>
      </c>
      <c r="BC48" s="13">
        <f t="array" ref="BC48">INDEX(BB:BB,MIN(IF(ISNUMBER(BB48:BB244),ROW(BB48:BB244),"")))</f>
        <v>9.8000000000000007</v>
      </c>
      <c r="BD48" s="13">
        <f>IF('Données projet'!$A$88&gt;35,BD47+BC48-BL47,IF(A48&lt;'Données projet'!$A$88,$BA$205^A48,IF(A48='Données projet'!$A$88,'Données projet'!$B$88,BD47+BC48-BL47)))</f>
        <v>242.00000000000011</v>
      </c>
      <c r="BE48" s="14">
        <f>BD48*VLOOKUP('Données projet'!$B$11,Paramètres!$A$1:$I$89,3,0)*VLOOKUP('Données projet'!$B$11,Paramètres!$A$1:$I$89,5,0)</f>
        <v>192.53520000000009</v>
      </c>
      <c r="BF48" s="14">
        <f t="shared" si="37"/>
        <v>48.100016456123122</v>
      </c>
      <c r="BG48" s="22">
        <f t="shared" si="7"/>
        <v>419.1063353277479</v>
      </c>
      <c r="BH48" s="62">
        <f t="shared" si="8"/>
        <v>712.43966866108121</v>
      </c>
      <c r="BI48" s="62">
        <f ca="1">AVERAGE(OFFSET($BH$3,0,0,'Données projet'!$E$11+1,1))-AVERAGE(OFFSET($H$3,0,0,'Données projet'!$E$11+1,1))</f>
        <v>359.18294335011535</v>
      </c>
      <c r="BJ48" s="62">
        <f t="shared" si="38"/>
        <v>345.47508134331241</v>
      </c>
      <c r="BK48" s="16">
        <f>IF(ISNA(VLOOKUP(A48,'Données projet'!$A$87:$I$107,3,0)),0,VLOOKUP(A48,'Données projet'!$A$87:$I$107,3,0))</f>
        <v>8</v>
      </c>
      <c r="BL48" s="16">
        <f>IF(ISNA(VLOOKUP(A48,'Données projet'!$A$87:$I$107,4,0)),0,VLOOKUP(A48,'Données projet'!$A$87:$I$107,4,0))</f>
        <v>24</v>
      </c>
      <c r="BM48" s="17">
        <f>IF(ISNA(VLOOKUP(A48,'Données projet'!$A$87:$I$107,5,0)),0%,VLOOKUP(A48,'Données projet'!$A$87:$I$107,5,0)*VLOOKUP('Données projet'!$B$11,Paramètres!$A$1:$I$89,7,0))</f>
        <v>0.26500000000000001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16.857925792421387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16.857925792421387</v>
      </c>
      <c r="BT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242</v>
      </c>
      <c r="BW48" s="13">
        <f>VLOOKUP(A48,'Données projet'!$A$113:$I$133,9,0)</f>
        <v>9.8000000000000007</v>
      </c>
      <c r="BX48" s="13">
        <f t="array" ref="BX48">INDEX(BW:BW,MIN(IF(ISNUMBER(BW48:BW244),ROW(BW48:BW244),"")))</f>
        <v>9.8000000000000007</v>
      </c>
      <c r="BY48" s="13">
        <f>IF('Données projet'!$A$114&gt;35,BY47+BX48-CG47,IF(A48&lt;'Données projet'!$A$114,$BV$205^A48,IF(A48='Données projet'!$A$114,'Données projet'!$B$114,BY47+BX48-CG47)))</f>
        <v>242.00000000000011</v>
      </c>
      <c r="BZ48" s="14">
        <f>BY48*VLOOKUP('Données projet'!$B$12,Paramètres!$A$1:$I$89,3,0)*VLOOKUP('Données projet'!$B$12,Paramètres!$A$1:$I$89,5,0)</f>
        <v>177.4344000000001</v>
      </c>
      <c r="CA48" s="14">
        <f t="shared" si="39"/>
        <v>44.750911401641211</v>
      </c>
      <c r="CB48" s="22">
        <f t="shared" si="10"/>
        <v>386.97275069119195</v>
      </c>
      <c r="CC48" s="62">
        <f t="shared" si="11"/>
        <v>680.30608402452526</v>
      </c>
      <c r="CD48" s="62">
        <f ca="1">AVERAGE(OFFSET($CC$3,0,0,'Données projet'!$E$12+1,1))-AVERAGE(OFFSET($H$3,0,0,'Données projet'!$E$12+1,1))</f>
        <v>333.9187211440219</v>
      </c>
      <c r="CE48" s="62">
        <f t="shared" si="40"/>
        <v>321.81422611044997</v>
      </c>
      <c r="CF48" s="16">
        <f>IF(ISNA(VLOOKUP(A48,'Données projet'!$A$113:$I$133,3,0)),0,VLOOKUP(A48,'Données projet'!$A$113:$I$133,3,0))</f>
        <v>8</v>
      </c>
      <c r="CG48" s="16">
        <f>IF(ISNA(VLOOKUP(A48,'Données projet'!$A$113:$I$133,4,0)),0,VLOOKUP(A48,'Données projet'!$A$113:$I$133,4,0))</f>
        <v>24</v>
      </c>
      <c r="CH48" s="17">
        <f>IF(ISNA(VLOOKUP(A48,'Données projet'!$A$113:$I$133,5,0)),0%,VLOOKUP(A48,'Données projet'!$A$113:$I$133,5,0)*VLOOKUP('Données projet'!$B$12,Paramètres!$A$1:$I$89,7,0))</f>
        <v>0.215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12.60446467868428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12.60446467868428</v>
      </c>
      <c r="CO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242</v>
      </c>
      <c r="CR48" s="13">
        <f>VLOOKUP(A48,'Données projet'!$A$139:$I$159,9,0)</f>
        <v>9.8000000000000007</v>
      </c>
      <c r="CS48" s="13">
        <f t="array" ref="CS48">INDEX(CR:CR,MIN(IF(ISNUMBER(CR48:CR244),ROW(CR48:CR244),"")))</f>
        <v>9.8000000000000007</v>
      </c>
      <c r="CT48" s="13">
        <f>IF('Données projet'!$A$140&gt;35,CT47+CS48-DB47,IF(A48&lt;'Données projet'!$A$140,$CQ$205^A48,IF(A48='Données projet'!$A$140,'Données projet'!$B$140,CT47+CS48-DB47)))</f>
        <v>242.00000000000011</v>
      </c>
      <c r="CU48" s="18">
        <f>CT48*VLOOKUP('Données projet'!$B$13,Paramètres!$A$1:$I$89,3,0)*VLOOKUP('Données projet'!$B$13,Paramètres!$A$1:$I$89,5,0)</f>
        <v>196.3104000000001</v>
      </c>
      <c r="CV48" s="14">
        <f t="shared" si="41"/>
        <v>48.932428681108973</v>
      </c>
      <c r="CW48" s="22">
        <f t="shared" si="13"/>
        <v>427.13125995293166</v>
      </c>
      <c r="CX48" s="62">
        <f t="shared" si="14"/>
        <v>720.46459328626497</v>
      </c>
      <c r="CY48" s="62">
        <f ca="1">AVERAGE(OFFSET($CX$3,0,0,'Données projet'!$E$13+1,1))-AVERAGE(OFFSET($H$3,0,0,'Données projet'!$E$13+1,1))</f>
        <v>365.492319515595</v>
      </c>
      <c r="CZ48" s="62">
        <f t="shared" si="42"/>
        <v>351.38386928091433</v>
      </c>
      <c r="DA48" s="16">
        <f>IF(ISNA(VLOOKUP(A48,'Données projet'!$A$139:$I$159,3,0)),0,VLOOKUP(A48,'Données projet'!$A$139:$I$159,3,0))</f>
        <v>8</v>
      </c>
      <c r="DB48" s="16">
        <f>IF(ISNA(VLOOKUP(A48,'Données projet'!$A$139:$I$159,4,0)),0,VLOOKUP(A48,'Données projet'!$A$139:$I$159,4,0))</f>
        <v>24</v>
      </c>
      <c r="DC48" s="17">
        <f>IF(ISNA(VLOOKUP(A48,'Données projet'!$A$139:$I$159,5,0)),0%,VLOOKUP(A48,'Données projet'!$A$139:$I$159,5,0)*VLOOKUP('Données projet'!$B$13,Paramètres!$A$1:$I$89,7,0))</f>
        <v>0.215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13.945365176416654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13.945365176416654</v>
      </c>
      <c r="DJ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9.3712500000000034</v>
      </c>
      <c r="DO48" s="13">
        <f>IF('Données projet'!$A$166&gt;35,DO47+DN48-DW47,IF(A48&lt;'Données projet'!$A$166,$DL$205^A48,IF(A48='Données projet'!$A$166,'Données projet'!$B$166,DO47+DN48-DW47)))</f>
        <v>148.16375000000011</v>
      </c>
      <c r="DP48" s="18">
        <f>DO48*VLOOKUP('Données projet'!$B$14,Paramètres!$A$1:$I$89,3,0)*VLOOKUP('Données projet'!$B$14,Paramètres!$A$1:$I$89,5,0)</f>
        <v>124.8131430000001</v>
      </c>
      <c r="DQ48" s="14">
        <f t="shared" si="43"/>
        <v>32.795003625297909</v>
      </c>
      <c r="DR48" s="22">
        <f t="shared" si="16"/>
        <v>274.50085537239397</v>
      </c>
      <c r="DS48" s="62">
        <f t="shared" si="17"/>
        <v>567.83418870572723</v>
      </c>
      <c r="DT48" s="62">
        <f ca="1">AVERAGE(OFFSET($DS$3,0,0,'Données projet'!$E$14+1,1))-AVERAGE(OFFSET($H$3,0,0,'Données projet'!$E$14+1,1))</f>
        <v>544.89250424794909</v>
      </c>
      <c r="DU48" s="62">
        <f t="shared" si="44"/>
        <v>253.98688498110715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3.2609610769259336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3.2609610769259336</v>
      </c>
      <c r="EE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9.3712500000000034</v>
      </c>
      <c r="EJ48" s="13">
        <f>IF('Données projet'!$A$192&gt;35,EJ47+EI48-ER47,IF(A48&lt;'Données projet'!$A$192,$EG$205^A48,IF(A48='Données projet'!$A$192,'Données projet'!$B$192,EJ47+EI48-ER47)))</f>
        <v>148.16375000000011</v>
      </c>
      <c r="EK48" s="18">
        <f>EJ48*VLOOKUP('Données projet'!$B$15,Paramètres!$A$1:$I$89,3,0)*VLOOKUP('Données projet'!$B$15,Paramètres!$A$1:$I$89,5,0)</f>
        <v>134.05856100000008</v>
      </c>
      <c r="EL48" s="14">
        <f t="shared" si="45"/>
        <v>34.932489097291651</v>
      </c>
      <c r="EM48" s="22">
        <f t="shared" si="19"/>
        <v>294.3260789194498</v>
      </c>
      <c r="EN48" s="62">
        <f t="shared" si="20"/>
        <v>587.65941225278311</v>
      </c>
      <c r="EO48" s="62">
        <f ca="1">AVERAGE(OFFSET($EN$3,0,0,'Données projet'!$E$15+1,1))-AVERAGE(OFFSET($H$3,0,0,'Données projet'!$E$15+1,1))</f>
        <v>581.88778927327667</v>
      </c>
      <c r="EP48" s="62">
        <f t="shared" si="46"/>
        <v>269.67340993773422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3.5025137492908169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3.5025137492908169</v>
      </c>
      <c r="EZ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9.3712500000000034</v>
      </c>
      <c r="FE48" s="13">
        <f>IF('Données projet'!$A$218&gt;35,FE47+FD48-FM47,IF(A48&lt;'Données projet'!$A$218,$FB$205^A48,IF(A48='Données projet'!$A$218,'Données projet'!$B$218,FE47+FD48-FM47)))</f>
        <v>148.16375000000011</v>
      </c>
      <c r="FF48" s="18">
        <f>FE48*VLOOKUP('Données projet'!$B$16,Paramètres!$A$1:$I$89,3,0)*VLOOKUP('Données projet'!$B$16,Paramètres!$A$1:$I$89,5,0)</f>
        <v>150.23804250000012</v>
      </c>
      <c r="FG48" s="14">
        <f t="shared" si="47"/>
        <v>38.632676639775759</v>
      </c>
      <c r="FH48" s="22">
        <f t="shared" si="22"/>
        <v>328.94983583510964</v>
      </c>
      <c r="FI48" s="62">
        <f t="shared" si="23"/>
        <v>622.28316916844301</v>
      </c>
      <c r="FJ48" s="62">
        <f ca="1">AVERAGE(OFFSET($FI$3,0,0,'Données projet'!$E$16+1,1))-AVERAGE(OFFSET($H$3,0,0,'Données projet'!$E$16+1,1))</f>
        <v>646.50767193970182</v>
      </c>
      <c r="FK48" s="62">
        <f t="shared" si="48"/>
        <v>297.06786598620607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3.9252309259293652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3.9252309259293652</v>
      </c>
      <c r="FU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9.3712500000000034</v>
      </c>
      <c r="FZ48" s="13">
        <f>IF('Données projet'!$A$244&gt;35,FZ47+FY48-GH47,IF(A48&lt;'Données projet'!$A$244,$FW$205^A48,IF(A48='Données projet'!$A$244,'Données projet'!$B$244,FZ47+FY48-GH47)))</f>
        <v>148.16375000000011</v>
      </c>
      <c r="GA48" s="18">
        <f>FZ48*VLOOKUP('Données projet'!$B$17,Paramètres!$A$1:$I$89,3,0)*VLOOKUP('Données projet'!$B$17,Paramètres!$A$1:$I$89,5,0)</f>
        <v>99.388243500000073</v>
      </c>
      <c r="GB48" s="14">
        <f t="shared" si="49"/>
        <v>26.816202989116352</v>
      </c>
      <c r="GC48" s="22">
        <f t="shared" si="25"/>
        <v>219.8060776352111</v>
      </c>
      <c r="GD48" s="62">
        <f t="shared" si="26"/>
        <v>513.13941096854444</v>
      </c>
      <c r="GE48" s="62">
        <f ca="1">AVERAGE(OFFSET($GD$3,0,0,'Données projet'!$E$17+1,1))-AVERAGE(OFFSET($H$3,0,0,'Données projet'!$E$17+1,1))</f>
        <v>442.85175349826028</v>
      </c>
      <c r="GF48" s="62">
        <f t="shared" si="50"/>
        <v>210.70697808232501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3.200572908834713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3.200572908834713</v>
      </c>
      <c r="GP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>
        <f>VLOOKUP(A48,'Données projet'!$A$269:$I$289,2,0)</f>
        <v>198</v>
      </c>
      <c r="GS48" s="13">
        <f>VLOOKUP(A48,'Données projet'!$A$269:$I$289,9,0)</f>
        <v>9.6</v>
      </c>
      <c r="GT48" s="13">
        <f t="array" ref="GT48">INDEX(GS:GS,MIN(IF(ISNUMBER(GS48:GS244),ROW(GS48:GS244),"")))</f>
        <v>9.6</v>
      </c>
      <c r="GU48" s="13">
        <f>IF('Données projet'!$A$270&gt;35,GU47+GT48-HC47,IF(A48&lt;'Données projet'!$A$270,$GR$205^A48,IF(A48='Données projet'!$A$270,'Données projet'!$B$270,GU47+GT48-HC47)))</f>
        <v>197.99999999999994</v>
      </c>
      <c r="GV48" s="18">
        <f>GU48*VLOOKUP('Données projet'!$B$18,Paramètres!$A$1:$I$89,3,0)*VLOOKUP('Données projet'!$B$18,Paramètres!$A$1:$I$89,5,0)</f>
        <v>188.41679999999994</v>
      </c>
      <c r="GW48" s="14">
        <f t="shared" si="51"/>
        <v>47.189759534268632</v>
      </c>
      <c r="GX48" s="22">
        <f t="shared" si="28"/>
        <v>410.34809118885113</v>
      </c>
      <c r="GY48" s="62">
        <f t="shared" si="29"/>
        <v>703.68142452218444</v>
      </c>
      <c r="GZ48" s="62">
        <f ca="1">AVERAGE(OFFSET($GY$3,0,0,'Données projet'!$E$18+1,1))-AVERAGE(OFFSET($H$3,0,0,'Données projet'!$E$18+1,1))</f>
        <v>420.2510366318939</v>
      </c>
      <c r="HA48" s="62">
        <f t="shared" si="52"/>
        <v>220.59884411514116</v>
      </c>
      <c r="HB48" s="16">
        <f>IF(ISNA(VLOOKUP(A48,'Données projet'!$A$269:$I$289,3,0)),0,VLOOKUP(A48,'Données projet'!$A$269:$I$289,3,0))</f>
        <v>5</v>
      </c>
      <c r="HC48" s="16">
        <f>IF(ISNA(VLOOKUP(A48,'Données projet'!$A$269:$I$289,4,0)),0,VLOOKUP(A48,'Données projet'!$A$269:$I$289,4,0))</f>
        <v>25</v>
      </c>
      <c r="HD48" s="17">
        <f>IF(ISNA(VLOOKUP(A48,'Données projet'!$A$269:$I$289,5,0)),0%,VLOOKUP(A48,'Données projet'!$A$269:$I$289,5,0)*VLOOKUP('Données projet'!$B$18,Paramètres!$A$1:$I$89,7,0))</f>
        <v>0.129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7.2705378893691037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0</v>
      </c>
      <c r="HJ48" s="24">
        <f t="shared" si="30"/>
        <v>7.2705378893691037</v>
      </c>
    </row>
    <row r="49" spans="1:218" s="5" customFormat="1" x14ac:dyDescent="0.2">
      <c r="A49" s="11">
        <f t="shared" si="31"/>
        <v>46</v>
      </c>
      <c r="B49" s="74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19.777777777777779</v>
      </c>
      <c r="N49" s="14">
        <f>IF('Données projet'!$A$36&gt;35,N48+M49-V48,IF(A49&lt;'Données projet'!$A$36,$K$205^A49,IF(A49='Données projet'!$A$36,'Données projet'!$B$36,N48+M49-V48)))</f>
        <v>356.11111111111126</v>
      </c>
      <c r="O49" s="14">
        <f>N49*VLOOKUP('Données projet'!$B$9,Paramètres!$A$1:$I$89,3,0)*VLOOKUP('Données projet'!$B$9,Paramètres!$A$1:$I$89,5,0)</f>
        <v>305.54333333333346</v>
      </c>
      <c r="P49" s="14">
        <f t="shared" si="33"/>
        <v>72.337317849093495</v>
      </c>
      <c r="Q49" s="22">
        <f t="shared" si="53"/>
        <v>658.14213414272695</v>
      </c>
      <c r="R49" s="62">
        <f t="shared" si="0"/>
        <v>951.4754674760602</v>
      </c>
      <c r="S49" s="62">
        <f ca="1">AVERAGE(OFFSET($R$3,0,0,'Données projet'!$E$9+1,1))-AVERAGE(OFFSET($H$3,0,0,'Données projet'!$E$9+1,1))</f>
        <v>623.31285537237943</v>
      </c>
      <c r="T49" s="62">
        <f t="shared" si="34"/>
        <v>462.33909258902241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41.347446817194495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41.347446817194495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8.6</v>
      </c>
      <c r="AI49" s="14">
        <f>IF('Données projet'!$A$62&gt;35,AI48+AH49-AQ48,IF(A49&lt;'Données projet'!$A$62,$AF$205^A49,IF(A49='Données projet'!$A$62,'Données projet'!$B$62,AI48+AH49-AQ48)))</f>
        <v>226.60000000000011</v>
      </c>
      <c r="AJ49" s="14">
        <f>AI49*VLOOKUP('Données projet'!$B$10,Paramètres!$A$1:$I$89,3,0)*VLOOKUP('Données projet'!$B$10,Paramètres!$A$1:$I$89,5,0)</f>
        <v>197.95776000000012</v>
      </c>
      <c r="AK49" s="14">
        <f t="shared" si="35"/>
        <v>49.295077435194649</v>
      </c>
      <c r="AL49" s="22">
        <f t="shared" si="4"/>
        <v>430.63202519963085</v>
      </c>
      <c r="AM49" s="62">
        <f t="shared" si="5"/>
        <v>723.96535853296416</v>
      </c>
      <c r="AN49" s="62">
        <f ca="1">AVERAGE(OFFSET($AM$3,0,0,'Données projet'!$E$10+1,1))-AVERAGE(OFFSET($H$3,0,0,'Données projet'!$E$10+1,1))</f>
        <v>390.70479111593545</v>
      </c>
      <c r="AO49" s="62">
        <f t="shared" si="36"/>
        <v>374.99493809709708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18.147680792103543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18.147680792103543</v>
      </c>
      <c r="AY49" s="7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8.6</v>
      </c>
      <c r="BD49" s="13">
        <f>IF('Données projet'!$A$88&gt;35,BD48+BC49-BL48,IF(A49&lt;'Données projet'!$A$88,$BA$205^A49,IF(A49='Données projet'!$A$88,'Données projet'!$B$88,BD48+BC49-BL48)))</f>
        <v>226.60000000000011</v>
      </c>
      <c r="BE49" s="14">
        <f>BD49*VLOOKUP('Données projet'!$B$11,Paramètres!$A$1:$I$89,3,0)*VLOOKUP('Données projet'!$B$11,Paramètres!$A$1:$I$89,5,0)</f>
        <v>180.28296000000009</v>
      </c>
      <c r="BF49" s="14">
        <f t="shared" si="37"/>
        <v>45.385133797071397</v>
      </c>
      <c r="BG49" s="22">
        <f t="shared" si="7"/>
        <v>393.03859669656617</v>
      </c>
      <c r="BH49" s="62">
        <f t="shared" si="8"/>
        <v>686.37193002989943</v>
      </c>
      <c r="BI49" s="62">
        <f ca="1">AVERAGE(OFFSET($BH$3,0,0,'Données projet'!$E$11+1,1))-AVERAGE(OFFSET($H$3,0,0,'Données projet'!$E$11+1,1))</f>
        <v>359.18294335011535</v>
      </c>
      <c r="BJ49" s="62">
        <f t="shared" si="38"/>
        <v>345.47508134331241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16.527352149951444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16.527352149951444</v>
      </c>
      <c r="BT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8.6</v>
      </c>
      <c r="BY49" s="13">
        <f>IF('Données projet'!$A$114&gt;35,BY48+BX49-CG48,IF(A49&lt;'Données projet'!$A$114,$BV$205^A49,IF(A49='Données projet'!$A$114,'Données projet'!$B$114,BY48+BX49-CG48)))</f>
        <v>226.60000000000011</v>
      </c>
      <c r="BZ49" s="14">
        <f>BY49*VLOOKUP('Données projet'!$B$12,Paramètres!$A$1:$I$89,3,0)*VLOOKUP('Données projet'!$B$12,Paramètres!$A$1:$I$89,5,0)</f>
        <v>166.14312000000007</v>
      </c>
      <c r="CA49" s="14">
        <f t="shared" si="39"/>
        <v>42.225060429180481</v>
      </c>
      <c r="CB49" s="22">
        <f t="shared" si="10"/>
        <v>362.90791424748937</v>
      </c>
      <c r="CC49" s="62">
        <f t="shared" si="11"/>
        <v>656.24124758082269</v>
      </c>
      <c r="CD49" s="62">
        <f ca="1">AVERAGE(OFFSET($CC$3,0,0,'Données projet'!$E$12+1,1))-AVERAGE(OFFSET($H$3,0,0,'Données projet'!$E$12+1,1))</f>
        <v>333.9187211440219</v>
      </c>
      <c r="CE49" s="62">
        <f t="shared" si="40"/>
        <v>321.81422611044997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12.357298814299613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12.357298814299613</v>
      </c>
      <c r="CO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8.6</v>
      </c>
      <c r="CT49" s="13">
        <f>IF('Données projet'!$A$140&gt;35,CT48+CS49-DB48,IF(A49&lt;'Données projet'!$A$140,$CQ$205^A49,IF(A49='Données projet'!$A$140,'Données projet'!$B$140,CT48+CS49-DB48)))</f>
        <v>226.60000000000011</v>
      </c>
      <c r="CU49" s="18">
        <f>CT49*VLOOKUP('Données projet'!$B$13,Paramètres!$A$1:$I$89,3,0)*VLOOKUP('Données projet'!$B$13,Paramètres!$A$1:$I$89,5,0)</f>
        <v>183.8179200000001</v>
      </c>
      <c r="CV49" s="14">
        <f t="shared" si="41"/>
        <v>46.170562638655326</v>
      </c>
      <c r="CW49" s="22">
        <f t="shared" si="13"/>
        <v>400.56327392899152</v>
      </c>
      <c r="CX49" s="62">
        <f t="shared" si="14"/>
        <v>693.89660726232478</v>
      </c>
      <c r="CY49" s="62">
        <f ca="1">AVERAGE(OFFSET($CX$3,0,0,'Données projet'!$E$13+1,1))-AVERAGE(OFFSET($H$3,0,0,'Données projet'!$E$13+1,1))</f>
        <v>365.492319515595</v>
      </c>
      <c r="CZ49" s="62">
        <f t="shared" si="42"/>
        <v>351.38386928091433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13.671905071139999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13.671905071139999</v>
      </c>
      <c r="DJ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9.3712500000000034</v>
      </c>
      <c r="DO49" s="13">
        <f>IF('Données projet'!$A$166&gt;35,DO48+DN49-DW48,IF(A49&lt;'Données projet'!$A$166,$DL$205^A49,IF(A49='Données projet'!$A$166,'Données projet'!$B$166,DO48+DN49-DW48)))</f>
        <v>157.53500000000011</v>
      </c>
      <c r="DP49" s="18">
        <f>DO49*VLOOKUP('Données projet'!$B$14,Paramètres!$A$1:$I$89,3,0)*VLOOKUP('Données projet'!$B$14,Paramètres!$A$1:$I$89,5,0)</f>
        <v>132.70748400000011</v>
      </c>
      <c r="DQ49" s="14">
        <f t="shared" si="43"/>
        <v>34.621226877984668</v>
      </c>
      <c r="DR49" s="22">
        <f t="shared" si="16"/>
        <v>291.43083811249011</v>
      </c>
      <c r="DS49" s="62">
        <f t="shared" si="17"/>
        <v>584.76417144582342</v>
      </c>
      <c r="DT49" s="62">
        <f ca="1">AVERAGE(OFFSET($DS$3,0,0,'Données projet'!$E$14+1,1))-AVERAGE(OFFSET($H$3,0,0,'Données projet'!$E$14+1,1))</f>
        <v>544.89250424794909</v>
      </c>
      <c r="DU49" s="62">
        <f t="shared" si="44"/>
        <v>253.98688498110715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3.1970156191972765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3.1970156191972765</v>
      </c>
      <c r="EE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9.3712500000000034</v>
      </c>
      <c r="EJ49" s="13">
        <f>IF('Données projet'!$A$192&gt;35,EJ48+EI49-ER48,IF(A49&lt;'Données projet'!$A$192,$EG$205^A49,IF(A49='Données projet'!$A$192,'Données projet'!$B$192,EJ48+EI49-ER48)))</f>
        <v>157.53500000000011</v>
      </c>
      <c r="EK49" s="18">
        <f>EJ49*VLOOKUP('Données projet'!$B$15,Paramètres!$A$1:$I$89,3,0)*VLOOKUP('Données projet'!$B$15,Paramètres!$A$1:$I$89,5,0)</f>
        <v>142.53766800000008</v>
      </c>
      <c r="EL49" s="14">
        <f t="shared" si="45"/>
        <v>36.877740410345027</v>
      </c>
      <c r="EM49" s="22">
        <f t="shared" si="19"/>
        <v>312.48183631468436</v>
      </c>
      <c r="EN49" s="62">
        <f t="shared" si="20"/>
        <v>605.81516964801767</v>
      </c>
      <c r="EO49" s="62">
        <f ca="1">AVERAGE(OFFSET($EN$3,0,0,'Données projet'!$E$15+1,1))-AVERAGE(OFFSET($H$3,0,0,'Données projet'!$E$15+1,1))</f>
        <v>581.88778927327667</v>
      </c>
      <c r="EP49" s="62">
        <f t="shared" si="46"/>
        <v>269.67340993773422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3.4338315909896666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3.4338315909896666</v>
      </c>
      <c r="EZ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9.3712500000000034</v>
      </c>
      <c r="FE49" s="13">
        <f>IF('Données projet'!$A$218&gt;35,FE48+FD49-FM48,IF(A49&lt;'Données projet'!$A$218,$FB$205^A49,IF(A49='Données projet'!$A$218,'Données projet'!$B$218,FE48+FD49-FM48)))</f>
        <v>157.53500000000011</v>
      </c>
      <c r="FF49" s="18">
        <f>FE49*VLOOKUP('Données projet'!$B$16,Paramètres!$A$1:$I$89,3,0)*VLOOKUP('Données projet'!$B$16,Paramètres!$A$1:$I$89,5,0)</f>
        <v>159.74049000000011</v>
      </c>
      <c r="FG49" s="14">
        <f t="shared" si="47"/>
        <v>40.783976673134042</v>
      </c>
      <c r="FH49" s="22">
        <f t="shared" si="22"/>
        <v>349.24677945570858</v>
      </c>
      <c r="FI49" s="62">
        <f t="shared" si="23"/>
        <v>642.58011278904189</v>
      </c>
      <c r="FJ49" s="62">
        <f ca="1">AVERAGE(OFFSET($FI$3,0,0,'Données projet'!$E$16+1,1))-AVERAGE(OFFSET($H$3,0,0,'Données projet'!$E$16+1,1))</f>
        <v>646.50767193970182</v>
      </c>
      <c r="FK49" s="62">
        <f t="shared" si="48"/>
        <v>297.06786598620607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3.8482595416263519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3.8482595416263519</v>
      </c>
      <c r="FU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9.3712500000000034</v>
      </c>
      <c r="FZ49" s="13">
        <f>IF('Données projet'!$A$244&gt;35,FZ48+FY49-GH48,IF(A49&lt;'Données projet'!$A$244,$FW$205^A49,IF(A49='Données projet'!$A$244,'Données projet'!$B$244,FZ48+FY49-GH48)))</f>
        <v>157.53500000000011</v>
      </c>
      <c r="GA49" s="18">
        <f>FZ49*VLOOKUP('Données projet'!$B$17,Paramètres!$A$1:$I$89,3,0)*VLOOKUP('Données projet'!$B$17,Paramètres!$A$1:$I$89,5,0)</f>
        <v>105.67447800000009</v>
      </c>
      <c r="GB49" s="14">
        <f t="shared" si="49"/>
        <v>28.30949062545972</v>
      </c>
      <c r="GC49" s="22">
        <f t="shared" si="25"/>
        <v>233.35541202267584</v>
      </c>
      <c r="GD49" s="62">
        <f t="shared" si="26"/>
        <v>526.68874535600912</v>
      </c>
      <c r="GE49" s="62">
        <f ca="1">AVERAGE(OFFSET($GD$3,0,0,'Données projet'!$E$17+1,1))-AVERAGE(OFFSET($H$3,0,0,'Données projet'!$E$17+1,1))</f>
        <v>442.85175349826028</v>
      </c>
      <c r="GF49" s="62">
        <f t="shared" si="50"/>
        <v>210.70697808232501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3.1378116262491793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3.1378116262491793</v>
      </c>
      <c r="GP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8.8000000000000007</v>
      </c>
      <c r="GU49" s="13">
        <f>IF('Données projet'!$A$270&gt;35,GU48+GT49-HC48,IF(A49&lt;'Données projet'!$A$270,$GR$205^A49,IF(A49='Données projet'!$A$270,'Données projet'!$B$270,GU48+GT49-HC48)))</f>
        <v>181.79999999999995</v>
      </c>
      <c r="GV49" s="18">
        <f>GU49*VLOOKUP('Données projet'!$B$18,Paramètres!$A$1:$I$89,3,0)*VLOOKUP('Données projet'!$B$18,Paramètres!$A$1:$I$89,5,0)</f>
        <v>173.00087999999997</v>
      </c>
      <c r="GW49" s="14">
        <f t="shared" si="51"/>
        <v>43.761434887046896</v>
      </c>
      <c r="GX49" s="22">
        <f t="shared" si="28"/>
        <v>377.52769842827325</v>
      </c>
      <c r="GY49" s="62">
        <f t="shared" si="29"/>
        <v>670.86103176160657</v>
      </c>
      <c r="GZ49" s="62">
        <f ca="1">AVERAGE(OFFSET($GY$3,0,0,'Données projet'!$E$18+1,1))-AVERAGE(OFFSET($H$3,0,0,'Données projet'!$E$18+1,1))</f>
        <v>420.2510366318939</v>
      </c>
      <c r="HA49" s="62">
        <f t="shared" si="52"/>
        <v>220.59884411514116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7.127967075948809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0</v>
      </c>
      <c r="HJ49" s="24">
        <f t="shared" si="30"/>
        <v>7.127967075948809</v>
      </c>
    </row>
    <row r="50" spans="1:218" s="5" customFormat="1" x14ac:dyDescent="0.2">
      <c r="A50" s="11">
        <f t="shared" si="31"/>
        <v>47</v>
      </c>
      <c r="B50" s="74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19.777777777777779</v>
      </c>
      <c r="N50" s="14">
        <f>IF('Données projet'!$A$36&gt;35,N49+M50-V49,IF(A50&lt;'Données projet'!$A$36,$K$205^A50,IF(A50='Données projet'!$A$36,'Données projet'!$B$36,N49+M50-V49)))</f>
        <v>375.88888888888903</v>
      </c>
      <c r="O50" s="14">
        <f>N50*VLOOKUP('Données projet'!$B$9,Paramètres!$A$1:$I$89,3,0)*VLOOKUP('Données projet'!$B$9,Paramètres!$A$1:$I$89,5,0)</f>
        <v>322.51266666666686</v>
      </c>
      <c r="P50" s="14">
        <f t="shared" si="33"/>
        <v>75.875924604698398</v>
      </c>
      <c r="Q50" s="22">
        <f t="shared" si="53"/>
        <v>693.86012979762791</v>
      </c>
      <c r="R50" s="62">
        <f t="shared" si="0"/>
        <v>987.19346313096116</v>
      </c>
      <c r="S50" s="62">
        <f ca="1">AVERAGE(OFFSET($R$3,0,0,'Données projet'!$E$9+1,1))-AVERAGE(OFFSET($H$3,0,0,'Données projet'!$E$9+1,1))</f>
        <v>623.31285537237943</v>
      </c>
      <c r="T50" s="62">
        <f t="shared" si="34"/>
        <v>462.33909258902241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40.536648604561655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40.536648604561655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8.6</v>
      </c>
      <c r="AI50" s="14">
        <f>IF('Données projet'!$A$62&gt;35,AI49+AH50-AQ49,IF(A50&lt;'Données projet'!$A$62,$AF$205^A50,IF(A50='Données projet'!$A$62,'Données projet'!$B$62,AI49+AH50-AQ49)))</f>
        <v>235.2000000000001</v>
      </c>
      <c r="AJ50" s="14">
        <f>AI50*VLOOKUP('Données projet'!$B$10,Paramètres!$A$1:$I$89,3,0)*VLOOKUP('Données projet'!$B$10,Paramètres!$A$1:$I$89,5,0)</f>
        <v>205.47072000000011</v>
      </c>
      <c r="AK50" s="14">
        <f t="shared" si="35"/>
        <v>50.944571570352757</v>
      </c>
      <c r="AL50" s="22">
        <f t="shared" si="4"/>
        <v>446.58996615169781</v>
      </c>
      <c r="AM50" s="62">
        <f t="shared" si="5"/>
        <v>739.92329948503107</v>
      </c>
      <c r="AN50" s="62">
        <f ca="1">AVERAGE(OFFSET($AM$3,0,0,'Données projet'!$E$10+1,1))-AVERAGE(OFFSET($H$3,0,0,'Données projet'!$E$10+1,1))</f>
        <v>390.70479111593545</v>
      </c>
      <c r="AO50" s="62">
        <f t="shared" si="36"/>
        <v>374.99493809709708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17.791815840762702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17.791815840762702</v>
      </c>
      <c r="AY50" s="7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8.6</v>
      </c>
      <c r="BD50" s="13">
        <f>IF('Données projet'!$A$88&gt;35,BD49+BC50-BL49,IF(A50&lt;'Données projet'!$A$88,$BA$205^A50,IF(A50='Données projet'!$A$88,'Données projet'!$B$88,BD49+BC50-BL49)))</f>
        <v>235.2000000000001</v>
      </c>
      <c r="BE50" s="14">
        <f>BD50*VLOOKUP('Données projet'!$B$11,Paramètres!$A$1:$I$89,3,0)*VLOOKUP('Données projet'!$B$11,Paramètres!$A$1:$I$89,5,0)</f>
        <v>187.12512000000009</v>
      </c>
      <c r="BF50" s="14">
        <f t="shared" si="37"/>
        <v>46.903794805770545</v>
      </c>
      <c r="BG50" s="22">
        <f t="shared" si="7"/>
        <v>407.60035995338382</v>
      </c>
      <c r="BH50" s="62">
        <f t="shared" si="8"/>
        <v>700.93369328671713</v>
      </c>
      <c r="BI50" s="62">
        <f ca="1">AVERAGE(OFFSET($BH$3,0,0,'Données projet'!$E$11+1,1))-AVERAGE(OFFSET($H$3,0,0,'Données projet'!$E$11+1,1))</f>
        <v>359.18294335011535</v>
      </c>
      <c r="BJ50" s="62">
        <f t="shared" si="38"/>
        <v>345.47508134331241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16.203260854980321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16.203260854980321</v>
      </c>
      <c r="BT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8.6</v>
      </c>
      <c r="BY50" s="13">
        <f>IF('Données projet'!$A$114&gt;35,BY49+BX50-CG49,IF(A50&lt;'Données projet'!$A$114,$BV$205^A50,IF(A50='Données projet'!$A$114,'Données projet'!$B$114,BY49+BX50-CG49)))</f>
        <v>235.2000000000001</v>
      </c>
      <c r="BZ50" s="14">
        <f>BY50*VLOOKUP('Données projet'!$B$12,Paramètres!$A$1:$I$89,3,0)*VLOOKUP('Données projet'!$B$12,Paramètres!$A$1:$I$89,5,0)</f>
        <v>172.44864000000007</v>
      </c>
      <c r="CA50" s="14">
        <f t="shared" si="39"/>
        <v>43.637980200453718</v>
      </c>
      <c r="CB50" s="22">
        <f t="shared" si="10"/>
        <v>376.35086351579031</v>
      </c>
      <c r="CC50" s="62">
        <f t="shared" si="11"/>
        <v>669.68419684912362</v>
      </c>
      <c r="CD50" s="62">
        <f ca="1">AVERAGE(OFFSET($CC$3,0,0,'Données projet'!$E$12+1,1))-AVERAGE(OFFSET($H$3,0,0,'Données projet'!$E$12+1,1))</f>
        <v>333.9187211440219</v>
      </c>
      <c r="CE50" s="62">
        <f t="shared" si="40"/>
        <v>321.81422611044997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12.114979721759237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12.114979721759237</v>
      </c>
      <c r="CO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8.6</v>
      </c>
      <c r="CT50" s="13">
        <f>IF('Données projet'!$A$140&gt;35,CT49+CS50-DB49,IF(A50&lt;'Données projet'!$A$140,$CQ$205^A50,IF(A50='Données projet'!$A$140,'Données projet'!$B$140,CT49+CS50-DB49)))</f>
        <v>235.2000000000001</v>
      </c>
      <c r="CU50" s="18">
        <f>CT50*VLOOKUP('Données projet'!$B$13,Paramètres!$A$1:$I$89,3,0)*VLOOKUP('Données projet'!$B$13,Paramètres!$A$1:$I$89,5,0)</f>
        <v>190.79424000000009</v>
      </c>
      <c r="CV50" s="14">
        <f t="shared" si="41"/>
        <v>47.715505384501149</v>
      </c>
      <c r="CW50" s="22">
        <f t="shared" si="13"/>
        <v>415.40447321133962</v>
      </c>
      <c r="CX50" s="62">
        <f t="shared" si="14"/>
        <v>708.73780654467294</v>
      </c>
      <c r="CY50" s="62">
        <f ca="1">AVERAGE(OFFSET($CX$3,0,0,'Données projet'!$E$13+1,1))-AVERAGE(OFFSET($H$3,0,0,'Données projet'!$E$13+1,1))</f>
        <v>365.492319515595</v>
      </c>
      <c r="CZ50" s="62">
        <f t="shared" si="42"/>
        <v>351.38386928091433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13.403807351733626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13.403807351733626</v>
      </c>
      <c r="DJ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9.3712500000000034</v>
      </c>
      <c r="DO50" s="13">
        <f>IF('Données projet'!$A$166&gt;35,DO49+DN50-DW49,IF(A50&lt;'Données projet'!$A$166,$DL$205^A50,IF(A50='Données projet'!$A$166,'Données projet'!$B$166,DO49+DN50-DW49)))</f>
        <v>166.90625000000011</v>
      </c>
      <c r="DP50" s="18">
        <f>DO50*VLOOKUP('Données projet'!$B$14,Paramètres!$A$1:$I$89,3,0)*VLOOKUP('Données projet'!$B$14,Paramètres!$A$1:$I$89,5,0)</f>
        <v>140.6018250000001</v>
      </c>
      <c r="DQ50" s="14">
        <f t="shared" si="43"/>
        <v>36.434840713227381</v>
      </c>
      <c r="DR50" s="22">
        <f t="shared" si="16"/>
        <v>308.33885945053788</v>
      </c>
      <c r="DS50" s="62">
        <f t="shared" si="17"/>
        <v>601.6721927838712</v>
      </c>
      <c r="DT50" s="62">
        <f ca="1">AVERAGE(OFFSET($DS$3,0,0,'Données projet'!$E$14+1,1))-AVERAGE(OFFSET($H$3,0,0,'Données projet'!$E$14+1,1))</f>
        <v>544.89250424794909</v>
      </c>
      <c r="DU50" s="62">
        <f t="shared" si="44"/>
        <v>253.98688498110715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3.1343240928918004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3.1343240928918004</v>
      </c>
      <c r="EE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9.3712500000000034</v>
      </c>
      <c r="EJ50" s="13">
        <f>IF('Données projet'!$A$192&gt;35,EJ49+EI50-ER49,IF(A50&lt;'Données projet'!$A$192,$EG$205^A50,IF(A50='Données projet'!$A$192,'Données projet'!$B$192,EJ49+EI50-ER49)))</f>
        <v>166.90625000000011</v>
      </c>
      <c r="EK50" s="18">
        <f>EJ50*VLOOKUP('Données projet'!$B$15,Paramètres!$A$1:$I$89,3,0)*VLOOKUP('Données projet'!$B$15,Paramètres!$A$1:$I$89,5,0)</f>
        <v>151.01677500000011</v>
      </c>
      <c r="EL50" s="14">
        <f t="shared" si="45"/>
        <v>38.809560459830927</v>
      </c>
      <c r="EM50" s="22">
        <f t="shared" si="19"/>
        <v>330.61420092587235</v>
      </c>
      <c r="EN50" s="62">
        <f t="shared" si="20"/>
        <v>623.94753425920567</v>
      </c>
      <c r="EO50" s="62">
        <f ca="1">AVERAGE(OFFSET($EN$3,0,0,'Données projet'!$E$15+1,1))-AVERAGE(OFFSET($H$3,0,0,'Données projet'!$E$15+1,1))</f>
        <v>581.88778927327667</v>
      </c>
      <c r="EP50" s="62">
        <f t="shared" si="46"/>
        <v>269.67340993773422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3.3664962479208218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3.3664962479208218</v>
      </c>
      <c r="EZ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9.3712500000000034</v>
      </c>
      <c r="FE50" s="13">
        <f>IF('Données projet'!$A$218&gt;35,FE49+FD50-FM49,IF(A50&lt;'Données projet'!$A$218,$FB$205^A50,IF(A50='Données projet'!$A$218,'Données projet'!$B$218,FE49+FD50-FM49)))</f>
        <v>166.90625000000011</v>
      </c>
      <c r="FF50" s="18">
        <f>FE50*VLOOKUP('Données projet'!$B$16,Paramètres!$A$1:$I$89,3,0)*VLOOKUP('Données projet'!$B$16,Paramètres!$A$1:$I$89,5,0)</f>
        <v>169.24293750000012</v>
      </c>
      <c r="FG50" s="14">
        <f t="shared" si="47"/>
        <v>42.920422750313541</v>
      </c>
      <c r="FH50" s="22">
        <f t="shared" si="22"/>
        <v>369.51785243596299</v>
      </c>
      <c r="FI50" s="62">
        <f t="shared" si="23"/>
        <v>662.85118576929631</v>
      </c>
      <c r="FJ50" s="62">
        <f ca="1">AVERAGE(OFFSET($FI$3,0,0,'Données projet'!$E$16+1,1))-AVERAGE(OFFSET($H$3,0,0,'Données projet'!$E$16+1,1))</f>
        <v>646.50767193970182</v>
      </c>
      <c r="FK50" s="62">
        <f t="shared" si="48"/>
        <v>297.06786598620607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3.7727975192216121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3.7727975192216121</v>
      </c>
      <c r="FU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9.3712500000000034</v>
      </c>
      <c r="FZ50" s="13">
        <f>IF('Données projet'!$A$244&gt;35,FZ49+FY50-GH49,IF(A50&lt;'Données projet'!$A$244,$FW$205^A50,IF(A50='Données projet'!$A$244,'Données projet'!$B$244,FZ49+FY50-GH49)))</f>
        <v>166.90625000000011</v>
      </c>
      <c r="GA50" s="18">
        <f>FZ50*VLOOKUP('Données projet'!$B$17,Paramètres!$A$1:$I$89,3,0)*VLOOKUP('Données projet'!$B$17,Paramètres!$A$1:$I$89,5,0)</f>
        <v>111.96071250000007</v>
      </c>
      <c r="GB50" s="14">
        <f t="shared" si="49"/>
        <v>29.792467645539148</v>
      </c>
      <c r="GC50" s="22">
        <f t="shared" si="25"/>
        <v>246.8867887534808</v>
      </c>
      <c r="GD50" s="62">
        <f t="shared" si="26"/>
        <v>540.22012208681417</v>
      </c>
      <c r="GE50" s="62">
        <f ca="1">AVERAGE(OFFSET($GD$3,0,0,'Données projet'!$E$17+1,1))-AVERAGE(OFFSET($H$3,0,0,'Données projet'!$E$17+1,1))</f>
        <v>442.85175349826028</v>
      </c>
      <c r="GF50" s="62">
        <f t="shared" si="50"/>
        <v>210.70697808232501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3.0762810541345456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3.0762810541345456</v>
      </c>
      <c r="GP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8.8000000000000007</v>
      </c>
      <c r="GU50" s="13">
        <f>IF('Données projet'!$A$270&gt;35,GU49+GT50-HC49,IF(A50&lt;'Données projet'!$A$270,$GR$205^A50,IF(A50='Données projet'!$A$270,'Données projet'!$B$270,GU49+GT50-HC49)))</f>
        <v>190.59999999999997</v>
      </c>
      <c r="GV50" s="18">
        <f>GU50*VLOOKUP('Données projet'!$B$18,Paramètres!$A$1:$I$89,3,0)*VLOOKUP('Données projet'!$B$18,Paramètres!$A$1:$I$89,5,0)</f>
        <v>181.37495999999996</v>
      </c>
      <c r="GW50" s="14">
        <f t="shared" si="51"/>
        <v>45.627953823917188</v>
      </c>
      <c r="GX50" s="22">
        <f t="shared" si="28"/>
        <v>395.36340824332228</v>
      </c>
      <c r="GY50" s="62">
        <f t="shared" si="29"/>
        <v>688.69674157665554</v>
      </c>
      <c r="GZ50" s="62">
        <f ca="1">AVERAGE(OFFSET($GY$3,0,0,'Données projet'!$E$18+1,1))-AVERAGE(OFFSET($H$3,0,0,'Données projet'!$E$18+1,1))</f>
        <v>420.2510366318939</v>
      </c>
      <c r="HA50" s="62">
        <f t="shared" si="52"/>
        <v>220.59884411514116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6.9881919892200761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0</v>
      </c>
      <c r="HJ50" s="24">
        <f t="shared" si="30"/>
        <v>6.9881919892200761</v>
      </c>
    </row>
    <row r="51" spans="1:218" s="5" customFormat="1" x14ac:dyDescent="0.2">
      <c r="A51" s="11">
        <f t="shared" si="31"/>
        <v>48</v>
      </c>
      <c r="B51" s="74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19.777777777777779</v>
      </c>
      <c r="N51" s="14">
        <f>IF('Données projet'!$A$36&gt;35,N50+M51-V50,IF(A51&lt;'Données projet'!$A$36,$K$205^A51,IF(A51='Données projet'!$A$36,'Données projet'!$B$36,N50+M51-V50)))</f>
        <v>395.6666666666668</v>
      </c>
      <c r="O51" s="14">
        <f>N51*VLOOKUP('Données projet'!$B$9,Paramètres!$A$1:$I$89,3,0)*VLOOKUP('Données projet'!$B$9,Paramètres!$A$1:$I$89,5,0)</f>
        <v>339.48200000000014</v>
      </c>
      <c r="P51" s="14">
        <f t="shared" si="33"/>
        <v>79.392914847187868</v>
      </c>
      <c r="Q51" s="22">
        <f t="shared" si="53"/>
        <v>729.54047669218573</v>
      </c>
      <c r="R51" s="62">
        <f t="shared" si="0"/>
        <v>1022.8738100255191</v>
      </c>
      <c r="S51" s="62">
        <f ca="1">AVERAGE(OFFSET($R$3,0,0,'Données projet'!$E$9+1,1))-AVERAGE(OFFSET($H$3,0,0,'Données projet'!$E$9+1,1))</f>
        <v>623.31285537237943</v>
      </c>
      <c r="T51" s="62">
        <f t="shared" si="34"/>
        <v>462.33909258902241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39.741749650340466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39.741749650340466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8.6</v>
      </c>
      <c r="AI51" s="14">
        <f>IF('Données projet'!$A$62&gt;35,AI50+AH51-AQ50,IF(A51&lt;'Données projet'!$A$62,$AF$205^A51,IF(A51='Données projet'!$A$62,'Données projet'!$B$62,AI50+AH51-AQ50)))</f>
        <v>243.8000000000001</v>
      </c>
      <c r="AJ51" s="14">
        <f>AI51*VLOOKUP('Données projet'!$B$10,Paramètres!$A$1:$I$89,3,0)*VLOOKUP('Données projet'!$B$10,Paramètres!$A$1:$I$89,5,0)</f>
        <v>212.98368000000013</v>
      </c>
      <c r="AK51" s="14">
        <f t="shared" si="35"/>
        <v>52.587058525970413</v>
      </c>
      <c r="AL51" s="22">
        <f t="shared" si="4"/>
        <v>462.53570293273202</v>
      </c>
      <c r="AM51" s="62">
        <f t="shared" si="5"/>
        <v>755.86903626606534</v>
      </c>
      <c r="AN51" s="62">
        <f ca="1">AVERAGE(OFFSET($AM$3,0,0,'Données projet'!$E$10+1,1))-AVERAGE(OFFSET($H$3,0,0,'Données projet'!$E$10+1,1))</f>
        <v>390.70479111593545</v>
      </c>
      <c r="AO51" s="62">
        <f t="shared" si="36"/>
        <v>374.99493809709708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17.44292918406147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17.44292918406147</v>
      </c>
      <c r="AY51" s="7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8.6</v>
      </c>
      <c r="BD51" s="13">
        <f>IF('Données projet'!$A$88&gt;35,BD50+BC51-BL50,IF(A51&lt;'Données projet'!$A$88,$BA$205^A51,IF(A51='Données projet'!$A$88,'Données projet'!$B$88,BD50+BC51-BL50)))</f>
        <v>243.8000000000001</v>
      </c>
      <c r="BE51" s="14">
        <f>BD51*VLOOKUP('Données projet'!$B$11,Paramètres!$A$1:$I$89,3,0)*VLOOKUP('Données projet'!$B$11,Paramètres!$A$1:$I$89,5,0)</f>
        <v>193.96728000000007</v>
      </c>
      <c r="BF51" s="14">
        <f t="shared" si="37"/>
        <v>48.41600442423902</v>
      </c>
      <c r="BG51" s="22">
        <f t="shared" si="7"/>
        <v>422.15088703888301</v>
      </c>
      <c r="BH51" s="62">
        <f t="shared" si="8"/>
        <v>715.48422037221633</v>
      </c>
      <c r="BI51" s="62">
        <f ca="1">AVERAGE(OFFSET($BH$3,0,0,'Données projet'!$E$11+1,1))-AVERAGE(OFFSET($H$3,0,0,'Données projet'!$E$11+1,1))</f>
        <v>359.18294335011535</v>
      </c>
      <c r="BJ51" s="62">
        <f t="shared" si="38"/>
        <v>345.47508134331241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15.885524792627413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15.885524792627413</v>
      </c>
      <c r="BT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8.6</v>
      </c>
      <c r="BY51" s="13">
        <f>IF('Données projet'!$A$114&gt;35,BY50+BX51-CG50,IF(A51&lt;'Données projet'!$A$114,$BV$205^A51,IF(A51='Données projet'!$A$114,'Données projet'!$B$114,BY50+BX51-CG50)))</f>
        <v>243.8000000000001</v>
      </c>
      <c r="BZ51" s="14">
        <f>BY51*VLOOKUP('Données projet'!$B$12,Paramètres!$A$1:$I$89,3,0)*VLOOKUP('Données projet'!$B$12,Paramètres!$A$1:$I$89,5,0)</f>
        <v>178.75416000000007</v>
      </c>
      <c r="CA51" s="14">
        <f t="shared" si="39"/>
        <v>45.044897778507469</v>
      </c>
      <c r="CB51" s="22">
        <f t="shared" si="10"/>
        <v>389.78335896423397</v>
      </c>
      <c r="CC51" s="62">
        <f t="shared" si="11"/>
        <v>683.11669229756728</v>
      </c>
      <c r="CD51" s="62">
        <f ca="1">AVERAGE(OFFSET($CC$3,0,0,'Données projet'!$E$12+1,1))-AVERAGE(OFFSET($H$3,0,0,'Données projet'!$E$12+1,1))</f>
        <v>333.9187211440219</v>
      </c>
      <c r="CE51" s="62">
        <f t="shared" si="40"/>
        <v>321.81422611044997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11.877412358823525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11.877412358823525</v>
      </c>
      <c r="CO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8.6</v>
      </c>
      <c r="CT51" s="13">
        <f>IF('Données projet'!$A$140&gt;35,CT50+CS51-DB50,IF(A51&lt;'Données projet'!$A$140,$CQ$205^A51,IF(A51='Données projet'!$A$140,'Données projet'!$B$140,CT50+CS51-DB50)))</f>
        <v>243.8000000000001</v>
      </c>
      <c r="CU51" s="18">
        <f>CT51*VLOOKUP('Données projet'!$B$13,Paramètres!$A$1:$I$89,3,0)*VLOOKUP('Données projet'!$B$13,Paramètres!$A$1:$I$89,5,0)</f>
        <v>197.7705600000001</v>
      </c>
      <c r="CV51" s="14">
        <f t="shared" si="41"/>
        <v>49.253885093250254</v>
      </c>
      <c r="CW51" s="22">
        <f t="shared" si="13"/>
        <v>430.23424187074437</v>
      </c>
      <c r="CX51" s="62">
        <f t="shared" si="14"/>
        <v>723.56757520407768</v>
      </c>
      <c r="CY51" s="62">
        <f ca="1">AVERAGE(OFFSET($CX$3,0,0,'Données projet'!$E$13+1,1))-AVERAGE(OFFSET($H$3,0,0,'Données projet'!$E$13+1,1))</f>
        <v>365.492319515595</v>
      </c>
      <c r="CZ51" s="62">
        <f t="shared" si="42"/>
        <v>351.38386928091433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13.140966865081349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13.140966865081349</v>
      </c>
      <c r="DJ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9.3712500000000034</v>
      </c>
      <c r="DO51" s="13">
        <f>IF('Données projet'!$A$166&gt;35,DO50+DN51-DW50,IF(A51&lt;'Données projet'!$A$166,$DL$205^A51,IF(A51='Données projet'!$A$166,'Données projet'!$B$166,DO50+DN51-DW50)))</f>
        <v>176.27750000000012</v>
      </c>
      <c r="DP51" s="18">
        <f>DO51*VLOOKUP('Données projet'!$B$14,Paramètres!$A$1:$I$89,3,0)*VLOOKUP('Données projet'!$B$14,Paramètres!$A$1:$I$89,5,0)</f>
        <v>148.4961660000001</v>
      </c>
      <c r="DQ51" s="14">
        <f t="shared" si="43"/>
        <v>38.236633792258431</v>
      </c>
      <c r="DR51" s="22">
        <f t="shared" si="16"/>
        <v>325.2262929715169</v>
      </c>
      <c r="DS51" s="62">
        <f t="shared" si="17"/>
        <v>618.55962630485021</v>
      </c>
      <c r="DT51" s="62">
        <f ca="1">AVERAGE(OFFSET($DS$3,0,0,'Données projet'!$E$14+1,1))-AVERAGE(OFFSET($H$3,0,0,'Données projet'!$E$14+1,1))</f>
        <v>544.89250424794909</v>
      </c>
      <c r="DU51" s="62">
        <f t="shared" si="44"/>
        <v>253.98688498110715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3.0728619091791192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3.0728619091791192</v>
      </c>
      <c r="EE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9.3712500000000034</v>
      </c>
      <c r="EJ51" s="13">
        <f>IF('Données projet'!$A$192&gt;35,EJ50+EI51-ER50,IF(A51&lt;'Données projet'!$A$192,$EG$205^A51,IF(A51='Données projet'!$A$192,'Données projet'!$B$192,EJ50+EI51-ER50)))</f>
        <v>176.27750000000012</v>
      </c>
      <c r="EK51" s="18">
        <f>EJ51*VLOOKUP('Données projet'!$B$15,Paramètres!$A$1:$I$89,3,0)*VLOOKUP('Données projet'!$B$15,Paramètres!$A$1:$I$89,5,0)</f>
        <v>159.49588200000008</v>
      </c>
      <c r="EL51" s="14">
        <f t="shared" si="45"/>
        <v>40.728789309687656</v>
      </c>
      <c r="EM51" s="22">
        <f t="shared" si="19"/>
        <v>348.72463586437283</v>
      </c>
      <c r="EN51" s="62">
        <f t="shared" si="20"/>
        <v>642.05796919770614</v>
      </c>
      <c r="EO51" s="62">
        <f ca="1">AVERAGE(OFFSET($EN$3,0,0,'Données projet'!$E$15+1,1))-AVERAGE(OFFSET($H$3,0,0,'Données projet'!$E$15+1,1))</f>
        <v>581.88778927327667</v>
      </c>
      <c r="EP51" s="62">
        <f t="shared" si="46"/>
        <v>269.67340993773422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3.3004813098590531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3.3004813098590531</v>
      </c>
      <c r="EZ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9.3712500000000034</v>
      </c>
      <c r="FE51" s="13">
        <f>IF('Données projet'!$A$218&gt;35,FE50+FD51-FM50,IF(A51&lt;'Données projet'!$A$218,$FB$205^A51,IF(A51='Données projet'!$A$218,'Données projet'!$B$218,FE50+FD51-FM50)))</f>
        <v>176.27750000000012</v>
      </c>
      <c r="FF51" s="18">
        <f>FE51*VLOOKUP('Données projet'!$B$16,Paramètres!$A$1:$I$89,3,0)*VLOOKUP('Données projet'!$B$16,Paramètres!$A$1:$I$89,5,0)</f>
        <v>178.74538500000011</v>
      </c>
      <c r="FG51" s="14">
        <f t="shared" si="47"/>
        <v>45.042943918150705</v>
      </c>
      <c r="FH51" s="22">
        <f t="shared" si="22"/>
        <v>389.76467286577935</v>
      </c>
      <c r="FI51" s="62">
        <f t="shared" si="23"/>
        <v>683.09800619911266</v>
      </c>
      <c r="FJ51" s="62">
        <f ca="1">AVERAGE(OFFSET($FI$3,0,0,'Données projet'!$E$16+1,1))-AVERAGE(OFFSET($H$3,0,0,'Données projet'!$E$16+1,1))</f>
        <v>646.50767193970182</v>
      </c>
      <c r="FK51" s="62">
        <f t="shared" si="48"/>
        <v>297.06786598620607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3.6988152610489404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3.6988152610489404</v>
      </c>
      <c r="FU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9.3712500000000034</v>
      </c>
      <c r="FZ51" s="13">
        <f>IF('Données projet'!$A$244&gt;35,FZ50+FY51-GH50,IF(A51&lt;'Données projet'!$A$244,$FW$205^A51,IF(A51='Données projet'!$A$244,'Données projet'!$B$244,FZ50+FY51-GH50)))</f>
        <v>176.27750000000012</v>
      </c>
      <c r="GA51" s="18">
        <f>FZ51*VLOOKUP('Données projet'!$B$17,Paramètres!$A$1:$I$89,3,0)*VLOOKUP('Données projet'!$B$17,Paramètres!$A$1:$I$89,5,0)</f>
        <v>118.24694700000009</v>
      </c>
      <c r="GB51" s="14">
        <f t="shared" si="49"/>
        <v>31.265778931115893</v>
      </c>
      <c r="GC51" s="22">
        <f t="shared" si="25"/>
        <v>260.40133099669362</v>
      </c>
      <c r="GD51" s="62">
        <f t="shared" si="26"/>
        <v>553.73466433002693</v>
      </c>
      <c r="GE51" s="62">
        <f ca="1">AVERAGE(OFFSET($GD$3,0,0,'Données projet'!$E$17+1,1))-AVERAGE(OFFSET($H$3,0,0,'Données projet'!$E$17+1,1))</f>
        <v>442.85175349826028</v>
      </c>
      <c r="GF51" s="62">
        <f t="shared" si="50"/>
        <v>210.70697808232501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3.0159570590091365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3.0159570590091365</v>
      </c>
      <c r="GP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8.8000000000000007</v>
      </c>
      <c r="GU51" s="13">
        <f>IF('Données projet'!$A$270&gt;35,GU50+GT51-HC50,IF(A51&lt;'Données projet'!$A$270,$GR$205^A51,IF(A51='Données projet'!$A$270,'Données projet'!$B$270,GU50+GT51-HC50)))</f>
        <v>199.39999999999998</v>
      </c>
      <c r="GV51" s="18">
        <f>GU51*VLOOKUP('Données projet'!$B$18,Paramètres!$A$1:$I$89,3,0)*VLOOKUP('Données projet'!$B$18,Paramètres!$A$1:$I$89,5,0)</f>
        <v>189.74903999999998</v>
      </c>
      <c r="GW51" s="14">
        <f t="shared" si="51"/>
        <v>47.484464891115351</v>
      </c>
      <c r="GX51" s="22">
        <f t="shared" si="28"/>
        <v>413.18168768535912</v>
      </c>
      <c r="GY51" s="62">
        <f t="shared" si="29"/>
        <v>706.51502101869244</v>
      </c>
      <c r="GZ51" s="62">
        <f ca="1">AVERAGE(OFFSET($GY$3,0,0,'Données projet'!$E$18+1,1))-AVERAGE(OFFSET($H$3,0,0,'Données projet'!$E$18+1,1))</f>
        <v>420.2510366318939</v>
      </c>
      <c r="HA51" s="62">
        <f t="shared" si="52"/>
        <v>220.59884411514116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6.8511578066877092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0</v>
      </c>
      <c r="HJ51" s="24">
        <f t="shared" si="30"/>
        <v>6.8511578066877092</v>
      </c>
    </row>
    <row r="52" spans="1:218" s="5" customFormat="1" x14ac:dyDescent="0.2">
      <c r="A52" s="11">
        <f t="shared" si="31"/>
        <v>49</v>
      </c>
      <c r="B52" s="74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19.777777777777779</v>
      </c>
      <c r="N52" s="14">
        <f>IF('Données projet'!$A$36&gt;35,N51+M52-V51,IF(A52&lt;'Données projet'!$A$36,$K$205^A52,IF(A52='Données projet'!$A$36,'Données projet'!$B$36,N51+M52-V51)))</f>
        <v>415.44444444444457</v>
      </c>
      <c r="O52" s="14">
        <f>N52*VLOOKUP('Données projet'!$B$9,Paramètres!$A$1:$I$89,3,0)*VLOOKUP('Données projet'!$B$9,Paramètres!$A$1:$I$89,5,0)</f>
        <v>356.45133333333348</v>
      </c>
      <c r="P52" s="14">
        <f t="shared" si="33"/>
        <v>82.889492395711216</v>
      </c>
      <c r="Q52" s="22">
        <f t="shared" si="53"/>
        <v>765.18527147808618</v>
      </c>
      <c r="R52" s="62">
        <f t="shared" si="0"/>
        <v>1058.5186048114194</v>
      </c>
      <c r="S52" s="62">
        <f ca="1">AVERAGE(OFFSET($R$3,0,0,'Données projet'!$E$9+1,1))-AVERAGE(OFFSET($H$3,0,0,'Données projet'!$E$9+1,1))</f>
        <v>623.31285537237943</v>
      </c>
      <c r="T52" s="62">
        <f t="shared" si="34"/>
        <v>462.33909258902241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38.96243817977107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38.96243817977107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8.6</v>
      </c>
      <c r="AI52" s="14">
        <f>IF('Données projet'!$A$62&gt;35,AI51+AH52-AQ51,IF(A52&lt;'Données projet'!$A$62,$AF$205^A52,IF(A52='Données projet'!$A$62,'Données projet'!$B$62,AI51+AH52-AQ51)))</f>
        <v>252.40000000000009</v>
      </c>
      <c r="AJ52" s="14">
        <f>AI52*VLOOKUP('Données projet'!$B$10,Paramètres!$A$1:$I$89,3,0)*VLOOKUP('Données projet'!$B$10,Paramètres!$A$1:$I$89,5,0)</f>
        <v>220.4966400000001</v>
      </c>
      <c r="AK52" s="14">
        <f t="shared" si="35"/>
        <v>54.222813800824916</v>
      </c>
      <c r="AL52" s="22">
        <f t="shared" si="4"/>
        <v>478.46971536977026</v>
      </c>
      <c r="AM52" s="62">
        <f t="shared" si="5"/>
        <v>771.80304870310351</v>
      </c>
      <c r="AN52" s="62">
        <f ca="1">AVERAGE(OFFSET($AM$3,0,0,'Données projet'!$E$10+1,1))-AVERAGE(OFFSET($H$3,0,0,'Données projet'!$E$10+1,1))</f>
        <v>390.70479111593545</v>
      </c>
      <c r="AO52" s="62">
        <f t="shared" si="36"/>
        <v>374.99493809709708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17.100883981898299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17.100883981898299</v>
      </c>
      <c r="AY52" s="7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8.6</v>
      </c>
      <c r="BD52" s="13">
        <f>IF('Données projet'!$A$88&gt;35,BD51+BC52-BL51,IF(A52&lt;'Données projet'!$A$88,$BA$205^A52,IF(A52='Données projet'!$A$88,'Données projet'!$B$88,BD51+BC52-BL51)))</f>
        <v>252.40000000000009</v>
      </c>
      <c r="BE52" s="14">
        <f>BD52*VLOOKUP('Données projet'!$B$11,Paramètres!$A$1:$I$89,3,0)*VLOOKUP('Données projet'!$B$11,Paramètres!$A$1:$I$89,5,0)</f>
        <v>200.80944000000008</v>
      </c>
      <c r="BF52" s="14">
        <f t="shared" si="37"/>
        <v>49.922016299484312</v>
      </c>
      <c r="BG52" s="22">
        <f t="shared" si="7"/>
        <v>436.69061972160199</v>
      </c>
      <c r="BH52" s="62">
        <f t="shared" si="8"/>
        <v>730.0239530549353</v>
      </c>
      <c r="BI52" s="62">
        <f ca="1">AVERAGE(OFFSET($BH$3,0,0,'Données projet'!$E$11+1,1))-AVERAGE(OFFSET($H$3,0,0,'Données projet'!$E$11+1,1))</f>
        <v>359.18294335011535</v>
      </c>
      <c r="BJ52" s="62">
        <f t="shared" si="38"/>
        <v>345.47508134331241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15.574019340657383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15.574019340657383</v>
      </c>
      <c r="BT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8.6</v>
      </c>
      <c r="BY52" s="13">
        <f>IF('Données projet'!$A$114&gt;35,BY51+BX52-CG51,IF(A52&lt;'Données projet'!$A$114,$BV$205^A52,IF(A52='Données projet'!$A$114,'Données projet'!$B$114,BY51+BX52-CG51)))</f>
        <v>252.40000000000009</v>
      </c>
      <c r="BZ52" s="14">
        <f>BY52*VLOOKUP('Données projet'!$B$12,Paramètres!$A$1:$I$89,3,0)*VLOOKUP('Données projet'!$B$12,Paramètres!$A$1:$I$89,5,0)</f>
        <v>185.05968000000007</v>
      </c>
      <c r="CA52" s="14">
        <f t="shared" si="39"/>
        <v>46.44604914943055</v>
      </c>
      <c r="CB52" s="22">
        <f t="shared" si="10"/>
        <v>403.20581160192501</v>
      </c>
      <c r="CC52" s="62">
        <f t="shared" si="11"/>
        <v>696.53914493525826</v>
      </c>
      <c r="CD52" s="62">
        <f ca="1">AVERAGE(OFFSET($CC$3,0,0,'Données projet'!$E$12+1,1))-AVERAGE(OFFSET($H$3,0,0,'Données projet'!$E$12+1,1))</f>
        <v>333.9187211440219</v>
      </c>
      <c r="CE52" s="62">
        <f t="shared" si="40"/>
        <v>321.81422611044997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11.644503546973199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11.644503546973199</v>
      </c>
      <c r="CO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8.6</v>
      </c>
      <c r="CT52" s="13">
        <f>IF('Données projet'!$A$140&gt;35,CT51+CS52-DB51,IF(A52&lt;'Données projet'!$A$140,$CQ$205^A52,IF(A52='Données projet'!$A$140,'Données projet'!$B$140,CT51+CS52-DB51)))</f>
        <v>252.40000000000009</v>
      </c>
      <c r="CU52" s="18">
        <f>CT52*VLOOKUP('Données projet'!$B$13,Paramètres!$A$1:$I$89,3,0)*VLOOKUP('Données projet'!$B$13,Paramètres!$A$1:$I$89,5,0)</f>
        <v>204.74688000000009</v>
      </c>
      <c r="CV52" s="14">
        <f t="shared" si="41"/>
        <v>50.785959801489987</v>
      </c>
      <c r="CW52" s="22">
        <f t="shared" si="13"/>
        <v>445.05302932092849</v>
      </c>
      <c r="CX52" s="62">
        <f t="shared" si="14"/>
        <v>738.3863626542618</v>
      </c>
      <c r="CY52" s="62">
        <f ca="1">AVERAGE(OFFSET($CX$3,0,0,'Données projet'!$E$13+1,1))-AVERAGE(OFFSET($H$3,0,0,'Données projet'!$E$13+1,1))</f>
        <v>365.492319515595</v>
      </c>
      <c r="CZ52" s="62">
        <f t="shared" si="42"/>
        <v>351.38386928091433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12.883280520055457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12.883280520055457</v>
      </c>
      <c r="DJ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9.3712500000000034</v>
      </c>
      <c r="DO52" s="13">
        <f>IF('Données projet'!$A$166&gt;35,DO51+DN52-DW51,IF(A52&lt;'Données projet'!$A$166,$DL$205^A52,IF(A52='Données projet'!$A$166,'Données projet'!$B$166,DO51+DN52-DW51)))</f>
        <v>185.64875000000012</v>
      </c>
      <c r="DP52" s="18">
        <f>DO52*VLOOKUP('Données projet'!$B$14,Paramètres!$A$1:$I$89,3,0)*VLOOKUP('Données projet'!$B$14,Paramètres!$A$1:$I$89,5,0)</f>
        <v>156.39050700000013</v>
      </c>
      <c r="DQ52" s="14">
        <f t="shared" si="43"/>
        <v>40.027306186877958</v>
      </c>
      <c r="DR52" s="22">
        <f t="shared" si="16"/>
        <v>342.09435796714598</v>
      </c>
      <c r="DS52" s="62">
        <f t="shared" si="17"/>
        <v>635.4276913004793</v>
      </c>
      <c r="DT52" s="62">
        <f ca="1">AVERAGE(OFFSET($DS$3,0,0,'Données projet'!$E$14+1,1))-AVERAGE(OFFSET($H$3,0,0,'Données projet'!$E$14+1,1))</f>
        <v>544.89250424794909</v>
      </c>
      <c r="DU52" s="62">
        <f t="shared" si="44"/>
        <v>253.98688498110715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3.0126049614008132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3.0126049614008132</v>
      </c>
      <c r="EE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9.3712500000000034</v>
      </c>
      <c r="EJ52" s="13">
        <f>IF('Données projet'!$A$192&gt;35,EJ51+EI52-ER51,IF(A52&lt;'Données projet'!$A$192,$EG$205^A52,IF(A52='Données projet'!$A$192,'Données projet'!$B$192,EJ51+EI52-ER51)))</f>
        <v>185.64875000000012</v>
      </c>
      <c r="EK52" s="18">
        <f>EJ52*VLOOKUP('Données projet'!$B$15,Paramètres!$A$1:$I$89,3,0)*VLOOKUP('Données projet'!$B$15,Paramètres!$A$1:$I$89,5,0)</f>
        <v>167.97498900000011</v>
      </c>
      <c r="EL52" s="14">
        <f t="shared" si="45"/>
        <v>42.636172660412917</v>
      </c>
      <c r="EM52" s="22">
        <f t="shared" si="19"/>
        <v>366.81443989188602</v>
      </c>
      <c r="EN52" s="62">
        <f t="shared" si="20"/>
        <v>660.14777322521934</v>
      </c>
      <c r="EO52" s="62">
        <f ca="1">AVERAGE(OFFSET($EN$3,0,0,'Données projet'!$E$15+1,1))-AVERAGE(OFFSET($H$3,0,0,'Données projet'!$E$15+1,1))</f>
        <v>581.88778927327667</v>
      </c>
      <c r="EP52" s="62">
        <f t="shared" si="46"/>
        <v>269.67340993773422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3.2357608844675396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3.2357608844675396</v>
      </c>
      <c r="EZ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9.3712500000000034</v>
      </c>
      <c r="FE52" s="13">
        <f>IF('Données projet'!$A$218&gt;35,FE51+FD52-FM51,IF(A52&lt;'Données projet'!$A$218,$FB$205^A52,IF(A52='Données projet'!$A$218,'Données projet'!$B$218,FE51+FD52-FM51)))</f>
        <v>185.64875000000012</v>
      </c>
      <c r="FF52" s="18">
        <f>FE52*VLOOKUP('Données projet'!$B$16,Paramètres!$A$1:$I$89,3,0)*VLOOKUP('Données projet'!$B$16,Paramètres!$A$1:$I$89,5,0)</f>
        <v>188.24783250000013</v>
      </c>
      <c r="FG52" s="14">
        <f t="shared" si="47"/>
        <v>47.152364864692288</v>
      </c>
      <c r="FH52" s="22">
        <f t="shared" si="22"/>
        <v>409.98867707683922</v>
      </c>
      <c r="FI52" s="62">
        <f t="shared" si="23"/>
        <v>703.32201041017254</v>
      </c>
      <c r="FJ52" s="62">
        <f ca="1">AVERAGE(OFFSET($FI$3,0,0,'Données projet'!$E$16+1,1))-AVERAGE(OFFSET($H$3,0,0,'Données projet'!$E$16+1,1))</f>
        <v>646.50767193970182</v>
      </c>
      <c r="FK52" s="62">
        <f t="shared" si="48"/>
        <v>297.06786598620607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3.6262837498343132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3.6262837498343132</v>
      </c>
      <c r="FU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9.3712500000000034</v>
      </c>
      <c r="FZ52" s="13">
        <f>IF('Données projet'!$A$244&gt;35,FZ51+FY52-GH51,IF(A52&lt;'Données projet'!$A$244,$FW$205^A52,IF(A52='Données projet'!$A$244,'Données projet'!$B$244,FZ51+FY52-GH51)))</f>
        <v>185.64875000000012</v>
      </c>
      <c r="GA52" s="18">
        <f>FZ52*VLOOKUP('Données projet'!$B$17,Paramètres!$A$1:$I$89,3,0)*VLOOKUP('Données projet'!$B$17,Paramètres!$A$1:$I$89,5,0)</f>
        <v>124.53318150000007</v>
      </c>
      <c r="GB52" s="14">
        <f t="shared" si="49"/>
        <v>32.729996925105766</v>
      </c>
      <c r="GC52" s="22">
        <f t="shared" si="25"/>
        <v>273.9000357570593</v>
      </c>
      <c r="GD52" s="62">
        <f t="shared" si="26"/>
        <v>567.23336909039267</v>
      </c>
      <c r="GE52" s="62">
        <f ca="1">AVERAGE(OFFSET($GD$3,0,0,'Données projet'!$E$17+1,1))-AVERAGE(OFFSET($H$3,0,0,'Données projet'!$E$17+1,1))</f>
        <v>442.85175349826028</v>
      </c>
      <c r="GF52" s="62">
        <f t="shared" si="50"/>
        <v>210.70697808232501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2.9568159806341328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2.9568159806341328</v>
      </c>
      <c r="GP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8.8000000000000007</v>
      </c>
      <c r="GU52" s="13">
        <f>IF('Données projet'!$A$270&gt;35,GU51+GT52-HC51,IF(A52&lt;'Données projet'!$A$270,$GR$205^A52,IF(A52='Données projet'!$A$270,'Données projet'!$B$270,GU51+GT52-HC51)))</f>
        <v>208.2</v>
      </c>
      <c r="GV52" s="18">
        <f>GU52*VLOOKUP('Données projet'!$B$18,Paramètres!$A$1:$I$89,3,0)*VLOOKUP('Données projet'!$B$18,Paramètres!$A$1:$I$89,5,0)</f>
        <v>198.12312</v>
      </c>
      <c r="GW52" s="14">
        <f t="shared" si="51"/>
        <v>49.331460232373296</v>
      </c>
      <c r="GX52" s="22">
        <f t="shared" si="28"/>
        <v>430.98339390471682</v>
      </c>
      <c r="GY52" s="62">
        <f t="shared" si="29"/>
        <v>724.31672723805013</v>
      </c>
      <c r="GZ52" s="62">
        <f ca="1">AVERAGE(OFFSET($GY$3,0,0,'Données projet'!$E$18+1,1))-AVERAGE(OFFSET($H$3,0,0,'Données projet'!$E$18+1,1))</f>
        <v>420.2510366318939</v>
      </c>
      <c r="HA52" s="62">
        <f t="shared" si="52"/>
        <v>220.59884411514116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6.716810780892204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0</v>
      </c>
      <c r="HJ52" s="24">
        <f t="shared" si="30"/>
        <v>6.716810780892204</v>
      </c>
    </row>
    <row r="53" spans="1:218" s="5" customFormat="1" x14ac:dyDescent="0.2">
      <c r="A53" s="11">
        <f t="shared" si="31"/>
        <v>50</v>
      </c>
      <c r="B53" s="74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19.777777777777779</v>
      </c>
      <c r="N53" s="14">
        <f>IF('Données projet'!$A$36&gt;35,N52+M53-V52,IF(A53&lt;'Données projet'!$A$36,$K$205^A53,IF(A53='Données projet'!$A$36,'Données projet'!$B$36,N52+M53-V52)))</f>
        <v>435.22222222222234</v>
      </c>
      <c r="O53" s="14">
        <f>N53*VLOOKUP('Données projet'!$B$9,Paramètres!$A$1:$I$89,3,0)*VLOOKUP('Données projet'!$B$9,Paramètres!$A$1:$I$89,5,0)</f>
        <v>373.42066666666682</v>
      </c>
      <c r="P53" s="14">
        <f t="shared" si="33"/>
        <v>86.366739974019524</v>
      </c>
      <c r="Q53" s="22">
        <f t="shared" si="53"/>
        <v>800.79639989919531</v>
      </c>
      <c r="R53" s="62">
        <f t="shared" si="0"/>
        <v>1094.1297332325287</v>
      </c>
      <c r="S53" s="62">
        <f ca="1">AVERAGE(OFFSET($R$3,0,0,'Données projet'!$E$9+1,1))-AVERAGE(OFFSET($H$3,0,0,'Données projet'!$E$9+1,1))</f>
        <v>623.31285537237943</v>
      </c>
      <c r="T53" s="62">
        <f t="shared" si="34"/>
        <v>462.33909258902241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38.198408531806479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38.198408531806479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261</v>
      </c>
      <c r="AG53" s="13">
        <f>VLOOKUP(A53,'Données projet'!$A$61:$I$81,9,0)</f>
        <v>8.6</v>
      </c>
      <c r="AH53" s="13">
        <f t="array" ref="AH53">INDEX(AG:AG,MIN(IF(ISNUMBER(AG53:AG249),ROW(AG53:AG249),"")))</f>
        <v>8.6</v>
      </c>
      <c r="AI53" s="14">
        <f>IF('Données projet'!$A$62&gt;35,AI52+AH53-AQ52,IF(A53&lt;'Données projet'!$A$62,$AF$205^A53,IF(A53='Données projet'!$A$62,'Données projet'!$B$62,AI52+AH53-AQ52)))</f>
        <v>261.00000000000011</v>
      </c>
      <c r="AJ53" s="14">
        <f>AI53*VLOOKUP('Données projet'!$B$10,Paramètres!$A$1:$I$89,3,0)*VLOOKUP('Données projet'!$B$10,Paramètres!$A$1:$I$89,5,0)</f>
        <v>228.00960000000015</v>
      </c>
      <c r="AK53" s="14">
        <f t="shared" si="35"/>
        <v>55.852093054619878</v>
      </c>
      <c r="AL53" s="22">
        <f t="shared" si="4"/>
        <v>494.39244873679655</v>
      </c>
      <c r="AM53" s="62">
        <f t="shared" si="5"/>
        <v>787.72578207012987</v>
      </c>
      <c r="AN53" s="62">
        <f ca="1">AVERAGE(OFFSET($AM$3,0,0,'Données projet'!$E$10+1,1))-AVERAGE(OFFSET($H$3,0,0,'Données projet'!$E$10+1,1))</f>
        <v>390.70479111593545</v>
      </c>
      <c r="AO53" s="62">
        <f t="shared" si="36"/>
        <v>374.99493809709708</v>
      </c>
      <c r="AP53" s="16">
        <f>IF(ISNA(VLOOKUP(A53,'Données projet'!$A$61:$I$81,3,0)),0,VLOOKUP(A53,'Données projet'!$A$61:$I$81,3,0))</f>
        <v>9</v>
      </c>
      <c r="AQ53" s="16">
        <f>IF(ISNA(VLOOKUP(A53,'Données projet'!$A$61:$I$81,4,0)),0,VLOOKUP(A53,'Données projet'!$A$61:$I$81,4,0))</f>
        <v>19</v>
      </c>
      <c r="AR53" s="17">
        <f>IF(ISNA(VLOOKUP(A53,'Données projet'!$A$61:$I$81,5,0)),0%,VLOOKUP(A53,'Données projet'!$A$61:$I$81,5,0)*VLOOKUP('Données projet'!$B$10,Paramètres!$A$1:$I$89,7,0))</f>
        <v>0.26500000000000001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21.628041557647101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21.628041557647101</v>
      </c>
      <c r="AY53" s="7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261</v>
      </c>
      <c r="BB53" s="13">
        <f>VLOOKUP(A53,'Données projet'!$A$87:$I$107,9,0)</f>
        <v>8.6</v>
      </c>
      <c r="BC53" s="13">
        <f t="array" ref="BC53">INDEX(BB:BB,MIN(IF(ISNUMBER(BB53:BB249),ROW(BB53:BB249),"")))</f>
        <v>8.6</v>
      </c>
      <c r="BD53" s="13">
        <f>IF('Données projet'!$A$88&gt;35,BD52+BC53-BL52,IF(A53&lt;'Données projet'!$A$88,$BA$205^A53,IF(A53='Données projet'!$A$88,'Données projet'!$B$88,BD52+BC53-BL52)))</f>
        <v>261.00000000000011</v>
      </c>
      <c r="BE53" s="14">
        <f>BD53*VLOOKUP('Données projet'!$B$11,Paramètres!$A$1:$I$89,3,0)*VLOOKUP('Données projet'!$B$11,Paramètres!$A$1:$I$89,5,0)</f>
        <v>207.65160000000012</v>
      </c>
      <c r="BF53" s="14">
        <f t="shared" si="37"/>
        <v>51.422065813018158</v>
      </c>
      <c r="BG53" s="22">
        <f t="shared" si="7"/>
        <v>451.21996795767353</v>
      </c>
      <c r="BH53" s="62">
        <f t="shared" si="8"/>
        <v>744.55330129100685</v>
      </c>
      <c r="BI53" s="62">
        <f ca="1">AVERAGE(OFFSET($BH$3,0,0,'Données projet'!$E$11+1,1))-AVERAGE(OFFSET($H$3,0,0,'Données projet'!$E$11+1,1))</f>
        <v>359.18294335011535</v>
      </c>
      <c r="BJ53" s="62">
        <f t="shared" si="38"/>
        <v>345.47508134331241</v>
      </c>
      <c r="BK53" s="16">
        <f>IF(ISNA(VLOOKUP(A53,'Données projet'!$A$87:$I$107,3,0)),0,VLOOKUP(A53,'Données projet'!$A$87:$I$107,3,0))</f>
        <v>9</v>
      </c>
      <c r="BL53" s="16">
        <f>IF(ISNA(VLOOKUP(A53,'Données projet'!$A$87:$I$107,4,0)),0,VLOOKUP(A53,'Données projet'!$A$87:$I$107,4,0))</f>
        <v>19</v>
      </c>
      <c r="BM53" s="17">
        <f>IF(ISNA(VLOOKUP(A53,'Données projet'!$A$87:$I$107,5,0)),0%,VLOOKUP(A53,'Données projet'!$A$87:$I$107,5,0)*VLOOKUP('Données projet'!$B$11,Paramètres!$A$1:$I$89,7,0))</f>
        <v>0.26500000000000001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19.696966418571471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19.696966418571471</v>
      </c>
      <c r="BT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261</v>
      </c>
      <c r="BW53" s="13">
        <f>VLOOKUP(A53,'Données projet'!$A$113:$I$133,9,0)</f>
        <v>8.6</v>
      </c>
      <c r="BX53" s="13">
        <f t="array" ref="BX53">INDEX(BW:BW,MIN(IF(ISNUMBER(BW53:BW249),ROW(BW53:BW249),"")))</f>
        <v>8.6</v>
      </c>
      <c r="BY53" s="13">
        <f>IF('Données projet'!$A$114&gt;35,BY52+BX53-CG52,IF(A53&lt;'Données projet'!$A$114,$BV$205^A53,IF(A53='Données projet'!$A$114,'Données projet'!$B$114,BY52+BX53-CG52)))</f>
        <v>261.00000000000011</v>
      </c>
      <c r="BZ53" s="14">
        <f>BY53*VLOOKUP('Données projet'!$B$12,Paramètres!$A$1:$I$89,3,0)*VLOOKUP('Données projet'!$B$12,Paramètres!$A$1:$I$89,5,0)</f>
        <v>191.36520000000007</v>
      </c>
      <c r="CA53" s="14">
        <f t="shared" si="39"/>
        <v>47.841653305605021</v>
      </c>
      <c r="CB53" s="22">
        <f t="shared" si="10"/>
        <v>416.61860284059549</v>
      </c>
      <c r="CC53" s="62">
        <f t="shared" si="11"/>
        <v>709.95193617392874</v>
      </c>
      <c r="CD53" s="62">
        <f ca="1">AVERAGE(OFFSET($CC$3,0,0,'Données projet'!$E$12+1,1))-AVERAGE(OFFSET($H$3,0,0,'Données projet'!$E$12+1,1))</f>
        <v>333.9187211440219</v>
      </c>
      <c r="CE53" s="62">
        <f t="shared" si="40"/>
        <v>321.81422611044997</v>
      </c>
      <c r="CF53" s="16">
        <f>IF(ISNA(VLOOKUP(A53,'Données projet'!$A$113:$I$133,3,0)),0,VLOOKUP(A53,'Données projet'!$A$113:$I$133,3,0))</f>
        <v>9</v>
      </c>
      <c r="CG53" s="16">
        <f>IF(ISNA(VLOOKUP(A53,'Données projet'!$A$113:$I$133,4,0)),0,VLOOKUP(A53,'Données projet'!$A$113:$I$133,4,0))</f>
        <v>19</v>
      </c>
      <c r="CH53" s="17">
        <f>IF(ISNA(VLOOKUP(A53,'Données projet'!$A$113:$I$133,5,0)),0%,VLOOKUP(A53,'Données projet'!$A$113:$I$133,5,0)*VLOOKUP('Données projet'!$B$12,Paramètres!$A$1:$I$89,7,0))</f>
        <v>0.215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14.727180588950397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14.727180588950397</v>
      </c>
      <c r="CO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261</v>
      </c>
      <c r="CR53" s="13">
        <f>VLOOKUP(A53,'Données projet'!$A$139:$I$159,9,0)</f>
        <v>8.6</v>
      </c>
      <c r="CS53" s="13">
        <f t="array" ref="CS53">INDEX(CR:CR,MIN(IF(ISNUMBER(CR53:CR249),ROW(CR53:CR249),"")))</f>
        <v>8.6</v>
      </c>
      <c r="CT53" s="13">
        <f>IF('Données projet'!$A$140&gt;35,CT52+CS53-DB52,IF(A53&lt;'Données projet'!$A$140,$CQ$205^A53,IF(A53='Données projet'!$A$140,'Données projet'!$B$140,CT52+CS53-DB52)))</f>
        <v>261.00000000000011</v>
      </c>
      <c r="CU53" s="18">
        <f>CT53*VLOOKUP('Données projet'!$B$13,Paramètres!$A$1:$I$89,3,0)*VLOOKUP('Données projet'!$B$13,Paramètres!$A$1:$I$89,5,0)</f>
        <v>211.72320000000011</v>
      </c>
      <c r="CV53" s="14">
        <f t="shared" si="41"/>
        <v>52.31196896421207</v>
      </c>
      <c r="CW53" s="22">
        <f t="shared" si="13"/>
        <v>459.86125261266949</v>
      </c>
      <c r="CX53" s="62">
        <f t="shared" si="14"/>
        <v>753.1945859460028</v>
      </c>
      <c r="CY53" s="62">
        <f ca="1">AVERAGE(OFFSET($CX$3,0,0,'Données projet'!$E$13+1,1))-AVERAGE(OFFSET($H$3,0,0,'Données projet'!$E$13+1,1))</f>
        <v>365.492319515595</v>
      </c>
      <c r="CZ53" s="62">
        <f t="shared" si="42"/>
        <v>351.38386928091433</v>
      </c>
      <c r="DA53" s="16">
        <f>IF(ISNA(VLOOKUP(A53,'Données projet'!$A$139:$I$159,3,0)),0,VLOOKUP(A53,'Données projet'!$A$139:$I$159,3,0))</f>
        <v>9</v>
      </c>
      <c r="DB53" s="16">
        <f>IF(ISNA(VLOOKUP(A53,'Données projet'!$A$139:$I$159,4,0)),0,VLOOKUP(A53,'Données projet'!$A$139:$I$159,4,0))</f>
        <v>19</v>
      </c>
      <c r="DC53" s="17">
        <f>IF(ISNA(VLOOKUP(A53,'Données projet'!$A$139:$I$159,5,0)),0%,VLOOKUP(A53,'Données projet'!$A$139:$I$159,5,0)*VLOOKUP('Données projet'!$B$13,Paramètres!$A$1:$I$89,7,0))</f>
        <v>0.215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16.293901928200444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16.293901928200444</v>
      </c>
      <c r="DJ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195.02</v>
      </c>
      <c r="DM53" s="13">
        <f>VLOOKUP(A53,'Données projet'!$A$165:$I$185,9,0)</f>
        <v>9.3712500000000034</v>
      </c>
      <c r="DN53" s="13">
        <f t="array" ref="DN53">INDEX(DM:DM,MIN(IF(ISNUMBER(DM53:DM249),ROW(DM53:DM249),"")))</f>
        <v>9.3712500000000034</v>
      </c>
      <c r="DO53" s="13">
        <f>IF('Données projet'!$A$166&gt;35,DO52+DN53-DW52,IF(A53&lt;'Données projet'!$A$166,$DL$205^A53,IF(A53='Données projet'!$A$166,'Données projet'!$B$166,DO52+DN53-DW52)))</f>
        <v>195.02000000000012</v>
      </c>
      <c r="DP53" s="18">
        <f>DO53*VLOOKUP('Données projet'!$B$14,Paramètres!$A$1:$I$89,3,0)*VLOOKUP('Données projet'!$B$14,Paramètres!$A$1:$I$89,5,0)</f>
        <v>164.28484800000012</v>
      </c>
      <c r="DQ53" s="14">
        <f t="shared" si="43"/>
        <v>41.807483299553901</v>
      </c>
      <c r="DR53" s="22">
        <f t="shared" si="16"/>
        <v>358.94414368005658</v>
      </c>
      <c r="DS53" s="62">
        <f t="shared" si="17"/>
        <v>652.2774770133899</v>
      </c>
      <c r="DT53" s="62">
        <f ca="1">AVERAGE(OFFSET($DS$3,0,0,'Données projet'!$E$14+1,1))-AVERAGE(OFFSET($H$3,0,0,'Données projet'!$E$14+1,1))</f>
        <v>544.89250424794909</v>
      </c>
      <c r="DU53" s="62">
        <f t="shared" si="44"/>
        <v>253.98688498110715</v>
      </c>
      <c r="DV53" s="16">
        <f>IF(ISNA(VLOOKUP(A53,'Données projet'!$A$165:$I$185,3,0)),0,VLOOKUP(A53,'Données projet'!$A$165:$I$185,3,0))</f>
        <v>2</v>
      </c>
      <c r="DW53" s="16">
        <f>IF(ISNA(VLOOKUP(A53,'Données projet'!$A$165:$I$185,4,0)),0,VLOOKUP(A53,'Données projet'!$A$165:$I$185,4,0))</f>
        <v>35.58</v>
      </c>
      <c r="DX53" s="17">
        <f>IF(ISNA(VLOOKUP(A53,'Données projet'!$A$165:$I$185,5,0)),0%,VLOOKUP(A53,'Données projet'!$A$165:$I$185,5,0)*VLOOKUP('Données projet'!$B$14,Paramètres!$A$1:$I$89,7,0))</f>
        <v>8.6000000000000007E-2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5.80303750384439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5.80303750384439</v>
      </c>
      <c r="EE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195.02</v>
      </c>
      <c r="EH53" s="13">
        <f>VLOOKUP(A53,'Données projet'!$A$191:$I$211,9,0)</f>
        <v>9.3712500000000034</v>
      </c>
      <c r="EI53" s="13">
        <f t="array" ref="EI53">INDEX(EH:EH,MIN(IF(ISNUMBER(EH53:EH249),ROW(EH53:EH249),"")))</f>
        <v>9.3712500000000034</v>
      </c>
      <c r="EJ53" s="13">
        <f>IF('Données projet'!$A$192&gt;35,EJ52+EI53-ER52,IF(A53&lt;'Données projet'!$A$192,$EG$205^A53,IF(A53='Données projet'!$A$192,'Données projet'!$B$192,EJ52+EI53-ER52)))</f>
        <v>195.02000000000012</v>
      </c>
      <c r="EK53" s="18">
        <f>EJ53*VLOOKUP('Données projet'!$B$15,Paramètres!$A$1:$I$89,3,0)*VLOOKUP('Données projet'!$B$15,Paramètres!$A$1:$I$89,5,0)</f>
        <v>176.45409600000011</v>
      </c>
      <c r="EL53" s="14">
        <f t="shared" si="45"/>
        <v>44.532376676436577</v>
      </c>
      <c r="EM53" s="22">
        <f t="shared" si="19"/>
        <v>384.88477324479385</v>
      </c>
      <c r="EN53" s="62">
        <f t="shared" si="20"/>
        <v>678.21810657812716</v>
      </c>
      <c r="EO53" s="62">
        <f ca="1">AVERAGE(OFFSET($EN$3,0,0,'Données projet'!$E$15+1,1))-AVERAGE(OFFSET($H$3,0,0,'Données projet'!$E$15+1,1))</f>
        <v>581.88778927327667</v>
      </c>
      <c r="EP53" s="62">
        <f t="shared" si="46"/>
        <v>269.67340993773422</v>
      </c>
      <c r="EQ53" s="16">
        <f>IF(ISNA(VLOOKUP(A53,'Données projet'!$A$191:$I$211,3,0)),0,VLOOKUP(A53,'Données projet'!$A$191:$I$211,3,0))</f>
        <v>2</v>
      </c>
      <c r="ER53" s="16">
        <f>IF(ISNA(VLOOKUP(A53,'Données projet'!$A$191:$I$211,4,0)),0,VLOOKUP(A53,'Données projet'!$A$191:$I$211,4,0))</f>
        <v>35.58</v>
      </c>
      <c r="ES53" s="17">
        <f>IF(ISNA(VLOOKUP(A53,'Données projet'!$A$191:$I$211,5,0)),0%,VLOOKUP(A53,'Données projet'!$A$191:$I$211,5,0)*VLOOKUP('Données projet'!$B$15,Paramètres!$A$1:$I$89,7,0))</f>
        <v>8.6000000000000007E-2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6.2328921337587886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6.2328921337587886</v>
      </c>
      <c r="EZ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195.02</v>
      </c>
      <c r="FC53" s="13">
        <f>VLOOKUP(A53,'Données projet'!$A$217:$I$237,9,0)</f>
        <v>9.3712500000000034</v>
      </c>
      <c r="FD53" s="13">
        <f t="array" ref="FD53">INDEX(FC:FC,MIN(IF(ISNUMBER(FC53:FC249),ROW(FC53:FC249),"")))</f>
        <v>9.3712500000000034</v>
      </c>
      <c r="FE53" s="13">
        <f>IF('Données projet'!$A$218&gt;35,FE52+FD53-FM52,IF(A53&lt;'Données projet'!$A$218,$FB$205^A53,IF(A53='Données projet'!$A$218,'Données projet'!$B$218,FE52+FD53-FM52)))</f>
        <v>195.02000000000012</v>
      </c>
      <c r="FF53" s="18">
        <f>FE53*VLOOKUP('Données projet'!$B$16,Paramètres!$A$1:$I$89,3,0)*VLOOKUP('Données projet'!$B$16,Paramètres!$A$1:$I$89,5,0)</f>
        <v>197.75028000000015</v>
      </c>
      <c r="FG53" s="14">
        <f t="shared" si="47"/>
        <v>49.24942231714175</v>
      </c>
      <c r="FH53" s="22">
        <f t="shared" si="22"/>
        <v>430.19114820235546</v>
      </c>
      <c r="FI53" s="62">
        <f t="shared" si="23"/>
        <v>723.52448153568878</v>
      </c>
      <c r="FJ53" s="62">
        <f ca="1">AVERAGE(OFFSET($FI$3,0,0,'Données projet'!$E$16+1,1))-AVERAGE(OFFSET($H$3,0,0,'Données projet'!$E$16+1,1))</f>
        <v>646.50767193970182</v>
      </c>
      <c r="FK53" s="62">
        <f t="shared" si="48"/>
        <v>297.06786598620607</v>
      </c>
      <c r="FL53" s="16">
        <f>IF(ISNA(VLOOKUP(A53,'Données projet'!$A$217:$I$237,3,0)),0,VLOOKUP(A53,'Données projet'!$A$217:$I$237,3,0))</f>
        <v>2</v>
      </c>
      <c r="FM53" s="16">
        <f>IF(ISNA(VLOOKUP(A53,'Données projet'!$A$217:$I$237,4,0)),0,VLOOKUP(A53,'Données projet'!$A$217:$I$237,4,0))</f>
        <v>35.58</v>
      </c>
      <c r="FN53" s="17">
        <f>IF(ISNA(VLOOKUP(A53,'Données projet'!$A$217:$I$237,5,0)),0%,VLOOKUP(A53,'Données projet'!$A$217:$I$237,5,0)*VLOOKUP('Données projet'!$B$16,Paramètres!$A$1:$I$89,7,0))</f>
        <v>8.6000000000000007E-2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6.9851377361089888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6.9851377361089888</v>
      </c>
      <c r="FU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195.02</v>
      </c>
      <c r="FX53" s="13">
        <f>VLOOKUP(A53,'Données projet'!$A$243:$I$263,9,0)</f>
        <v>9.3712500000000034</v>
      </c>
      <c r="FY53" s="13">
        <f t="array" ref="FY53">INDEX(FX:FX,MIN(IF(ISNUMBER(FX53:FX249),ROW(FX53:FX249),"")))</f>
        <v>9.3712500000000034</v>
      </c>
      <c r="FZ53" s="13">
        <f>IF('Données projet'!$A$244&gt;35,FZ52+FY53-GH52,IF(A53&lt;'Données projet'!$A$244,$FW$205^A53,IF(A53='Données projet'!$A$244,'Données projet'!$B$244,FZ52+FY53-GH52)))</f>
        <v>195.02000000000012</v>
      </c>
      <c r="GA53" s="18">
        <f>FZ53*VLOOKUP('Données projet'!$B$17,Paramètres!$A$1:$I$89,3,0)*VLOOKUP('Données projet'!$B$17,Paramètres!$A$1:$I$89,5,0)</f>
        <v>130.81941600000007</v>
      </c>
      <c r="GB53" s="14">
        <f t="shared" si="49"/>
        <v>34.185633013929731</v>
      </c>
      <c r="GC53" s="22">
        <f t="shared" si="25"/>
        <v>287.38379369926105</v>
      </c>
      <c r="GD53" s="62">
        <f t="shared" si="26"/>
        <v>580.71712703259436</v>
      </c>
      <c r="GE53" s="62">
        <f ca="1">AVERAGE(OFFSET($GD$3,0,0,'Données projet'!$E$17+1,1))-AVERAGE(OFFSET($H$3,0,0,'Données projet'!$E$17+1,1))</f>
        <v>442.85175349826028</v>
      </c>
      <c r="GF53" s="62">
        <f t="shared" si="50"/>
        <v>210.70697808232501</v>
      </c>
      <c r="GG53" s="16">
        <f>IF(ISNA(VLOOKUP(A53,'Données projet'!$A$243:$I$263,3,0)),0,VLOOKUP(A53,'Données projet'!$A$243:$I$263,3,0))</f>
        <v>2</v>
      </c>
      <c r="GH53" s="16">
        <f>IF(ISNA(VLOOKUP(A53,'Données projet'!$A$243:$I$263,4,0)),0,VLOOKUP(A53,'Données projet'!$A$243:$I$263,4,0))</f>
        <v>35.58</v>
      </c>
      <c r="GI53" s="17">
        <f>IF(ISNA(VLOOKUP(A53,'Données projet'!$A$243:$I$263,5,0)),0%,VLOOKUP(A53,'Données projet'!$A$243:$I$263,5,0)*VLOOKUP('Données projet'!$B$17,Paramètres!$A$1:$I$89,7,0))</f>
        <v>0.10600000000000001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5.6955738463657912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5.6955738463657912</v>
      </c>
      <c r="GP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>
        <f>VLOOKUP(A53,'Données projet'!$A$269:$I$289,2,0)</f>
        <v>217</v>
      </c>
      <c r="GS53" s="13">
        <f>VLOOKUP(A53,'Données projet'!$A$269:$I$289,9,0)</f>
        <v>8.8000000000000007</v>
      </c>
      <c r="GT53" s="13">
        <f t="array" ref="GT53">INDEX(GS:GS,MIN(IF(ISNUMBER(GS53:GS249),ROW(GS53:GS249),"")))</f>
        <v>8.8000000000000007</v>
      </c>
      <c r="GU53" s="13">
        <f>IF('Données projet'!$A$270&gt;35,GU52+GT53-HC52,IF(A53&lt;'Données projet'!$A$270,$GR$205^A53,IF(A53='Données projet'!$A$270,'Données projet'!$B$270,GU52+GT53-HC52)))</f>
        <v>217</v>
      </c>
      <c r="GV53" s="18">
        <f>GU53*VLOOKUP('Données projet'!$B$18,Paramètres!$A$1:$I$89,3,0)*VLOOKUP('Données projet'!$B$18,Paramètres!$A$1:$I$89,5,0)</f>
        <v>206.49720000000002</v>
      </c>
      <c r="GW53" s="14">
        <f t="shared" si="51"/>
        <v>51.16938803514504</v>
      </c>
      <c r="GX53" s="22">
        <f t="shared" si="28"/>
        <v>448.76930749454436</v>
      </c>
      <c r="GY53" s="62">
        <f t="shared" si="29"/>
        <v>742.10264082787762</v>
      </c>
      <c r="GZ53" s="62">
        <f ca="1">AVERAGE(OFFSET($GY$3,0,0,'Données projet'!$E$18+1,1))-AVERAGE(OFFSET($H$3,0,0,'Données projet'!$E$18+1,1))</f>
        <v>420.2510366318939</v>
      </c>
      <c r="HA53" s="62">
        <f t="shared" si="52"/>
        <v>220.59884411514116</v>
      </c>
      <c r="HB53" s="16">
        <f>IF(ISNA(VLOOKUP(A53,'Données projet'!$A$269:$I$289,3,0)),0,VLOOKUP(A53,'Données projet'!$A$269:$I$289,3,0))</f>
        <v>6</v>
      </c>
      <c r="HC53" s="16">
        <f>IF(ISNA(VLOOKUP(A53,'Données projet'!$A$269:$I$289,4,0)),0,VLOOKUP(A53,'Données projet'!$A$269:$I$289,4,0))</f>
        <v>26</v>
      </c>
      <c r="HD53" s="17">
        <f>IF(ISNA(VLOOKUP(A53,'Données projet'!$A$269:$I$289,5,0)),0%,VLOOKUP(A53,'Données projet'!$A$269:$I$289,5,0)*VLOOKUP('Données projet'!$B$18,Paramètres!$A$1:$I$89,7,0))</f>
        <v>0.129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10.113390884879518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0</v>
      </c>
      <c r="HJ53" s="24">
        <f t="shared" si="30"/>
        <v>10.113390884879518</v>
      </c>
    </row>
    <row r="54" spans="1:218" s="5" customFormat="1" x14ac:dyDescent="0.2">
      <c r="A54" s="11">
        <f t="shared" si="31"/>
        <v>51</v>
      </c>
      <c r="B54" s="74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>
        <f>VLOOKUP(A54,'Données projet'!$A$35:$I$55,2,0)</f>
        <v>455</v>
      </c>
      <c r="L54" s="13">
        <f>VLOOKUP(A54,'Données projet'!$A$35:$I$55,9,0)</f>
        <v>19.777777777777779</v>
      </c>
      <c r="M54" s="13">
        <f t="array" ref="M54">INDEX(L:L,MIN(IF(ISNUMBER(L54:L250),ROW(L54:L250),"")))</f>
        <v>19.777777777777779</v>
      </c>
      <c r="N54" s="14">
        <f>IF('Données projet'!$A$36&gt;35,N53+M54-V53,IF(A54&lt;'Données projet'!$A$36,$K$205^A54,IF(A54='Données projet'!$A$36,'Données projet'!$B$36,N53+M54-V53)))</f>
        <v>455.00000000000011</v>
      </c>
      <c r="O54" s="14">
        <f>N54*VLOOKUP('Données projet'!$B$9,Paramètres!$A$1:$I$89,3,0)*VLOOKUP('Données projet'!$B$9,Paramètres!$A$1:$I$89,5,0)</f>
        <v>390.39000000000016</v>
      </c>
      <c r="P54" s="14">
        <f t="shared" si="33"/>
        <v>89.825636339119924</v>
      </c>
      <c r="Q54" s="22">
        <f t="shared" si="53"/>
        <v>836.37556662396753</v>
      </c>
      <c r="R54" s="62">
        <f t="shared" si="0"/>
        <v>1129.7088999573009</v>
      </c>
      <c r="S54" s="62">
        <f ca="1">AVERAGE(OFFSET($R$3,0,0,'Données projet'!$E$9+1,1))-AVERAGE(OFFSET($H$3,0,0,'Données projet'!$E$9+1,1))</f>
        <v>623.31285537237943</v>
      </c>
      <c r="T54" s="62">
        <f t="shared" si="34"/>
        <v>462.33909258902241</v>
      </c>
      <c r="U54" s="16">
        <f>IF(ISNA(VLOOKUP(A54,'Données projet'!$A$35:$I$55,3,0)),0,VLOOKUP(A54,'Données projet'!$A$35:$I$55,3,0))</f>
        <v>8</v>
      </c>
      <c r="V54" s="16">
        <f>IF(ISNA(VLOOKUP(A54,'Données projet'!$A$35:$I$55,4,0)),0,VLOOKUP(A54,'Données projet'!$A$35:$I$55,4,0))</f>
        <v>119</v>
      </c>
      <c r="W54" s="17">
        <f>IF(ISNA(VLOOKUP(A54,'Données projet'!$A$35:$I$55,5,0)),0%,VLOOKUP(A54,'Données projet'!$A$35:$I$55,5,0)*VLOOKUP('Données projet'!$B$9,Paramètres!$A$1:$I$89,7,0))</f>
        <v>0.318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73.34225530698771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73.34225530698771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7.4</v>
      </c>
      <c r="AI54" s="14">
        <f>IF('Données projet'!$A$62&gt;35,AI53+AH54-AQ53,IF(A54&lt;'Données projet'!$A$62,$AF$205^A54,IF(A54='Données projet'!$A$62,'Données projet'!$B$62,AI53+AH54-AQ53)))</f>
        <v>249.40000000000009</v>
      </c>
      <c r="AJ54" s="14">
        <f>AI54*VLOOKUP('Données projet'!$B$10,Paramètres!$A$1:$I$89,3,0)*VLOOKUP('Données projet'!$B$10,Paramètres!$A$1:$I$89,5,0)</f>
        <v>217.87584000000012</v>
      </c>
      <c r="AK54" s="14">
        <f t="shared" si="35"/>
        <v>53.652949670124926</v>
      </c>
      <c r="AL54" s="22">
        <f t="shared" si="4"/>
        <v>472.91264200880113</v>
      </c>
      <c r="AM54" s="62">
        <f t="shared" si="5"/>
        <v>766.24597534213444</v>
      </c>
      <c r="AN54" s="62">
        <f ca="1">AVERAGE(OFFSET($AM$3,0,0,'Données projet'!$E$10+1,1))-AVERAGE(OFFSET($H$3,0,0,'Données projet'!$E$10+1,1))</f>
        <v>390.70479111593545</v>
      </c>
      <c r="AO54" s="62">
        <f t="shared" si="36"/>
        <v>374.99493809709708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21.203928854504408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21.203928854504408</v>
      </c>
      <c r="AY54" s="7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7.4</v>
      </c>
      <c r="BD54" s="13">
        <f>IF('Données projet'!$A$88&gt;35,BD53+BC54-BL53,IF(A54&lt;'Données projet'!$A$88,$BA$205^A54,IF(A54='Données projet'!$A$88,'Données projet'!$B$88,BD53+BC54-BL53)))</f>
        <v>249.40000000000009</v>
      </c>
      <c r="BE54" s="14">
        <f>BD54*VLOOKUP('Données projet'!$B$11,Paramètres!$A$1:$I$89,3,0)*VLOOKUP('Données projet'!$B$11,Paramètres!$A$1:$I$89,5,0)</f>
        <v>198.42264000000009</v>
      </c>
      <c r="BF54" s="14">
        <f t="shared" si="37"/>
        <v>49.397352151183256</v>
      </c>
      <c r="BG54" s="22">
        <f t="shared" si="7"/>
        <v>431.61981966331092</v>
      </c>
      <c r="BH54" s="62">
        <f t="shared" si="8"/>
        <v>724.95315299664423</v>
      </c>
      <c r="BI54" s="62">
        <f ca="1">AVERAGE(OFFSET($BH$3,0,0,'Données projet'!$E$11+1,1))-AVERAGE(OFFSET($H$3,0,0,'Données projet'!$E$11+1,1))</f>
        <v>359.18294335011535</v>
      </c>
      <c r="BJ54" s="62">
        <f t="shared" si="38"/>
        <v>345.47508134331241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19.310720921066519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19.310720921066519</v>
      </c>
      <c r="BT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7.4</v>
      </c>
      <c r="BY54" s="13">
        <f>IF('Données projet'!$A$114&gt;35,BY53+BX54-CG53,IF(A54&lt;'Données projet'!$A$114,$BV$205^A54,IF(A54='Données projet'!$A$114,'Données projet'!$B$114,BY53+BX54-CG53)))</f>
        <v>249.40000000000009</v>
      </c>
      <c r="BZ54" s="14">
        <f>BY54*VLOOKUP('Données projet'!$B$12,Paramètres!$A$1:$I$89,3,0)*VLOOKUP('Données projet'!$B$12,Paramètres!$A$1:$I$89,5,0)</f>
        <v>182.86008000000007</v>
      </c>
      <c r="CA54" s="14">
        <f t="shared" si="39"/>
        <v>45.957916284909516</v>
      </c>
      <c r="CB54" s="22">
        <f t="shared" si="10"/>
        <v>398.52467686288418</v>
      </c>
      <c r="CC54" s="62">
        <f t="shared" si="11"/>
        <v>691.85801019621749</v>
      </c>
      <c r="CD54" s="62">
        <f ca="1">AVERAGE(OFFSET($CC$3,0,0,'Données projet'!$E$12+1,1))-AVERAGE(OFFSET($H$3,0,0,'Données projet'!$E$12+1,1))</f>
        <v>333.9187211440219</v>
      </c>
      <c r="CE54" s="62">
        <f t="shared" si="40"/>
        <v>321.81422611044997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14.43838956029427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14.43838956029427</v>
      </c>
      <c r="CO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7.4</v>
      </c>
      <c r="CT54" s="13">
        <f>IF('Données projet'!$A$140&gt;35,CT53+CS54-DB53,IF(A54&lt;'Données projet'!$A$140,$CQ$205^A54,IF(A54='Données projet'!$A$140,'Données projet'!$B$140,CT53+CS54-DB53)))</f>
        <v>249.40000000000009</v>
      </c>
      <c r="CU54" s="18">
        <f>CT54*VLOOKUP('Données projet'!$B$13,Paramètres!$A$1:$I$89,3,0)*VLOOKUP('Données projet'!$B$13,Paramètres!$A$1:$I$89,5,0)</f>
        <v>202.31328000000008</v>
      </c>
      <c r="CV54" s="14">
        <f t="shared" si="41"/>
        <v>50.252215888082119</v>
      </c>
      <c r="CW54" s="22">
        <f t="shared" si="13"/>
        <v>439.88490533840974</v>
      </c>
      <c r="CX54" s="62">
        <f t="shared" si="14"/>
        <v>733.21823867174305</v>
      </c>
      <c r="CY54" s="62">
        <f ca="1">AVERAGE(OFFSET($CX$3,0,0,'Données projet'!$E$13+1,1))-AVERAGE(OFFSET($H$3,0,0,'Données projet'!$E$13+1,1))</f>
        <v>365.492319515595</v>
      </c>
      <c r="CZ54" s="62">
        <f t="shared" si="42"/>
        <v>351.38386928091433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15.974388449687284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15.974388449687284</v>
      </c>
      <c r="DJ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9.5537500000000009</v>
      </c>
      <c r="DO54" s="13">
        <f>IF('Données projet'!$A$166&gt;35,DO53+DN54-DW53,IF(A54&lt;'Données projet'!$A$166,$DL$205^A54,IF(A54='Données projet'!$A$166,'Données projet'!$B$166,DO53+DN54-DW53)))</f>
        <v>168.99375000000015</v>
      </c>
      <c r="DP54" s="18">
        <f>DO54*VLOOKUP('Données projet'!$B$14,Paramètres!$A$1:$I$89,3,0)*VLOOKUP('Données projet'!$B$14,Paramètres!$A$1:$I$89,5,0)</f>
        <v>142.36033500000013</v>
      </c>
      <c r="DQ54" s="14">
        <f t="shared" si="43"/>
        <v>36.837197830406161</v>
      </c>
      <c r="DR54" s="22">
        <f t="shared" si="16"/>
        <v>312.1023696796243</v>
      </c>
      <c r="DS54" s="62">
        <f t="shared" si="17"/>
        <v>605.43570301295767</v>
      </c>
      <c r="DT54" s="62">
        <f ca="1">AVERAGE(OFFSET($DS$3,0,0,'Données projet'!$E$14+1,1))-AVERAGE(OFFSET($H$3,0,0,'Données projet'!$E$14+1,1))</f>
        <v>544.89250424794909</v>
      </c>
      <c r="DU54" s="62">
        <f t="shared" si="44"/>
        <v>253.98688498110715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5.6892434778973815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5.6892434778973815</v>
      </c>
      <c r="EE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9.5537500000000009</v>
      </c>
      <c r="EJ54" s="13">
        <f>IF('Données projet'!$A$192&gt;35,EJ53+EI54-ER53,IF(A54&lt;'Données projet'!$A$192,$EG$205^A54,IF(A54='Données projet'!$A$192,'Données projet'!$B$192,EJ53+EI54-ER53)))</f>
        <v>168.99375000000015</v>
      </c>
      <c r="EK54" s="18">
        <f>EJ54*VLOOKUP('Données projet'!$B$15,Paramètres!$A$1:$I$89,3,0)*VLOOKUP('Données projet'!$B$15,Paramètres!$A$1:$I$89,5,0)</f>
        <v>152.90554500000013</v>
      </c>
      <c r="EL54" s="14">
        <f t="shared" si="45"/>
        <v>39.238142074568863</v>
      </c>
      <c r="EM54" s="22">
        <f t="shared" si="19"/>
        <v>334.65025498820768</v>
      </c>
      <c r="EN54" s="62">
        <f t="shared" si="20"/>
        <v>627.98358832154099</v>
      </c>
      <c r="EO54" s="62">
        <f ca="1">AVERAGE(OFFSET($EN$3,0,0,'Données projet'!$E$15+1,1))-AVERAGE(OFFSET($H$3,0,0,'Données projet'!$E$15+1,1))</f>
        <v>581.88778927327667</v>
      </c>
      <c r="EP54" s="62">
        <f t="shared" si="46"/>
        <v>269.67340993773422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6.1106689207045948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6.1106689207045948</v>
      </c>
      <c r="EZ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9.5537500000000009</v>
      </c>
      <c r="FE54" s="13">
        <f>IF('Données projet'!$A$218&gt;35,FE53+FD54-FM53,IF(A54&lt;'Données projet'!$A$218,$FB$205^A54,IF(A54='Données projet'!$A$218,'Données projet'!$B$218,FE53+FD54-FM53)))</f>
        <v>168.99375000000015</v>
      </c>
      <c r="FF54" s="18">
        <f>FE54*VLOOKUP('Données projet'!$B$16,Paramètres!$A$1:$I$89,3,0)*VLOOKUP('Données projet'!$B$16,Paramètres!$A$1:$I$89,5,0)</f>
        <v>171.35966250000016</v>
      </c>
      <c r="FG54" s="14">
        <f t="shared" si="47"/>
        <v>43.39440142643388</v>
      </c>
      <c r="FH54" s="22">
        <f t="shared" si="22"/>
        <v>374.0299946718726</v>
      </c>
      <c r="FI54" s="62">
        <f t="shared" si="23"/>
        <v>667.36332800520586</v>
      </c>
      <c r="FJ54" s="62">
        <f ca="1">AVERAGE(OFFSET($FI$3,0,0,'Données projet'!$E$16+1,1))-AVERAGE(OFFSET($H$3,0,0,'Données projet'!$E$16+1,1))</f>
        <v>646.50767193970182</v>
      </c>
      <c r="FK54" s="62">
        <f t="shared" si="48"/>
        <v>297.06786598620607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6.84816344561722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6.84816344561722</v>
      </c>
      <c r="FU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9.5537500000000009</v>
      </c>
      <c r="FZ54" s="13">
        <f>IF('Données projet'!$A$244&gt;35,FZ53+FY54-GH53,IF(A54&lt;'Données projet'!$A$244,$FW$205^A54,IF(A54='Données projet'!$A$244,'Données projet'!$B$244,FZ53+FY54-GH53)))</f>
        <v>168.99375000000015</v>
      </c>
      <c r="GA54" s="18">
        <f>FZ54*VLOOKUP('Données projet'!$B$17,Paramètres!$A$1:$I$89,3,0)*VLOOKUP('Données projet'!$B$17,Paramètres!$A$1:$I$89,5,0)</f>
        <v>113.3610075000001</v>
      </c>
      <c r="GB54" s="14">
        <f t="shared" si="49"/>
        <v>30.121471729565499</v>
      </c>
      <c r="GC54" s="22">
        <f t="shared" si="25"/>
        <v>249.89865132482677</v>
      </c>
      <c r="GD54" s="62">
        <f t="shared" si="26"/>
        <v>543.23198465816006</v>
      </c>
      <c r="GE54" s="62">
        <f ca="1">AVERAGE(OFFSET($GD$3,0,0,'Données projet'!$E$17+1,1))-AVERAGE(OFFSET($H$3,0,0,'Données projet'!$E$17+1,1))</f>
        <v>442.85175349826028</v>
      </c>
      <c r="GF54" s="62">
        <f t="shared" si="50"/>
        <v>210.70697808232501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5.5838871171955793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5.5838871171955793</v>
      </c>
      <c r="GP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8.1999999999999993</v>
      </c>
      <c r="GU54" s="13">
        <f>IF('Données projet'!$A$270&gt;35,GU53+GT54-HC53,IF(A54&lt;'Données projet'!$A$270,$GR$205^A54,IF(A54='Données projet'!$A$270,'Données projet'!$B$270,GU53+GT54-HC53)))</f>
        <v>199.2</v>
      </c>
      <c r="GV54" s="18">
        <f>GU54*VLOOKUP('Données projet'!$B$18,Paramètres!$A$1:$I$89,3,0)*VLOOKUP('Données projet'!$B$18,Paramètres!$A$1:$I$89,5,0)</f>
        <v>189.55871999999999</v>
      </c>
      <c r="GW54" s="14">
        <f t="shared" si="51"/>
        <v>47.442378909817926</v>
      </c>
      <c r="GX54" s="22">
        <f t="shared" si="28"/>
        <v>412.77691393459958</v>
      </c>
      <c r="GY54" s="62">
        <f t="shared" si="29"/>
        <v>706.11024726793289</v>
      </c>
      <c r="GZ54" s="62">
        <f ca="1">AVERAGE(OFFSET($GY$3,0,0,'Données projet'!$E$18+1,1))-AVERAGE(OFFSET($H$3,0,0,'Données projet'!$E$18+1,1))</f>
        <v>420.2510366318939</v>
      </c>
      <c r="HA54" s="62">
        <f t="shared" si="52"/>
        <v>220.59884411514116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9.9150734581863755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0</v>
      </c>
      <c r="HJ54" s="24">
        <f t="shared" si="30"/>
        <v>9.9150734581863755</v>
      </c>
    </row>
    <row r="55" spans="1:218" s="5" customFormat="1" x14ac:dyDescent="0.2">
      <c r="A55" s="11">
        <f t="shared" si="31"/>
        <v>52</v>
      </c>
      <c r="B55" s="74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15.75</v>
      </c>
      <c r="N55" s="14">
        <f>IF('Données projet'!$A$36&gt;35,N54+M55-V54,IF(A55&lt;'Données projet'!$A$36,$K$205^A55,IF(A55='Données projet'!$A$36,'Données projet'!$B$36,N54+M55-V54)))</f>
        <v>351.75000000000011</v>
      </c>
      <c r="O55" s="14">
        <f>N55*VLOOKUP('Données projet'!$B$9,Paramètres!$A$1:$I$89,3,0)*VLOOKUP('Données projet'!$B$9,Paramètres!$A$1:$I$89,5,0)</f>
        <v>301.80150000000015</v>
      </c>
      <c r="P55" s="14">
        <f t="shared" si="33"/>
        <v>71.553995376057969</v>
      </c>
      <c r="Q55" s="22">
        <f t="shared" si="53"/>
        <v>650.26082111330118</v>
      </c>
      <c r="R55" s="62">
        <f t="shared" si="0"/>
        <v>943.59415444663455</v>
      </c>
      <c r="S55" s="62">
        <f ca="1">AVERAGE(OFFSET($R$3,0,0,'Données projet'!$E$9+1,1))-AVERAGE(OFFSET($H$3,0,0,'Données projet'!$E$9+1,1))</f>
        <v>623.31285537237943</v>
      </c>
      <c r="T55" s="62">
        <f t="shared" si="34"/>
        <v>462.33909258902241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71.904058414776273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71.904058414776273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7.4</v>
      </c>
      <c r="AI55" s="14">
        <f>IF('Données projet'!$A$62&gt;35,AI54+AH55-AQ54,IF(A55&lt;'Données projet'!$A$62,$AF$205^A55,IF(A55='Données projet'!$A$62,'Données projet'!$B$62,AI54+AH55-AQ54)))</f>
        <v>256.80000000000007</v>
      </c>
      <c r="AJ55" s="14">
        <f>AI55*VLOOKUP('Données projet'!$B$10,Paramètres!$A$1:$I$89,3,0)*VLOOKUP('Données projet'!$B$10,Paramètres!$A$1:$I$89,5,0)</f>
        <v>224.3404800000001</v>
      </c>
      <c r="AK55" s="14">
        <f t="shared" si="35"/>
        <v>55.057192232003722</v>
      </c>
      <c r="AL55" s="22">
        <f t="shared" si="4"/>
        <v>486.61761247073991</v>
      </c>
      <c r="AM55" s="62">
        <f t="shared" si="5"/>
        <v>779.95094580407317</v>
      </c>
      <c r="AN55" s="62">
        <f ca="1">AVERAGE(OFFSET($AM$3,0,0,'Données projet'!$E$10+1,1))-AVERAGE(OFFSET($H$3,0,0,'Données projet'!$E$10+1,1))</f>
        <v>390.70479111593545</v>
      </c>
      <c r="AO55" s="62">
        <f t="shared" si="36"/>
        <v>374.99493809709708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20.788132742787138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20.788132742787138</v>
      </c>
      <c r="AY55" s="7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7.4</v>
      </c>
      <c r="BD55" s="13">
        <f>IF('Données projet'!$A$88&gt;35,BD54+BC55-BL54,IF(A55&lt;'Données projet'!$A$88,$BA$205^A55,IF(A55='Données projet'!$A$88,'Données projet'!$B$88,BD54+BC55-BL54)))</f>
        <v>256.80000000000007</v>
      </c>
      <c r="BE55" s="14">
        <f>BD55*VLOOKUP('Données projet'!$B$11,Paramètres!$A$1:$I$89,3,0)*VLOOKUP('Données projet'!$B$11,Paramètres!$A$1:$I$89,5,0)</f>
        <v>204.31008000000008</v>
      </c>
      <c r="BF55" s="14">
        <f t="shared" si="37"/>
        <v>50.690214235398379</v>
      </c>
      <c r="BG55" s="22">
        <f t="shared" si="7"/>
        <v>444.12551245998566</v>
      </c>
      <c r="BH55" s="62">
        <f t="shared" si="8"/>
        <v>737.45884579331891</v>
      </c>
      <c r="BI55" s="62">
        <f ca="1">AVERAGE(OFFSET($BH$3,0,0,'Données projet'!$E$11+1,1))-AVERAGE(OFFSET($H$3,0,0,'Données projet'!$E$11+1,1))</f>
        <v>359.18294335011535</v>
      </c>
      <c r="BJ55" s="62">
        <f t="shared" si="38"/>
        <v>345.47508134331241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18.932049462181148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18.932049462181148</v>
      </c>
      <c r="BT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7.4</v>
      </c>
      <c r="BY55" s="13">
        <f>IF('Données projet'!$A$114&gt;35,BY54+BX55-CG54,IF(A55&lt;'Données projet'!$A$114,$BV$205^A55,IF(A55='Données projet'!$A$114,'Données projet'!$B$114,BY54+BX55-CG54)))</f>
        <v>256.80000000000007</v>
      </c>
      <c r="BZ55" s="14">
        <f>BY55*VLOOKUP('Données projet'!$B$12,Paramètres!$A$1:$I$89,3,0)*VLOOKUP('Données projet'!$B$12,Paramètres!$A$1:$I$89,5,0)</f>
        <v>188.28576000000004</v>
      </c>
      <c r="CA55" s="14">
        <f t="shared" si="39"/>
        <v>47.160759045639651</v>
      </c>
      <c r="CB55" s="22">
        <f t="shared" si="10"/>
        <v>410.06935400448907</v>
      </c>
      <c r="CC55" s="62">
        <f t="shared" si="11"/>
        <v>703.40268733782239</v>
      </c>
      <c r="CD55" s="62">
        <f ca="1">AVERAGE(OFFSET($CC$3,0,0,'Données projet'!$E$12+1,1))-AVERAGE(OFFSET($H$3,0,0,'Données projet'!$E$12+1,1))</f>
        <v>333.9187211440219</v>
      </c>
      <c r="CE55" s="62">
        <f t="shared" si="40"/>
        <v>321.81422611044997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14.155261547564956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14.155261547564956</v>
      </c>
      <c r="CO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7.4</v>
      </c>
      <c r="CT55" s="13">
        <f>IF('Données projet'!$A$140&gt;35,CT54+CS55-DB54,IF(A55&lt;'Données projet'!$A$140,$CQ$205^A55,IF(A55='Données projet'!$A$140,'Données projet'!$B$140,CT54+CS55-DB54)))</f>
        <v>256.80000000000007</v>
      </c>
      <c r="CU55" s="18">
        <f>CT55*VLOOKUP('Données projet'!$B$13,Paramètres!$A$1:$I$89,3,0)*VLOOKUP('Données projet'!$B$13,Paramètres!$A$1:$I$89,5,0)</f>
        <v>208.31616000000005</v>
      </c>
      <c r="CV55" s="14">
        <f t="shared" si="41"/>
        <v>51.567452064520282</v>
      </c>
      <c r="CW55" s="22">
        <f t="shared" si="13"/>
        <v>452.63062434570617</v>
      </c>
      <c r="CX55" s="62">
        <f t="shared" si="14"/>
        <v>745.96395767903948</v>
      </c>
      <c r="CY55" s="62">
        <f ca="1">AVERAGE(OFFSET($CX$3,0,0,'Données projet'!$E$13+1,1))-AVERAGE(OFFSET($H$3,0,0,'Données projet'!$E$13+1,1))</f>
        <v>365.492319515595</v>
      </c>
      <c r="CZ55" s="62">
        <f t="shared" si="42"/>
        <v>351.38386928091433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15.661140435603789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15.661140435603789</v>
      </c>
      <c r="DJ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9.5537500000000009</v>
      </c>
      <c r="DO55" s="13">
        <f>IF('Données projet'!$A$166&gt;35,DO54+DN55-DW54,IF(A55&lt;'Données projet'!$A$166,$DL$205^A55,IF(A55='Données projet'!$A$166,'Données projet'!$B$166,DO54+DN55-DW54)))</f>
        <v>178.54750000000016</v>
      </c>
      <c r="DP55" s="18">
        <f>DO55*VLOOKUP('Données projet'!$B$14,Paramètres!$A$1:$I$89,3,0)*VLOOKUP('Données projet'!$B$14,Paramètres!$A$1:$I$89,5,0)</f>
        <v>150.40841400000014</v>
      </c>
      <c r="DQ55" s="14">
        <f t="shared" si="43"/>
        <v>38.671384475108006</v>
      </c>
      <c r="DR55" s="22">
        <f t="shared" si="16"/>
        <v>329.31398234414667</v>
      </c>
      <c r="DS55" s="62">
        <f t="shared" si="17"/>
        <v>622.64731567748004</v>
      </c>
      <c r="DT55" s="62">
        <f ca="1">AVERAGE(OFFSET($DS$3,0,0,'Données projet'!$E$14+1,1))-AVERAGE(OFFSET($H$3,0,0,'Données projet'!$E$14+1,1))</f>
        <v>544.89250424794909</v>
      </c>
      <c r="DU55" s="62">
        <f t="shared" si="44"/>
        <v>253.98688498110715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5.5776808833916922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5.5776808833916922</v>
      </c>
      <c r="EE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9.5537500000000009</v>
      </c>
      <c r="EJ55" s="13">
        <f>IF('Données projet'!$A$192&gt;35,EJ54+EI55-ER54,IF(A55&lt;'Données projet'!$A$192,$EG$205^A55,IF(A55='Données projet'!$A$192,'Données projet'!$B$192,EJ54+EI55-ER54)))</f>
        <v>178.54750000000016</v>
      </c>
      <c r="EK55" s="18">
        <f>EJ55*VLOOKUP('Données projet'!$B$15,Paramètres!$A$1:$I$89,3,0)*VLOOKUP('Données projet'!$B$15,Paramètres!$A$1:$I$89,5,0)</f>
        <v>161.54977800000012</v>
      </c>
      <c r="EL55" s="14">
        <f t="shared" si="45"/>
        <v>41.191875810979205</v>
      </c>
      <c r="EM55" s="22">
        <f t="shared" si="19"/>
        <v>353.10838038745561</v>
      </c>
      <c r="EN55" s="62">
        <f t="shared" si="20"/>
        <v>646.44171372078893</v>
      </c>
      <c r="EO55" s="62">
        <f ca="1">AVERAGE(OFFSET($EN$3,0,0,'Données projet'!$E$15+1,1))-AVERAGE(OFFSET($H$3,0,0,'Données projet'!$E$15+1,1))</f>
        <v>581.88778927327667</v>
      </c>
      <c r="EP55" s="62">
        <f t="shared" si="46"/>
        <v>269.67340993773422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5.9908424303095948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5.9908424303095948</v>
      </c>
      <c r="EZ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9.5537500000000009</v>
      </c>
      <c r="FE55" s="13">
        <f>IF('Données projet'!$A$218&gt;35,FE54+FD55-FM54,IF(A55&lt;'Données projet'!$A$218,$FB$205^A55,IF(A55='Données projet'!$A$218,'Données projet'!$B$218,FE54+FD55-FM54)))</f>
        <v>178.54750000000016</v>
      </c>
      <c r="FF55" s="18">
        <f>FE55*VLOOKUP('Données projet'!$B$16,Paramètres!$A$1:$I$89,3,0)*VLOOKUP('Données projet'!$B$16,Paramètres!$A$1:$I$89,5,0)</f>
        <v>181.04716500000015</v>
      </c>
      <c r="FG55" s="14">
        <f t="shared" si="47"/>
        <v>45.55508237501288</v>
      </c>
      <c r="FH55" s="22">
        <f t="shared" si="22"/>
        <v>394.66558084481431</v>
      </c>
      <c r="FI55" s="62">
        <f t="shared" si="23"/>
        <v>687.99891417814763</v>
      </c>
      <c r="FJ55" s="62">
        <f ca="1">AVERAGE(OFFSET($FI$3,0,0,'Données projet'!$E$16+1,1))-AVERAGE(OFFSET($H$3,0,0,'Données projet'!$E$16+1,1))</f>
        <v>646.50767193970182</v>
      </c>
      <c r="FK55" s="62">
        <f t="shared" si="48"/>
        <v>297.06786598620607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6.7138751374159265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6.7138751374159265</v>
      </c>
      <c r="FU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9.5537500000000009</v>
      </c>
      <c r="FZ55" s="13">
        <f>IF('Données projet'!$A$244&gt;35,FZ54+FY55-GH54,IF(A55&lt;'Données projet'!$A$244,$FW$205^A55,IF(A55='Données projet'!$A$244,'Données projet'!$B$244,FZ54+FY55-GH54)))</f>
        <v>178.54750000000016</v>
      </c>
      <c r="GA55" s="18">
        <f>FZ55*VLOOKUP('Données projet'!$B$17,Paramètres!$A$1:$I$89,3,0)*VLOOKUP('Données projet'!$B$17,Paramètres!$A$1:$I$89,5,0)</f>
        <v>119.76966300000011</v>
      </c>
      <c r="GB55" s="14">
        <f t="shared" si="49"/>
        <v>31.621270965639045</v>
      </c>
      <c r="GC55" s="22">
        <f t="shared" si="25"/>
        <v>263.67254332348824</v>
      </c>
      <c r="GD55" s="62">
        <f t="shared" si="26"/>
        <v>557.00587665682156</v>
      </c>
      <c r="GE55" s="62">
        <f ca="1">AVERAGE(OFFSET($GD$3,0,0,'Données projet'!$E$17+1,1))-AVERAGE(OFFSET($H$3,0,0,'Données projet'!$E$17+1,1))</f>
        <v>442.85175349826028</v>
      </c>
      <c r="GF55" s="62">
        <f t="shared" si="50"/>
        <v>210.70697808232501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5.4743904966622168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5.4743904966622168</v>
      </c>
      <c r="GP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8.1999999999999993</v>
      </c>
      <c r="GU55" s="13">
        <f>IF('Données projet'!$A$270&gt;35,GU54+GT55-HC54,IF(A55&lt;'Données projet'!$A$270,$GR$205^A55,IF(A55='Données projet'!$A$270,'Données projet'!$B$270,GU54+GT55-HC54)))</f>
        <v>207.39999999999998</v>
      </c>
      <c r="GV55" s="18">
        <f>GU55*VLOOKUP('Données projet'!$B$18,Paramètres!$A$1:$I$89,3,0)*VLOOKUP('Données projet'!$B$18,Paramètres!$A$1:$I$89,5,0)</f>
        <v>197.36183999999997</v>
      </c>
      <c r="GW55" s="14">
        <f t="shared" si="51"/>
        <v>49.163932700586031</v>
      </c>
      <c r="GX55" s="22">
        <f t="shared" si="28"/>
        <v>429.36572078685396</v>
      </c>
      <c r="GY55" s="62">
        <f t="shared" si="29"/>
        <v>722.69905412018727</v>
      </c>
      <c r="GZ55" s="62">
        <f ca="1">AVERAGE(OFFSET($GY$3,0,0,'Données projet'!$E$18+1,1))-AVERAGE(OFFSET($H$3,0,0,'Données projet'!$E$18+1,1))</f>
        <v>420.2510366318939</v>
      </c>
      <c r="HA55" s="62">
        <f t="shared" si="52"/>
        <v>220.59884411514116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9.7206449152690002</v>
      </c>
      <c r="HH55" s="23">
        <f>EXP(-LN(2)/25)*HH54+(1-EXP(-LN(2)/25))/(LN(2)/25)*Calculateur!HC55*Calculateur!HE55*VLOOKUP('Données projet'!$B$18,Paramètres!$A$1:$I$89,3,0)*0.475*44/12</f>
        <v>0</v>
      </c>
      <c r="HI55" s="23">
        <f>EXP(-LN(2)/2)*HI54+(1-EXP(-LN(2)/2))/(LN(2)/2)*HC55*HF55*VLOOKUP('Données projet'!$B$18,Paramètres!$A$1:$I$89,3,0)*0.475*44/12</f>
        <v>0</v>
      </c>
      <c r="HJ55" s="24">
        <f t="shared" si="30"/>
        <v>9.7206449152690002</v>
      </c>
    </row>
    <row r="56" spans="1:218" s="5" customFormat="1" x14ac:dyDescent="0.2">
      <c r="A56" s="11">
        <f t="shared" si="31"/>
        <v>53</v>
      </c>
      <c r="B56" s="74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15.75</v>
      </c>
      <c r="N56" s="14">
        <f>IF('Données projet'!$A$36&gt;35,N55+M56-V55,IF(A56&lt;'Données projet'!$A$36,$K$205^A56,IF(A56='Données projet'!$A$36,'Données projet'!$B$36,N55+M56-V55)))</f>
        <v>367.50000000000011</v>
      </c>
      <c r="O56" s="14">
        <f>N56*VLOOKUP('Données projet'!$B$9,Paramètres!$A$1:$I$89,3,0)*VLOOKUP('Données projet'!$B$9,Paramètres!$A$1:$I$89,5,0)</f>
        <v>315.31500000000017</v>
      </c>
      <c r="P56" s="14">
        <f t="shared" si="33"/>
        <v>74.377713122664133</v>
      </c>
      <c r="Q56" s="22">
        <f t="shared" si="53"/>
        <v>678.71480868864035</v>
      </c>
      <c r="R56" s="62">
        <f t="shared" si="0"/>
        <v>972.04814202197372</v>
      </c>
      <c r="S56" s="62">
        <f ca="1">AVERAGE(OFFSET($R$3,0,0,'Données projet'!$E$9+1,1))-AVERAGE(OFFSET($H$3,0,0,'Données projet'!$E$9+1,1))</f>
        <v>623.31285537237943</v>
      </c>
      <c r="T56" s="62">
        <f t="shared" si="34"/>
        <v>462.33909258902241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70.494063686407614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70.494063686407614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7.4</v>
      </c>
      <c r="AI56" s="14">
        <f>IF('Données projet'!$A$62&gt;35,AI55+AH56-AQ55,IF(A56&lt;'Données projet'!$A$62,$AF$205^A56,IF(A56='Données projet'!$A$62,'Données projet'!$B$62,AI55+AH56-AQ55)))</f>
        <v>264.20000000000005</v>
      </c>
      <c r="AJ56" s="14">
        <f>AI56*VLOOKUP('Données projet'!$B$10,Paramètres!$A$1:$I$89,3,0)*VLOOKUP('Données projet'!$B$10,Paramètres!$A$1:$I$89,5,0)</f>
        <v>230.80512000000004</v>
      </c>
      <c r="AK56" s="14">
        <f t="shared" si="35"/>
        <v>56.456731878408327</v>
      </c>
      <c r="AL56" s="22">
        <f t="shared" si="4"/>
        <v>500.31439202156122</v>
      </c>
      <c r="AM56" s="62">
        <f t="shared" si="5"/>
        <v>793.64772535489453</v>
      </c>
      <c r="AN56" s="62">
        <f ca="1">AVERAGE(OFFSET($AM$3,0,0,'Données projet'!$E$10+1,1))-AVERAGE(OFFSET($H$3,0,0,'Données projet'!$E$10+1,1))</f>
        <v>390.70479111593545</v>
      </c>
      <c r="AO56" s="62">
        <f t="shared" si="36"/>
        <v>374.99493809709708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20.380490139210057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20.380490139210057</v>
      </c>
      <c r="AY56" s="7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7.4</v>
      </c>
      <c r="BD56" s="13">
        <f>IF('Données projet'!$A$88&gt;35,BD55+BC56-BL55,IF(A56&lt;'Données projet'!$A$88,$BA$205^A56,IF(A56='Données projet'!$A$88,'Données projet'!$B$88,BD55+BC56-BL55)))</f>
        <v>264.20000000000005</v>
      </c>
      <c r="BE56" s="14">
        <f>BD56*VLOOKUP('Données projet'!$B$11,Paramètres!$A$1:$I$89,3,0)*VLOOKUP('Données projet'!$B$11,Paramètres!$A$1:$I$89,5,0)</f>
        <v>210.19752000000003</v>
      </c>
      <c r="BF56" s="14">
        <f t="shared" si="37"/>
        <v>51.978746425856599</v>
      </c>
      <c r="BG56" s="22">
        <f t="shared" si="7"/>
        <v>456.62366402503358</v>
      </c>
      <c r="BH56" s="62">
        <f t="shared" si="8"/>
        <v>749.95699735836683</v>
      </c>
      <c r="BI56" s="62">
        <f ca="1">AVERAGE(OFFSET($BH$3,0,0,'Données projet'!$E$11+1,1))-AVERAGE(OFFSET($H$3,0,0,'Données projet'!$E$11+1,1))</f>
        <v>359.18294335011535</v>
      </c>
      <c r="BJ56" s="62">
        <f t="shared" si="38"/>
        <v>345.47508134331241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18.560803519637734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18.560803519637734</v>
      </c>
      <c r="BT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7.4</v>
      </c>
      <c r="BY56" s="13">
        <f>IF('Données projet'!$A$114&gt;35,BY55+BX56-CG55,IF(A56&lt;'Données projet'!$A$114,$BV$205^A56,IF(A56='Données projet'!$A$114,'Données projet'!$B$114,BY55+BX56-CG55)))</f>
        <v>264.20000000000005</v>
      </c>
      <c r="BZ56" s="14">
        <f>BY56*VLOOKUP('Données projet'!$B$12,Paramètres!$A$1:$I$89,3,0)*VLOOKUP('Données projet'!$B$12,Paramètres!$A$1:$I$89,5,0)</f>
        <v>193.71144000000004</v>
      </c>
      <c r="CA56" s="14">
        <f t="shared" si="39"/>
        <v>48.359573394195252</v>
      </c>
      <c r="CB56" s="22">
        <f t="shared" si="10"/>
        <v>421.60701499489011</v>
      </c>
      <c r="CC56" s="62">
        <f t="shared" si="11"/>
        <v>714.94034832822342</v>
      </c>
      <c r="CD56" s="62">
        <f ca="1">AVERAGE(OFFSET($CC$3,0,0,'Données projet'!$E$12+1,1))-AVERAGE(OFFSET($H$3,0,0,'Données projet'!$E$12+1,1))</f>
        <v>333.9187211440219</v>
      </c>
      <c r="CE56" s="62">
        <f t="shared" si="40"/>
        <v>321.81422611044997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13.877685502474229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13.877685502474229</v>
      </c>
      <c r="CO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7.4</v>
      </c>
      <c r="CT56" s="13">
        <f>IF('Données projet'!$A$140&gt;35,CT55+CS56-DB55,IF(A56&lt;'Données projet'!$A$140,$CQ$205^A56,IF(A56='Données projet'!$A$140,'Données projet'!$B$140,CT55+CS56-DB55)))</f>
        <v>264.20000000000005</v>
      </c>
      <c r="CU56" s="18">
        <f>CT56*VLOOKUP('Données projet'!$B$13,Paramètres!$A$1:$I$89,3,0)*VLOOKUP('Données projet'!$B$13,Paramètres!$A$1:$I$89,5,0)</f>
        <v>214.31904000000003</v>
      </c>
      <c r="CV56" s="14">
        <f t="shared" si="41"/>
        <v>52.878283414659741</v>
      </c>
      <c r="CW56" s="22">
        <f t="shared" si="13"/>
        <v>465.36867161386573</v>
      </c>
      <c r="CX56" s="62">
        <f t="shared" si="14"/>
        <v>758.70200494719904</v>
      </c>
      <c r="CY56" s="62">
        <f ca="1">AVERAGE(OFFSET($CX$3,0,0,'Données projet'!$E$13+1,1))-AVERAGE(OFFSET($H$3,0,0,'Données projet'!$E$13+1,1))</f>
        <v>365.492319515595</v>
      </c>
      <c r="CZ56" s="62">
        <f t="shared" si="42"/>
        <v>351.38386928091433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15.354035024014047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15.354035024014047</v>
      </c>
      <c r="DJ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9.5537500000000009</v>
      </c>
      <c r="DO56" s="13">
        <f>IF('Données projet'!$A$166&gt;35,DO55+DN56-DW55,IF(A56&lt;'Données projet'!$A$166,$DL$205^A56,IF(A56='Données projet'!$A$166,'Données projet'!$B$166,DO55+DN56-DW55)))</f>
        <v>188.10125000000016</v>
      </c>
      <c r="DP56" s="18">
        <f>DO56*VLOOKUP('Données projet'!$B$14,Paramètres!$A$1:$I$89,3,0)*VLOOKUP('Données projet'!$B$14,Paramètres!$A$1:$I$89,5,0)</f>
        <v>158.45649300000017</v>
      </c>
      <c r="DQ56" s="14">
        <f t="shared" si="43"/>
        <v>40.494176924358179</v>
      </c>
      <c r="DR56" s="22">
        <f t="shared" si="16"/>
        <v>346.50575011825748</v>
      </c>
      <c r="DS56" s="62">
        <f t="shared" si="17"/>
        <v>639.8390834515908</v>
      </c>
      <c r="DT56" s="62">
        <f ca="1">AVERAGE(OFFSET($DS$3,0,0,'Données projet'!$E$14+1,1))-AVERAGE(OFFSET($H$3,0,0,'Données projet'!$E$14+1,1))</f>
        <v>544.89250424794909</v>
      </c>
      <c r="DU56" s="62">
        <f t="shared" si="44"/>
        <v>253.98688498110715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5.4683059633177953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5.4683059633177953</v>
      </c>
      <c r="EE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9.5537500000000009</v>
      </c>
      <c r="EJ56" s="13">
        <f>IF('Données projet'!$A$192&gt;35,EJ55+EI56-ER55,IF(A56&lt;'Données projet'!$A$192,$EG$205^A56,IF(A56='Données projet'!$A$192,'Données projet'!$B$192,EJ55+EI56-ER55)))</f>
        <v>188.10125000000016</v>
      </c>
      <c r="EK56" s="18">
        <f>EJ56*VLOOKUP('Données projet'!$B$15,Paramètres!$A$1:$I$89,3,0)*VLOOKUP('Données projet'!$B$15,Paramètres!$A$1:$I$89,5,0)</f>
        <v>170.19401100000013</v>
      </c>
      <c r="EL56" s="14">
        <f t="shared" si="45"/>
        <v>43.133472710542861</v>
      </c>
      <c r="EM56" s="22">
        <f t="shared" si="19"/>
        <v>371.54536746252899</v>
      </c>
      <c r="EN56" s="62">
        <f t="shared" si="20"/>
        <v>664.8787007958623</v>
      </c>
      <c r="EO56" s="62">
        <f ca="1">AVERAGE(OFFSET($EN$3,0,0,'Données projet'!$E$15+1,1))-AVERAGE(OFFSET($H$3,0,0,'Données projet'!$E$15+1,1))</f>
        <v>581.88778927327667</v>
      </c>
      <c r="EP56" s="62">
        <f t="shared" si="46"/>
        <v>269.67340993773422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5.8733656643042984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5.8733656643042984</v>
      </c>
      <c r="EZ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9.5537500000000009</v>
      </c>
      <c r="FE56" s="13">
        <f>IF('Données projet'!$A$218&gt;35,FE55+FD56-FM55,IF(A56&lt;'Données projet'!$A$218,$FB$205^A56,IF(A56='Données projet'!$A$218,'Données projet'!$B$218,FE55+FD56-FM55)))</f>
        <v>188.10125000000016</v>
      </c>
      <c r="FF56" s="18">
        <f>FE56*VLOOKUP('Données projet'!$B$16,Paramètres!$A$1:$I$89,3,0)*VLOOKUP('Données projet'!$B$16,Paramètres!$A$1:$I$89,5,0)</f>
        <v>190.73466750000017</v>
      </c>
      <c r="FG56" s="14">
        <f t="shared" si="47"/>
        <v>47.70234090493684</v>
      </c>
      <c r="FH56" s="22">
        <f t="shared" si="22"/>
        <v>415.27778963859856</v>
      </c>
      <c r="FI56" s="62">
        <f t="shared" si="23"/>
        <v>708.61112297193188</v>
      </c>
      <c r="FJ56" s="62">
        <f ca="1">AVERAGE(OFFSET($FI$3,0,0,'Données projet'!$E$16+1,1))-AVERAGE(OFFSET($H$3,0,0,'Données projet'!$E$16+1,1))</f>
        <v>646.50767193970182</v>
      </c>
      <c r="FK56" s="62">
        <f t="shared" si="48"/>
        <v>297.06786598620607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6.58222014103068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6.58222014103068</v>
      </c>
      <c r="FU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9.5537500000000009</v>
      </c>
      <c r="FZ56" s="13">
        <f>IF('Données projet'!$A$244&gt;35,FZ55+FY56-GH55,IF(A56&lt;'Données projet'!$A$244,$FW$205^A56,IF(A56='Données projet'!$A$244,'Données projet'!$B$244,FZ55+FY56-GH55)))</f>
        <v>188.10125000000016</v>
      </c>
      <c r="GA56" s="18">
        <f>FZ56*VLOOKUP('Données projet'!$B$17,Paramètres!$A$1:$I$89,3,0)*VLOOKUP('Données projet'!$B$17,Paramètres!$A$1:$I$89,5,0)</f>
        <v>126.17831850000012</v>
      </c>
      <c r="GB56" s="14">
        <f t="shared" si="49"/>
        <v>33.1117532624123</v>
      </c>
      <c r="GC56" s="22">
        <f t="shared" si="25"/>
        <v>277.43020831953498</v>
      </c>
      <c r="GD56" s="62">
        <f t="shared" si="26"/>
        <v>570.7635416528683</v>
      </c>
      <c r="GE56" s="62">
        <f ca="1">AVERAGE(OFFSET($GD$3,0,0,'Données projet'!$E$17+1,1))-AVERAGE(OFFSET($H$3,0,0,'Données projet'!$E$17+1,1))</f>
        <v>442.85175349826028</v>
      </c>
      <c r="GF56" s="62">
        <f t="shared" si="50"/>
        <v>210.70697808232501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5.3670410380711697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5.3670410380711697</v>
      </c>
      <c r="GP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8.1999999999999993</v>
      </c>
      <c r="GU56" s="13">
        <f>IF('Données projet'!$A$270&gt;35,GU55+GT56-HC55,IF(A56&lt;'Données projet'!$A$270,$GR$205^A56,IF(A56='Données projet'!$A$270,'Données projet'!$B$270,GU55+GT56-HC55)))</f>
        <v>215.59999999999997</v>
      </c>
      <c r="GV56" s="18">
        <f>GU56*VLOOKUP('Données projet'!$B$18,Paramètres!$A$1:$I$89,3,0)*VLOOKUP('Données projet'!$B$18,Paramètres!$A$1:$I$89,5,0)</f>
        <v>205.16495999999995</v>
      </c>
      <c r="GW56" s="14">
        <f t="shared" si="51"/>
        <v>50.877579718882295</v>
      </c>
      <c r="GX56" s="22">
        <f t="shared" si="28"/>
        <v>445.94075667705329</v>
      </c>
      <c r="GY56" s="62">
        <f t="shared" si="29"/>
        <v>739.27409001038654</v>
      </c>
      <c r="GZ56" s="62">
        <f ca="1">AVERAGE(OFFSET($GY$3,0,0,'Données projet'!$E$18+1,1))-AVERAGE(OFFSET($H$3,0,0,'Données projet'!$E$18+1,1))</f>
        <v>420.2510366318939</v>
      </c>
      <c r="HA56" s="62">
        <f t="shared" si="52"/>
        <v>220.59884411514116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9.5300289974885324</v>
      </c>
      <c r="HH56" s="23">
        <f>EXP(-LN(2)/25)*HH55+(1-EXP(-LN(2)/25))/(LN(2)/25)*Calculateur!HC56*Calculateur!HE56*VLOOKUP('Données projet'!$B$18,Paramètres!$A$1:$I$89,3,0)*0.475*44/12</f>
        <v>0</v>
      </c>
      <c r="HI56" s="23">
        <f>EXP(-LN(2)/2)*HI55+(1-EXP(-LN(2)/2))/(LN(2)/2)*HC56*HF56*VLOOKUP('Données projet'!$B$18,Paramètres!$A$1:$I$89,3,0)*0.475*44/12</f>
        <v>0</v>
      </c>
      <c r="HJ56" s="24">
        <f t="shared" si="30"/>
        <v>9.5300289974885324</v>
      </c>
    </row>
    <row r="57" spans="1:218" s="5" customFormat="1" x14ac:dyDescent="0.2">
      <c r="A57" s="11">
        <f t="shared" si="31"/>
        <v>54</v>
      </c>
      <c r="B57" s="74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15.75</v>
      </c>
      <c r="N57" s="14">
        <f>IF('Données projet'!$A$36&gt;35,N56+M57-V56,IF(A57&lt;'Données projet'!$A$36,$K$205^A57,IF(A57='Données projet'!$A$36,'Données projet'!$B$36,N56+M57-V56)))</f>
        <v>383.25000000000011</v>
      </c>
      <c r="O57" s="14">
        <f>N57*VLOOKUP('Données projet'!$B$9,Paramètres!$A$1:$I$89,3,0)*VLOOKUP('Données projet'!$B$9,Paramètres!$A$1:$I$89,5,0)</f>
        <v>328.82850000000013</v>
      </c>
      <c r="P57" s="14">
        <f t="shared" si="33"/>
        <v>77.187375084656068</v>
      </c>
      <c r="Q57" s="22">
        <f t="shared" si="53"/>
        <v>707.14431577244295</v>
      </c>
      <c r="R57" s="62">
        <f t="shared" si="0"/>
        <v>1000.4776491057762</v>
      </c>
      <c r="S57" s="62">
        <f ca="1">AVERAGE(OFFSET($R$3,0,0,'Données projet'!$E$9+1,1))-AVERAGE(OFFSET($H$3,0,0,'Données projet'!$E$9+1,1))</f>
        <v>623.31285537237943</v>
      </c>
      <c r="T57" s="62">
        <f t="shared" si="34"/>
        <v>462.33909258902241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69.111718094650399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69.111718094650399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7.4</v>
      </c>
      <c r="AI57" s="14">
        <f>IF('Données projet'!$A$62&gt;35,AI56+AH57-AQ56,IF(A57&lt;'Données projet'!$A$62,$AF$205^A57,IF(A57='Données projet'!$A$62,'Données projet'!$B$62,AI56+AH57-AQ56)))</f>
        <v>271.60000000000002</v>
      </c>
      <c r="AJ57" s="14">
        <f>AI57*VLOOKUP('Données projet'!$B$10,Paramètres!$A$1:$I$89,3,0)*VLOOKUP('Données projet'!$B$10,Paramètres!$A$1:$I$89,5,0)</f>
        <v>237.26976000000005</v>
      </c>
      <c r="AK57" s="14">
        <f t="shared" si="35"/>
        <v>57.851715465848002</v>
      </c>
      <c r="AL57" s="22">
        <f t="shared" si="4"/>
        <v>514.00323643635204</v>
      </c>
      <c r="AM57" s="62">
        <f t="shared" si="5"/>
        <v>807.33656976968541</v>
      </c>
      <c r="AN57" s="62">
        <f ca="1">AVERAGE(OFFSET($AM$3,0,0,'Données projet'!$E$10+1,1))-AVERAGE(OFFSET($H$3,0,0,'Données projet'!$E$10+1,1))</f>
        <v>390.70479111593545</v>
      </c>
      <c r="AO57" s="62">
        <f t="shared" si="36"/>
        <v>374.99493809709708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19.980841158451685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19.980841158451685</v>
      </c>
      <c r="AY57" s="7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7.4</v>
      </c>
      <c r="BD57" s="13">
        <f>IF('Données projet'!$A$88&gt;35,BD56+BC57-BL56,IF(A57&lt;'Données projet'!$A$88,$BA$205^A57,IF(A57='Données projet'!$A$88,'Données projet'!$B$88,BD56+BC57-BL56)))</f>
        <v>271.60000000000002</v>
      </c>
      <c r="BE57" s="14">
        <f>BD57*VLOOKUP('Données projet'!$B$11,Paramètres!$A$1:$I$89,3,0)*VLOOKUP('Données projet'!$B$11,Paramètres!$A$1:$I$89,5,0)</f>
        <v>216.08496000000002</v>
      </c>
      <c r="BF57" s="14">
        <f t="shared" si="37"/>
        <v>53.26308393083157</v>
      </c>
      <c r="BG57" s="22">
        <f t="shared" si="7"/>
        <v>469.11450984619825</v>
      </c>
      <c r="BH57" s="62">
        <f t="shared" si="8"/>
        <v>762.44784317953156</v>
      </c>
      <c r="BI57" s="62">
        <f ca="1">AVERAGE(OFFSET($BH$3,0,0,'Données projet'!$E$11+1,1))-AVERAGE(OFFSET($H$3,0,0,'Données projet'!$E$11+1,1))</f>
        <v>359.18294335011535</v>
      </c>
      <c r="BJ57" s="62">
        <f t="shared" si="38"/>
        <v>345.47508134331241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18.196837483589931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18.196837483589931</v>
      </c>
      <c r="BT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7.4</v>
      </c>
      <c r="BY57" s="13">
        <f>IF('Données projet'!$A$114&gt;35,BY56+BX57-CG56,IF(A57&lt;'Données projet'!$A$114,$BV$205^A57,IF(A57='Données projet'!$A$114,'Données projet'!$B$114,BY56+BX57-CG56)))</f>
        <v>271.60000000000002</v>
      </c>
      <c r="BZ57" s="14">
        <f>BY57*VLOOKUP('Données projet'!$B$12,Paramètres!$A$1:$I$89,3,0)*VLOOKUP('Données projet'!$B$12,Paramètres!$A$1:$I$89,5,0)</f>
        <v>199.13712000000001</v>
      </c>
      <c r="CA57" s="14">
        <f t="shared" si="39"/>
        <v>49.554485124576232</v>
      </c>
      <c r="CB57" s="22">
        <f t="shared" si="10"/>
        <v>433.1378789253036</v>
      </c>
      <c r="CC57" s="62">
        <f t="shared" si="11"/>
        <v>726.47121225863691</v>
      </c>
      <c r="CD57" s="62">
        <f ca="1">AVERAGE(OFFSET($CC$3,0,0,'Données projet'!$E$12+1,1))-AVERAGE(OFFSET($H$3,0,0,'Données projet'!$E$12+1,1))</f>
        <v>333.9187211440219</v>
      </c>
      <c r="CE57" s="62">
        <f t="shared" si="40"/>
        <v>321.81422611044997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13.605552554323062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13.605552554323062</v>
      </c>
      <c r="CO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7.4</v>
      </c>
      <c r="CT57" s="13">
        <f>IF('Données projet'!$A$140&gt;35,CT56+CS57-DB56,IF(A57&lt;'Données projet'!$A$140,$CQ$205^A57,IF(A57='Données projet'!$A$140,'Données projet'!$B$140,CT56+CS57-DB56)))</f>
        <v>271.60000000000002</v>
      </c>
      <c r="CU57" s="18">
        <f>CT57*VLOOKUP('Données projet'!$B$13,Paramètres!$A$1:$I$89,3,0)*VLOOKUP('Données projet'!$B$13,Paramètres!$A$1:$I$89,5,0)</f>
        <v>220.32192000000006</v>
      </c>
      <c r="CV57" s="14">
        <f t="shared" si="41"/>
        <v>54.18484748666976</v>
      </c>
      <c r="CW57" s="22">
        <f t="shared" si="13"/>
        <v>478.09928670594996</v>
      </c>
      <c r="CX57" s="62">
        <f t="shared" si="14"/>
        <v>771.43262003928328</v>
      </c>
      <c r="CY57" s="62">
        <f ca="1">AVERAGE(OFFSET($CX$3,0,0,'Données projet'!$E$13+1,1))-AVERAGE(OFFSET($H$3,0,0,'Données projet'!$E$13+1,1))</f>
        <v>365.492319515595</v>
      </c>
      <c r="CZ57" s="62">
        <f t="shared" si="42"/>
        <v>351.38386928091433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15.052951762229776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15.052951762229776</v>
      </c>
      <c r="DJ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9.5537500000000009</v>
      </c>
      <c r="DO57" s="13">
        <f>IF('Données projet'!$A$166&gt;35,DO56+DN57-DW56,IF(A57&lt;'Données projet'!$A$166,$DL$205^A57,IF(A57='Données projet'!$A$166,'Données projet'!$B$166,DO56+DN57-DW56)))</f>
        <v>197.65500000000017</v>
      </c>
      <c r="DP57" s="18">
        <f>DO57*VLOOKUP('Données projet'!$B$14,Paramètres!$A$1:$I$89,3,0)*VLOOKUP('Données projet'!$B$14,Paramètres!$A$1:$I$89,5,0)</f>
        <v>166.50457200000017</v>
      </c>
      <c r="DQ57" s="14">
        <f t="shared" si="43"/>
        <v>42.306219919185189</v>
      </c>
      <c r="DR57" s="22">
        <f t="shared" si="16"/>
        <v>363.67879592591447</v>
      </c>
      <c r="DS57" s="62">
        <f t="shared" si="17"/>
        <v>657.01212925924779</v>
      </c>
      <c r="DT57" s="62">
        <f ca="1">AVERAGE(OFFSET($DS$3,0,0,'Données projet'!$E$14+1,1))-AVERAGE(OFFSET($H$3,0,0,'Données projet'!$E$14+1,1))</f>
        <v>544.89250424794909</v>
      </c>
      <c r="DU57" s="62">
        <f t="shared" si="44"/>
        <v>253.98688498110715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5.3610758187144336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5.3610758187144336</v>
      </c>
      <c r="EE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9.5537500000000009</v>
      </c>
      <c r="EJ57" s="13">
        <f>IF('Données projet'!$A$192&gt;35,EJ56+EI57-ER56,IF(A57&lt;'Données projet'!$A$192,$EG$205^A57,IF(A57='Données projet'!$A$192,'Données projet'!$B$192,EJ56+EI57-ER56)))</f>
        <v>197.65500000000017</v>
      </c>
      <c r="EK57" s="18">
        <f>EJ57*VLOOKUP('Données projet'!$B$15,Paramètres!$A$1:$I$89,3,0)*VLOOKUP('Données projet'!$B$15,Paramètres!$A$1:$I$89,5,0)</f>
        <v>178.83824400000015</v>
      </c>
      <c r="EL57" s="14">
        <f t="shared" si="45"/>
        <v>45.06361953668285</v>
      </c>
      <c r="EM57" s="22">
        <f t="shared" si="19"/>
        <v>389.96241232638954</v>
      </c>
      <c r="EN57" s="62">
        <f t="shared" si="20"/>
        <v>683.2957456597228</v>
      </c>
      <c r="EO57" s="62">
        <f ca="1">AVERAGE(OFFSET($EN$3,0,0,'Données projet'!$E$15+1,1))-AVERAGE(OFFSET($H$3,0,0,'Données projet'!$E$15+1,1))</f>
        <v>581.88778927327667</v>
      </c>
      <c r="EP57" s="62">
        <f t="shared" si="46"/>
        <v>269.67340993773422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5.7581925460266135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5.7581925460266135</v>
      </c>
      <c r="EZ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9.5537500000000009</v>
      </c>
      <c r="FE57" s="13">
        <f>IF('Données projet'!$A$218&gt;35,FE56+FD57-FM56,IF(A57&lt;'Données projet'!$A$218,$FB$205^A57,IF(A57='Données projet'!$A$218,'Données projet'!$B$218,FE56+FD57-FM56)))</f>
        <v>197.65500000000017</v>
      </c>
      <c r="FF57" s="18">
        <f>FE57*VLOOKUP('Données projet'!$B$16,Paramètres!$A$1:$I$89,3,0)*VLOOKUP('Données projet'!$B$16,Paramètres!$A$1:$I$89,5,0)</f>
        <v>200.42217000000019</v>
      </c>
      <c r="FG57" s="14">
        <f t="shared" si="47"/>
        <v>49.83693652432936</v>
      </c>
      <c r="FH57" s="22">
        <f t="shared" si="22"/>
        <v>435.8679438632073</v>
      </c>
      <c r="FI57" s="62">
        <f t="shared" si="23"/>
        <v>729.20127719654056</v>
      </c>
      <c r="FJ57" s="62">
        <f ca="1">AVERAGE(OFFSET($FI$3,0,0,'Données projet'!$E$16+1,1))-AVERAGE(OFFSET($H$3,0,0,'Données projet'!$E$16+1,1))</f>
        <v>646.50767193970182</v>
      </c>
      <c r="FK57" s="62">
        <f t="shared" si="48"/>
        <v>297.06786598620607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6.4531468188229297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6.4531468188229297</v>
      </c>
      <c r="FU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9.5537500000000009</v>
      </c>
      <c r="FZ57" s="13">
        <f>IF('Données projet'!$A$244&gt;35,FZ56+FY57-GH56,IF(A57&lt;'Données projet'!$A$244,$FW$205^A57,IF(A57='Données projet'!$A$244,'Données projet'!$B$244,FZ56+FY57-GH56)))</f>
        <v>197.65500000000017</v>
      </c>
      <c r="GA57" s="18">
        <f>FZ57*VLOOKUP('Données projet'!$B$17,Paramètres!$A$1:$I$89,3,0)*VLOOKUP('Données projet'!$B$17,Paramètres!$A$1:$I$89,5,0)</f>
        <v>132.58697400000014</v>
      </c>
      <c r="GB57" s="14">
        <f t="shared" si="49"/>
        <v>34.59344581928714</v>
      </c>
      <c r="GC57" s="22">
        <f t="shared" si="25"/>
        <v>291.17256451859203</v>
      </c>
      <c r="GD57" s="62">
        <f t="shared" si="26"/>
        <v>584.50589785192528</v>
      </c>
      <c r="GE57" s="62">
        <f ca="1">AVERAGE(OFFSET($GD$3,0,0,'Données projet'!$E$17+1,1))-AVERAGE(OFFSET($H$3,0,0,'Données projet'!$E$17+1,1))</f>
        <v>442.85175349826028</v>
      </c>
      <c r="GF57" s="62">
        <f t="shared" si="50"/>
        <v>210.70697808232501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5.2617966368863893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5.2617966368863893</v>
      </c>
      <c r="GP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8.1999999999999993</v>
      </c>
      <c r="GU57" s="13">
        <f>IF('Données projet'!$A$270&gt;35,GU56+GT57-HC56,IF(A57&lt;'Données projet'!$A$270,$GR$205^A57,IF(A57='Données projet'!$A$270,'Données projet'!$B$270,GU56+GT57-HC56)))</f>
        <v>223.79999999999995</v>
      </c>
      <c r="GV57" s="18">
        <f>GU57*VLOOKUP('Données projet'!$B$18,Paramètres!$A$1:$I$89,3,0)*VLOOKUP('Données projet'!$B$18,Paramètres!$A$1:$I$89,5,0)</f>
        <v>212.96807999999996</v>
      </c>
      <c r="GW57" s="14">
        <f t="shared" si="51"/>
        <v>52.583655112531609</v>
      </c>
      <c r="GX57" s="22">
        <f t="shared" si="28"/>
        <v>462.50260532099242</v>
      </c>
      <c r="GY57" s="62">
        <f t="shared" si="29"/>
        <v>755.83593865432567</v>
      </c>
      <c r="GZ57" s="62">
        <f ca="1">AVERAGE(OFFSET($GY$3,0,0,'Données projet'!$E$18+1,1))-AVERAGE(OFFSET($H$3,0,0,'Données projet'!$E$18+1,1))</f>
        <v>420.2510366318939</v>
      </c>
      <c r="HA57" s="62">
        <f t="shared" si="52"/>
        <v>220.59884411514116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9.3431509415915102</v>
      </c>
      <c r="HH57" s="23">
        <f>EXP(-LN(2)/25)*HH56+(1-EXP(-LN(2)/25))/(LN(2)/25)*Calculateur!HC57*Calculateur!HE57*VLOOKUP('Données projet'!$B$18,Paramètres!$A$1:$I$89,3,0)*0.475*44/12</f>
        <v>0</v>
      </c>
      <c r="HI57" s="23">
        <f>EXP(-LN(2)/2)*HI56+(1-EXP(-LN(2)/2))/(LN(2)/2)*HC57*HF57*VLOOKUP('Données projet'!$B$18,Paramètres!$A$1:$I$89,3,0)*0.475*44/12</f>
        <v>0</v>
      </c>
      <c r="HJ57" s="24">
        <f t="shared" si="30"/>
        <v>9.3431509415915102</v>
      </c>
    </row>
    <row r="58" spans="1:218" s="5" customFormat="1" x14ac:dyDescent="0.2">
      <c r="A58" s="11">
        <f t="shared" si="31"/>
        <v>55</v>
      </c>
      <c r="B58" s="74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15.75</v>
      </c>
      <c r="N58" s="14">
        <f>IF('Données projet'!$A$36&gt;35,N57+M58-V57,IF(A58&lt;'Données projet'!$A$36,$K$205^A58,IF(A58='Données projet'!$A$36,'Données projet'!$B$36,N57+M58-V57)))</f>
        <v>399.00000000000011</v>
      </c>
      <c r="O58" s="14">
        <f>N58*VLOOKUP('Données projet'!$B$9,Paramètres!$A$1:$I$89,3,0)*VLOOKUP('Données projet'!$B$9,Paramètres!$A$1:$I$89,5,0)</f>
        <v>342.34200000000016</v>
      </c>
      <c r="P58" s="14">
        <f t="shared" si="33"/>
        <v>79.983624963231122</v>
      </c>
      <c r="Q58" s="22">
        <f t="shared" si="53"/>
        <v>735.55046347762789</v>
      </c>
      <c r="R58" s="62">
        <f t="shared" si="0"/>
        <v>1028.8837968109613</v>
      </c>
      <c r="S58" s="62">
        <f ca="1">AVERAGE(OFFSET($R$3,0,0,'Données projet'!$E$9+1,1))-AVERAGE(OFFSET($H$3,0,0,'Données projet'!$E$9+1,1))</f>
        <v>623.31285537237943</v>
      </c>
      <c r="T58" s="62">
        <f t="shared" si="34"/>
        <v>462.33909258902241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67.75647945679998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67.75647945679998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279</v>
      </c>
      <c r="AG58" s="13">
        <f>VLOOKUP(A58,'Données projet'!$A$61:$I$81,9,0)</f>
        <v>7.4</v>
      </c>
      <c r="AH58" s="13">
        <f t="array" ref="AH58">INDEX(AG:AG,MIN(IF(ISNUMBER(AG58:AG254),ROW(AG58:AG254),"")))</f>
        <v>7.4</v>
      </c>
      <c r="AI58" s="14">
        <f>IF('Données projet'!$A$62&gt;35,AI57+AH58-AQ57,IF(A58&lt;'Données projet'!$A$62,$AF$205^A58,IF(A58='Données projet'!$A$62,'Données projet'!$B$62,AI57+AH58-AQ57)))</f>
        <v>279</v>
      </c>
      <c r="AJ58" s="14">
        <f>AI58*VLOOKUP('Données projet'!$B$10,Paramètres!$A$1:$I$89,3,0)*VLOOKUP('Données projet'!$B$10,Paramètres!$A$1:$I$89,5,0)</f>
        <v>243.73440000000002</v>
      </c>
      <c r="AK58" s="14">
        <f t="shared" si="35"/>
        <v>59.242281392848817</v>
      </c>
      <c r="AL58" s="22">
        <f t="shared" si="4"/>
        <v>527.68438675921163</v>
      </c>
      <c r="AM58" s="62">
        <f t="shared" si="5"/>
        <v>821.01772009254501</v>
      </c>
      <c r="AN58" s="62">
        <f ca="1">AVERAGE(OFFSET($AM$3,0,0,'Données projet'!$E$10+1,1))-AVERAGE(OFFSET($H$3,0,0,'Données projet'!$E$10+1,1))</f>
        <v>390.70479111593545</v>
      </c>
      <c r="AO58" s="62">
        <f t="shared" si="36"/>
        <v>374.99493809709708</v>
      </c>
      <c r="AP58" s="16">
        <f>IF(ISNA(VLOOKUP(A58,'Données projet'!$A$61:$I$81,3,0)),0,VLOOKUP(A58,'Données projet'!$A$61:$I$81,3,0))</f>
        <v>10</v>
      </c>
      <c r="AQ58" s="16">
        <f>IF(ISNA(VLOOKUP(A58,'Données projet'!$A$61:$I$81,4,0)),0,VLOOKUP(A58,'Données projet'!$A$61:$I$81,4,0))</f>
        <v>16</v>
      </c>
      <c r="AR58" s="17">
        <f>IF(ISNA(VLOOKUP(A58,'Données projet'!$A$61:$I$81,5,0)),0%,VLOOKUP(A58,'Données projet'!$A$61:$I$81,5,0)*VLOOKUP('Données projet'!$B$10,Paramètres!$A$1:$I$89,7,0))</f>
        <v>0.318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24.502708693517384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24.502708693517384</v>
      </c>
      <c r="AY58" s="7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279</v>
      </c>
      <c r="BB58" s="13">
        <f>VLOOKUP(A58,'Données projet'!$A$87:$I$107,9,0)</f>
        <v>7.4</v>
      </c>
      <c r="BC58" s="13">
        <f t="array" ref="BC58">INDEX(BB:BB,MIN(IF(ISNUMBER(BB58:BB254),ROW(BB58:BB254),"")))</f>
        <v>7.4</v>
      </c>
      <c r="BD58" s="13">
        <f>IF('Données projet'!$A$88&gt;35,BD57+BC58-BL57,IF(A58&lt;'Données projet'!$A$88,$BA$205^A58,IF(A58='Données projet'!$A$88,'Données projet'!$B$88,BD57+BC58-BL57)))</f>
        <v>279</v>
      </c>
      <c r="BE58" s="14">
        <f>BD58*VLOOKUP('Données projet'!$B$11,Paramètres!$A$1:$I$89,3,0)*VLOOKUP('Données projet'!$B$11,Paramètres!$A$1:$I$89,5,0)</f>
        <v>221.97239999999999</v>
      </c>
      <c r="BF58" s="14">
        <f t="shared" si="37"/>
        <v>54.543354171476821</v>
      </c>
      <c r="BG58" s="22">
        <f t="shared" si="7"/>
        <v>481.59827184865549</v>
      </c>
      <c r="BH58" s="62">
        <f t="shared" si="8"/>
        <v>774.93160518198874</v>
      </c>
      <c r="BI58" s="62">
        <f ca="1">AVERAGE(OFFSET($BH$3,0,0,'Données projet'!$E$11+1,1))-AVERAGE(OFFSET($H$3,0,0,'Données projet'!$E$11+1,1))</f>
        <v>359.18294335011535</v>
      </c>
      <c r="BJ58" s="62">
        <f t="shared" si="38"/>
        <v>345.47508134331241</v>
      </c>
      <c r="BK58" s="16">
        <f>IF(ISNA(VLOOKUP(A58,'Données projet'!$A$87:$I$107,3,0)),0,VLOOKUP(A58,'Données projet'!$A$87:$I$107,3,0))</f>
        <v>10</v>
      </c>
      <c r="BL58" s="16">
        <f>IF(ISNA(VLOOKUP(A58,'Données projet'!$A$87:$I$107,4,0)),0,VLOOKUP(A58,'Données projet'!$A$87:$I$107,4,0))</f>
        <v>16</v>
      </c>
      <c r="BM58" s="17">
        <f>IF(ISNA(VLOOKUP(A58,'Données projet'!$A$87:$I$107,5,0)),0%,VLOOKUP(A58,'Données projet'!$A$87:$I$107,5,0)*VLOOKUP('Données projet'!$B$11,Paramètres!$A$1:$I$89,7,0))</f>
        <v>0.318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22.314966845881905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22.314966845881905</v>
      </c>
      <c r="BT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279</v>
      </c>
      <c r="BW58" s="13">
        <f>VLOOKUP(A58,'Données projet'!$A$113:$I$133,9,0)</f>
        <v>7.4</v>
      </c>
      <c r="BX58" s="13">
        <f t="array" ref="BX58">INDEX(BW:BW,MIN(IF(ISNUMBER(BW58:BW254),ROW(BW58:BW254),"")))</f>
        <v>7.4</v>
      </c>
      <c r="BY58" s="13">
        <f>IF('Données projet'!$A$114&gt;35,BY57+BX58-CG57,IF(A58&lt;'Données projet'!$A$114,$BV$205^A58,IF(A58='Données projet'!$A$114,'Données projet'!$B$114,BY57+BX58-CG57)))</f>
        <v>279</v>
      </c>
      <c r="BZ58" s="14">
        <f>BY58*VLOOKUP('Données projet'!$B$12,Paramètres!$A$1:$I$89,3,0)*VLOOKUP('Données projet'!$B$12,Paramètres!$A$1:$I$89,5,0)</f>
        <v>204.56280000000001</v>
      </c>
      <c r="CA58" s="14">
        <f t="shared" si="39"/>
        <v>50.74561278586372</v>
      </c>
      <c r="CB58" s="22">
        <f t="shared" si="10"/>
        <v>444.66215226871265</v>
      </c>
      <c r="CC58" s="62">
        <f t="shared" si="11"/>
        <v>737.99548560204596</v>
      </c>
      <c r="CD58" s="62">
        <f ca="1">AVERAGE(OFFSET($CC$3,0,0,'Données projet'!$E$12+1,1))-AVERAGE(OFFSET($H$3,0,0,'Données projet'!$E$12+1,1))</f>
        <v>333.9187211440219</v>
      </c>
      <c r="CE58" s="62">
        <f t="shared" si="40"/>
        <v>321.81422611044997</v>
      </c>
      <c r="CF58" s="16">
        <f>IF(ISNA(VLOOKUP(A58,'Données projet'!$A$113:$I$133,3,0)),0,VLOOKUP(A58,'Données projet'!$A$113:$I$133,3,0))</f>
        <v>10</v>
      </c>
      <c r="CG58" s="16">
        <f>IF(ISNA(VLOOKUP(A58,'Données projet'!$A$113:$I$133,4,0)),0,VLOOKUP(A58,'Données projet'!$A$113:$I$133,4,0))</f>
        <v>16</v>
      </c>
      <c r="CH58" s="17">
        <f>IF(ISNA(VLOOKUP(A58,'Données projet'!$A$113:$I$133,5,0)),0%,VLOOKUP(A58,'Données projet'!$A$113:$I$133,5,0)*VLOOKUP('Données projet'!$B$12,Paramètres!$A$1:$I$89,7,0))</f>
        <v>0.25800000000000001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16.684627449325681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16.684627449325681</v>
      </c>
      <c r="CO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279</v>
      </c>
      <c r="CR58" s="13">
        <f>VLOOKUP(A58,'Données projet'!$A$139:$I$159,9,0)</f>
        <v>7.4</v>
      </c>
      <c r="CS58" s="13">
        <f t="array" ref="CS58">INDEX(CR:CR,MIN(IF(ISNUMBER(CR58:CR254),ROW(CR58:CR254),"")))</f>
        <v>7.4</v>
      </c>
      <c r="CT58" s="13">
        <f>IF('Données projet'!$A$140&gt;35,CT57+CS58-DB57,IF(A58&lt;'Données projet'!$A$140,$CQ$205^A58,IF(A58='Données projet'!$A$140,'Données projet'!$B$140,CT57+CS58-DB57)))</f>
        <v>279</v>
      </c>
      <c r="CU58" s="18">
        <f>CT58*VLOOKUP('Données projet'!$B$13,Paramètres!$A$1:$I$89,3,0)*VLOOKUP('Données projet'!$B$13,Paramètres!$A$1:$I$89,5,0)</f>
        <v>226.32480000000004</v>
      </c>
      <c r="CV58" s="14">
        <f t="shared" si="41"/>
        <v>55.48727390683672</v>
      </c>
      <c r="CW58" s="22">
        <f t="shared" si="13"/>
        <v>490.82269538774068</v>
      </c>
      <c r="CX58" s="62">
        <f t="shared" si="14"/>
        <v>784.15602872107399</v>
      </c>
      <c r="CY58" s="62">
        <f ca="1">AVERAGE(OFFSET($CX$3,0,0,'Données projet'!$E$13+1,1))-AVERAGE(OFFSET($H$3,0,0,'Données projet'!$E$13+1,1))</f>
        <v>365.492319515595</v>
      </c>
      <c r="CZ58" s="62">
        <f t="shared" si="42"/>
        <v>351.38386928091433</v>
      </c>
      <c r="DA58" s="16">
        <f>IF(ISNA(VLOOKUP(A58,'Données projet'!$A$139:$I$159,3,0)),0,VLOOKUP(A58,'Données projet'!$A$139:$I$159,3,0))</f>
        <v>10</v>
      </c>
      <c r="DB58" s="16">
        <f>IF(ISNA(VLOOKUP(A58,'Données projet'!$A$139:$I$159,4,0)),0,VLOOKUP(A58,'Données projet'!$A$139:$I$159,4,0))</f>
        <v>16</v>
      </c>
      <c r="DC58" s="17">
        <f>IF(ISNA(VLOOKUP(A58,'Données projet'!$A$139:$I$159,5,0)),0%,VLOOKUP(A58,'Données projet'!$A$139:$I$159,5,0)*VLOOKUP('Données projet'!$B$13,Paramètres!$A$1:$I$89,7,0))</f>
        <v>0.25800000000000001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18.459587816275228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18.459587816275228</v>
      </c>
      <c r="DJ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9.5537500000000009</v>
      </c>
      <c r="DO58" s="13">
        <f>IF('Données projet'!$A$166&gt;35,DO57+DN58-DW57,IF(A58&lt;'Données projet'!$A$166,$DL$205^A58,IF(A58='Données projet'!$A$166,'Données projet'!$B$166,DO57+DN58-DW57)))</f>
        <v>207.20875000000018</v>
      </c>
      <c r="DP58" s="18">
        <f>DO58*VLOOKUP('Données projet'!$B$14,Paramètres!$A$1:$I$89,3,0)*VLOOKUP('Données projet'!$B$14,Paramètres!$A$1:$I$89,5,0)</f>
        <v>174.55265100000017</v>
      </c>
      <c r="DQ58" s="14">
        <f t="shared" si="43"/>
        <v>44.10809235135843</v>
      </c>
      <c r="DR58" s="22">
        <f t="shared" si="16"/>
        <v>380.83412800361629</v>
      </c>
      <c r="DS58" s="62">
        <f t="shared" si="17"/>
        <v>674.1674613369496</v>
      </c>
      <c r="DT58" s="62">
        <f ca="1">AVERAGE(OFFSET($DS$3,0,0,'Données projet'!$E$14+1,1))-AVERAGE(OFFSET($H$3,0,0,'Données projet'!$E$14+1,1))</f>
        <v>544.89250424794909</v>
      </c>
      <c r="DU58" s="62">
        <f t="shared" si="44"/>
        <v>253.98688498110715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5.2559483918428143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5.2559483918428143</v>
      </c>
      <c r="EE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9.5537500000000009</v>
      </c>
      <c r="EJ58" s="13">
        <f>IF('Données projet'!$A$192&gt;35,EJ57+EI58-ER57,IF(A58&lt;'Données projet'!$A$192,$EG$205^A58,IF(A58='Données projet'!$A$192,'Données projet'!$B$192,EJ57+EI58-ER57)))</f>
        <v>207.20875000000018</v>
      </c>
      <c r="EK58" s="18">
        <f>EJ58*VLOOKUP('Données projet'!$B$15,Paramètres!$A$1:$I$89,3,0)*VLOOKUP('Données projet'!$B$15,Paramètres!$A$1:$I$89,5,0)</f>
        <v>187.48247700000016</v>
      </c>
      <c r="EL58" s="14">
        <f t="shared" si="45"/>
        <v>46.982932911694917</v>
      </c>
      <c r="EM58" s="22">
        <f t="shared" si="19"/>
        <v>408.3605889295356</v>
      </c>
      <c r="EN58" s="62">
        <f t="shared" si="20"/>
        <v>701.69392226286891</v>
      </c>
      <c r="EO58" s="62">
        <f ca="1">AVERAGE(OFFSET($EN$3,0,0,'Données projet'!$E$15+1,1))-AVERAGE(OFFSET($H$3,0,0,'Données projet'!$E$15+1,1))</f>
        <v>581.88778927327667</v>
      </c>
      <c r="EP58" s="62">
        <f t="shared" si="46"/>
        <v>269.67340993773422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5.6452779023496884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5.6452779023496884</v>
      </c>
      <c r="EZ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9.5537500000000009</v>
      </c>
      <c r="FE58" s="13">
        <f>IF('Données projet'!$A$218&gt;35,FE57+FD58-FM57,IF(A58&lt;'Données projet'!$A$218,$FB$205^A58,IF(A58='Données projet'!$A$218,'Données projet'!$B$218,FE57+FD58-FM57)))</f>
        <v>207.20875000000018</v>
      </c>
      <c r="FF58" s="18">
        <f>FE58*VLOOKUP('Données projet'!$B$16,Paramètres!$A$1:$I$89,3,0)*VLOOKUP('Données projet'!$B$16,Paramètres!$A$1:$I$89,5,0)</f>
        <v>210.10967250000019</v>
      </c>
      <c r="FG58" s="14">
        <f t="shared" si="47"/>
        <v>51.959551170560943</v>
      </c>
      <c r="FH58" s="22">
        <f t="shared" si="22"/>
        <v>456.43723122622731</v>
      </c>
      <c r="FI58" s="62">
        <f t="shared" si="23"/>
        <v>749.77056455956063</v>
      </c>
      <c r="FJ58" s="62">
        <f ca="1">AVERAGE(OFFSET($FI$3,0,0,'Données projet'!$E$16+1,1))-AVERAGE(OFFSET($H$3,0,0,'Données projet'!$E$16+1,1))</f>
        <v>646.50767193970182</v>
      </c>
      <c r="FK58" s="62">
        <f t="shared" si="48"/>
        <v>297.06786598620607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6.3266045457367204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6.3266045457367204</v>
      </c>
      <c r="FU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9.5537500000000009</v>
      </c>
      <c r="FZ58" s="13">
        <f>IF('Données projet'!$A$244&gt;35,FZ57+FY58-GH57,IF(A58&lt;'Données projet'!$A$244,$FW$205^A58,IF(A58='Données projet'!$A$244,'Données projet'!$B$244,FZ57+FY58-GH57)))</f>
        <v>207.20875000000018</v>
      </c>
      <c r="GA58" s="18">
        <f>FZ58*VLOOKUP('Données projet'!$B$17,Paramètres!$A$1:$I$89,3,0)*VLOOKUP('Données projet'!$B$17,Paramètres!$A$1:$I$89,5,0)</f>
        <v>138.99562950000012</v>
      </c>
      <c r="GB58" s="14">
        <f t="shared" si="49"/>
        <v>36.066821991271404</v>
      </c>
      <c r="GC58" s="22">
        <f t="shared" si="25"/>
        <v>304.9004363472979</v>
      </c>
      <c r="GD58" s="62">
        <f t="shared" si="26"/>
        <v>598.23376968063121</v>
      </c>
      <c r="GE58" s="62">
        <f ca="1">AVERAGE(OFFSET($GD$3,0,0,'Données projet'!$E$17+1,1))-AVERAGE(OFFSET($H$3,0,0,'Données projet'!$E$17+1,1))</f>
        <v>442.85175349826028</v>
      </c>
      <c r="GF58" s="62">
        <f t="shared" si="50"/>
        <v>210.70697808232501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5.1586160142160962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5.1586160142160962</v>
      </c>
      <c r="GP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>
        <f>VLOOKUP(A58,'Données projet'!$A$269:$I$289,2,0)</f>
        <v>232</v>
      </c>
      <c r="GS58" s="13">
        <f>VLOOKUP(A58,'Données projet'!$A$269:$I$289,9,0)</f>
        <v>8.1999999999999993</v>
      </c>
      <c r="GT58" s="13">
        <f t="array" ref="GT58">INDEX(GS:GS,MIN(IF(ISNUMBER(GS58:GS254),ROW(GS58:GS254),"")))</f>
        <v>8.1999999999999993</v>
      </c>
      <c r="GU58" s="13">
        <f>IF('Données projet'!$A$270&gt;35,GU57+GT58-HC57,IF(A58&lt;'Données projet'!$A$270,$GR$205^A58,IF(A58='Données projet'!$A$270,'Données projet'!$B$270,GU57+GT58-HC57)))</f>
        <v>231.99999999999994</v>
      </c>
      <c r="GV58" s="18">
        <f>GU58*VLOOKUP('Données projet'!$B$18,Paramètres!$A$1:$I$89,3,0)*VLOOKUP('Données projet'!$B$18,Paramètres!$A$1:$I$89,5,0)</f>
        <v>220.77119999999994</v>
      </c>
      <c r="GW58" s="14">
        <f t="shared" si="51"/>
        <v>54.28246807807983</v>
      </c>
      <c r="GX58" s="22">
        <f t="shared" si="28"/>
        <v>479.05180523598892</v>
      </c>
      <c r="GY58" s="62">
        <f t="shared" si="29"/>
        <v>772.38513856932218</v>
      </c>
      <c r="GZ58" s="62">
        <f ca="1">AVERAGE(OFFSET($GY$3,0,0,'Données projet'!$E$18+1,1))-AVERAGE(OFFSET($H$3,0,0,'Données projet'!$E$18+1,1))</f>
        <v>420.2510366318939</v>
      </c>
      <c r="HA58" s="62">
        <f t="shared" si="52"/>
        <v>220.59884411514116</v>
      </c>
      <c r="HB58" s="16">
        <f>IF(ISNA(VLOOKUP(A58,'Données projet'!$A$269:$I$289,3,0)),0,VLOOKUP(A58,'Données projet'!$A$269:$I$289,3,0))</f>
        <v>7</v>
      </c>
      <c r="HC58" s="16">
        <f>IF(ISNA(VLOOKUP(A58,'Données projet'!$A$269:$I$289,4,0)),0,VLOOKUP(A58,'Données projet'!$A$269:$I$289,4,0))</f>
        <v>27</v>
      </c>
      <c r="HD58" s="17">
        <f>IF(ISNA(VLOOKUP(A58,'Données projet'!$A$269:$I$289,5,0)),0%,VLOOKUP(A58,'Données projet'!$A$269:$I$289,5,0)*VLOOKUP('Données projet'!$B$18,Paramètres!$A$1:$I$89,7,0))</f>
        <v>0.17200000000000001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14.045265757917822</v>
      </c>
      <c r="HH58" s="23">
        <f>EXP(-LN(2)/25)*HH57+(1-EXP(-LN(2)/25))/(LN(2)/25)*Calculateur!HC58*Calculateur!HE58*VLOOKUP('Données projet'!$B$18,Paramètres!$A$1:$I$89,3,0)*0.475*44/12</f>
        <v>0</v>
      </c>
      <c r="HI58" s="23">
        <f>EXP(-LN(2)/2)*HI57+(1-EXP(-LN(2)/2))/(LN(2)/2)*HC58*HF58*VLOOKUP('Données projet'!$B$18,Paramètres!$A$1:$I$89,3,0)*0.475*44/12</f>
        <v>0</v>
      </c>
      <c r="HJ58" s="24">
        <f t="shared" si="30"/>
        <v>14.045265757917822</v>
      </c>
    </row>
    <row r="59" spans="1:218" s="5" customFormat="1" x14ac:dyDescent="0.2">
      <c r="A59" s="11">
        <f t="shared" si="31"/>
        <v>56</v>
      </c>
      <c r="B59" s="74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15.75</v>
      </c>
      <c r="N59" s="14">
        <f>IF('Données projet'!$A$36&gt;35,N58+M59-V58,IF(A59&lt;'Données projet'!$A$36,$K$205^A59,IF(A59='Données projet'!$A$36,'Données projet'!$B$36,N58+M59-V58)))</f>
        <v>414.75000000000011</v>
      </c>
      <c r="O59" s="14">
        <f>N59*VLOOKUP('Données projet'!$B$9,Paramètres!$A$1:$I$89,3,0)*VLOOKUP('Données projet'!$B$9,Paramètres!$A$1:$I$89,5,0)</f>
        <v>355.85550000000012</v>
      </c>
      <c r="P59" s="14">
        <f t="shared" si="33"/>
        <v>82.76705276410857</v>
      </c>
      <c r="Q59" s="22">
        <f t="shared" si="53"/>
        <v>763.93427939748926</v>
      </c>
      <c r="R59" s="62">
        <f t="shared" si="0"/>
        <v>1057.2676127308225</v>
      </c>
      <c r="S59" s="62">
        <f ca="1">AVERAGE(OFFSET($R$3,0,0,'Données projet'!$E$9+1,1))-AVERAGE(OFFSET($H$3,0,0,'Données projet'!$E$9+1,1))</f>
        <v>623.31285537237943</v>
      </c>
      <c r="T59" s="62">
        <f t="shared" si="34"/>
        <v>462.33909258902241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66.427816222023864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66.427816222023864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6.2</v>
      </c>
      <c r="AI59" s="14">
        <f>IF('Données projet'!$A$62&gt;35,AI58+AH59-AQ58,IF(A59&lt;'Données projet'!$A$62,$AF$205^A59,IF(A59='Données projet'!$A$62,'Données projet'!$B$62,AI58+AH59-AQ58)))</f>
        <v>269.2</v>
      </c>
      <c r="AJ59" s="14">
        <f>AI59*VLOOKUP('Données projet'!$B$10,Paramètres!$A$1:$I$89,3,0)*VLOOKUP('Données projet'!$B$10,Paramètres!$A$1:$I$89,5,0)</f>
        <v>235.17312000000001</v>
      </c>
      <c r="AK59" s="14">
        <f t="shared" si="35"/>
        <v>57.399778925799268</v>
      </c>
      <c r="AL59" s="22">
        <f t="shared" si="4"/>
        <v>509.56446562910043</v>
      </c>
      <c r="AM59" s="62">
        <f t="shared" si="5"/>
        <v>802.89779896243374</v>
      </c>
      <c r="AN59" s="62">
        <f ca="1">AVERAGE(OFFSET($AM$3,0,0,'Données projet'!$E$10+1,1))-AVERAGE(OFFSET($H$3,0,0,'Données projet'!$E$10+1,1))</f>
        <v>390.70479111593545</v>
      </c>
      <c r="AO59" s="62">
        <f t="shared" si="36"/>
        <v>374.99493809709708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24.022225521214096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24.022225521214096</v>
      </c>
      <c r="AY59" s="7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6.2</v>
      </c>
      <c r="BD59" s="13">
        <f>IF('Données projet'!$A$88&gt;35,BD58+BC59-BL58,IF(A59&lt;'Données projet'!$A$88,$BA$205^A59,IF(A59='Données projet'!$A$88,'Données projet'!$B$88,BD58+BC59-BL58)))</f>
        <v>269.2</v>
      </c>
      <c r="BE59" s="14">
        <f>BD59*VLOOKUP('Données projet'!$B$11,Paramètres!$A$1:$I$89,3,0)*VLOOKUP('Données projet'!$B$11,Paramètres!$A$1:$I$89,5,0)</f>
        <v>214.17552000000001</v>
      </c>
      <c r="BF59" s="14">
        <f t="shared" si="37"/>
        <v>52.846993696165399</v>
      </c>
      <c r="BG59" s="22">
        <f t="shared" si="7"/>
        <v>465.06421135415468</v>
      </c>
      <c r="BH59" s="62">
        <f t="shared" si="8"/>
        <v>758.39754468748799</v>
      </c>
      <c r="BI59" s="62">
        <f ca="1">AVERAGE(OFFSET($BH$3,0,0,'Données projet'!$E$11+1,1))-AVERAGE(OFFSET($H$3,0,0,'Données projet'!$E$11+1,1))</f>
        <v>359.18294335011535</v>
      </c>
      <c r="BJ59" s="62">
        <f t="shared" si="38"/>
        <v>345.47508134331241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21.877383956819983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21.877383956819983</v>
      </c>
      <c r="BT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6.2</v>
      </c>
      <c r="BY59" s="13">
        <f>IF('Données projet'!$A$114&gt;35,BY58+BX59-CG58,IF(A59&lt;'Données projet'!$A$114,$BV$205^A59,IF(A59='Données projet'!$A$114,'Données projet'!$B$114,BY58+BX59-CG58)))</f>
        <v>269.2</v>
      </c>
      <c r="BZ59" s="14">
        <f>BY59*VLOOKUP('Données projet'!$B$12,Paramètres!$A$1:$I$89,3,0)*VLOOKUP('Données projet'!$B$12,Paramètres!$A$1:$I$89,5,0)</f>
        <v>197.37743999999998</v>
      </c>
      <c r="CA59" s="14">
        <f t="shared" si="39"/>
        <v>49.167366395757924</v>
      </c>
      <c r="CB59" s="22">
        <f t="shared" si="10"/>
        <v>429.39887113927836</v>
      </c>
      <c r="CC59" s="62">
        <f t="shared" si="11"/>
        <v>722.73220447261167</v>
      </c>
      <c r="CD59" s="62">
        <f ca="1">AVERAGE(OFFSET($CC$3,0,0,'Données projet'!$E$12+1,1))-AVERAGE(OFFSET($H$3,0,0,'Données projet'!$E$12+1,1))</f>
        <v>333.9187211440219</v>
      </c>
      <c r="CE59" s="62">
        <f t="shared" si="40"/>
        <v>321.81422611044997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16.357452081662291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16.357452081662291</v>
      </c>
      <c r="CO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6.2</v>
      </c>
      <c r="CT59" s="13">
        <f>IF('Données projet'!$A$140&gt;35,CT58+CS59-DB58,IF(A59&lt;'Données projet'!$A$140,$CQ$205^A59,IF(A59='Données projet'!$A$140,'Données projet'!$B$140,CT58+CS59-DB58)))</f>
        <v>269.2</v>
      </c>
      <c r="CU59" s="18">
        <f>CT59*VLOOKUP('Données projet'!$B$13,Paramètres!$A$1:$I$89,3,0)*VLOOKUP('Données projet'!$B$13,Paramètres!$A$1:$I$89,5,0)</f>
        <v>218.37504000000001</v>
      </c>
      <c r="CV59" s="14">
        <f t="shared" si="41"/>
        <v>53.761556452013281</v>
      </c>
      <c r="CW59" s="22">
        <f t="shared" si="13"/>
        <v>473.9712388205898</v>
      </c>
      <c r="CX59" s="62">
        <f t="shared" si="14"/>
        <v>767.30457215392312</v>
      </c>
      <c r="CY59" s="62">
        <f ca="1">AVERAGE(OFFSET($CX$3,0,0,'Données projet'!$E$13+1,1))-AVERAGE(OFFSET($H$3,0,0,'Données projet'!$E$13+1,1))</f>
        <v>365.492319515595</v>
      </c>
      <c r="CZ59" s="62">
        <f t="shared" si="42"/>
        <v>351.38386928091433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18.09760655843488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18.09760655843488</v>
      </c>
      <c r="DJ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9.5537500000000009</v>
      </c>
      <c r="DO59" s="13">
        <f>IF('Données projet'!$A$166&gt;35,DO58+DN59-DW58,IF(A59&lt;'Données projet'!$A$166,$DL$205^A59,IF(A59='Données projet'!$A$166,'Données projet'!$B$166,DO58+DN59-DW58)))</f>
        <v>216.76250000000019</v>
      </c>
      <c r="DP59" s="18">
        <f>DO59*VLOOKUP('Données projet'!$B$14,Paramètres!$A$1:$I$89,3,0)*VLOOKUP('Données projet'!$B$14,Paramètres!$A$1:$I$89,5,0)</f>
        <v>182.60073000000017</v>
      </c>
      <c r="DQ59" s="14">
        <f t="shared" si="43"/>
        <v>45.900316713745063</v>
      </c>
      <c r="DR59" s="22">
        <f t="shared" si="16"/>
        <v>397.972656359773</v>
      </c>
      <c r="DS59" s="62">
        <f t="shared" si="17"/>
        <v>691.30598969310631</v>
      </c>
      <c r="DT59" s="62">
        <f ca="1">AVERAGE(OFFSET($DS$3,0,0,'Données projet'!$E$14+1,1))-AVERAGE(OFFSET($H$3,0,0,'Données projet'!$E$14+1,1))</f>
        <v>544.89250424794909</v>
      </c>
      <c r="DU59" s="62">
        <f t="shared" si="44"/>
        <v>253.98688498110715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5.1528824496907477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5.1528824496907477</v>
      </c>
      <c r="EE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9.5537500000000009</v>
      </c>
      <c r="EJ59" s="13">
        <f>IF('Données projet'!$A$192&gt;35,EJ58+EI59-ER58,IF(A59&lt;'Données projet'!$A$192,$EG$205^A59,IF(A59='Données projet'!$A$192,'Données projet'!$B$192,EJ58+EI59-ER58)))</f>
        <v>216.76250000000019</v>
      </c>
      <c r="EK59" s="18">
        <f>EJ59*VLOOKUP('Données projet'!$B$15,Paramètres!$A$1:$I$89,3,0)*VLOOKUP('Données projet'!$B$15,Paramètres!$A$1:$I$89,5,0)</f>
        <v>196.12671000000017</v>
      </c>
      <c r="EL59" s="14">
        <f t="shared" si="45"/>
        <v>48.891969383051702</v>
      </c>
      <c r="EM59" s="22">
        <f t="shared" si="19"/>
        <v>426.74086659214868</v>
      </c>
      <c r="EN59" s="62">
        <f t="shared" si="20"/>
        <v>720.07419992548193</v>
      </c>
      <c r="EO59" s="62">
        <f ca="1">AVERAGE(OFFSET($EN$3,0,0,'Données projet'!$E$15+1,1))-AVERAGE(OFFSET($H$3,0,0,'Données projet'!$E$15+1,1))</f>
        <v>581.88778927327667</v>
      </c>
      <c r="EP59" s="62">
        <f t="shared" si="46"/>
        <v>269.67340993773422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5.5345774459641355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5.5345774459641355</v>
      </c>
      <c r="EZ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9.5537500000000009</v>
      </c>
      <c r="FE59" s="13">
        <f>IF('Données projet'!$A$218&gt;35,FE58+FD59-FM58,IF(A59&lt;'Données projet'!$A$218,$FB$205^A59,IF(A59='Données projet'!$A$218,'Données projet'!$B$218,FE58+FD59-FM58)))</f>
        <v>216.76250000000019</v>
      </c>
      <c r="FF59" s="18">
        <f>FE59*VLOOKUP('Données projet'!$B$16,Paramètres!$A$1:$I$89,3,0)*VLOOKUP('Données projet'!$B$16,Paramètres!$A$1:$I$89,5,0)</f>
        <v>219.79717500000021</v>
      </c>
      <c r="FG59" s="14">
        <f t="shared" si="47"/>
        <v>54.070800342815986</v>
      </c>
      <c r="FH59" s="22">
        <f t="shared" si="22"/>
        <v>476.98672372207147</v>
      </c>
      <c r="FI59" s="62">
        <f t="shared" si="23"/>
        <v>770.32005705540473</v>
      </c>
      <c r="FJ59" s="62">
        <f ca="1">AVERAGE(OFFSET($FI$3,0,0,'Données projet'!$E$16+1,1))-AVERAGE(OFFSET($H$3,0,0,'Données projet'!$E$16+1,1))</f>
        <v>646.50767193970182</v>
      </c>
      <c r="FK59" s="62">
        <f t="shared" si="48"/>
        <v>297.06786598620607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6.2025436894425665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6.2025436894425665</v>
      </c>
      <c r="FU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9.5537500000000009</v>
      </c>
      <c r="FZ59" s="13">
        <f>IF('Données projet'!$A$244&gt;35,FZ58+FY59-GH58,IF(A59&lt;'Données projet'!$A$244,$FW$205^A59,IF(A59='Données projet'!$A$244,'Données projet'!$B$244,FZ58+FY59-GH58)))</f>
        <v>216.76250000000019</v>
      </c>
      <c r="GA59" s="18">
        <f>FZ59*VLOOKUP('Données projet'!$B$17,Paramètres!$A$1:$I$89,3,0)*VLOOKUP('Données projet'!$B$17,Paramètres!$A$1:$I$89,5,0)</f>
        <v>145.40428500000013</v>
      </c>
      <c r="GB59" s="14">
        <f t="shared" si="49"/>
        <v>37.532309016457305</v>
      </c>
      <c r="GC59" s="22">
        <f t="shared" si="25"/>
        <v>318.61456791199669</v>
      </c>
      <c r="GD59" s="62">
        <f t="shared" si="26"/>
        <v>611.94790124533006</v>
      </c>
      <c r="GE59" s="62">
        <f ca="1">AVERAGE(OFFSET($GD$3,0,0,'Données projet'!$E$17+1,1))-AVERAGE(OFFSET($H$3,0,0,'Données projet'!$E$17+1,1))</f>
        <v>442.85175349826028</v>
      </c>
      <c r="GF59" s="62">
        <f t="shared" si="50"/>
        <v>210.70697808232501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5.0574587006224014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5.0574587006224014</v>
      </c>
      <c r="GP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7.8</v>
      </c>
      <c r="GU59" s="13">
        <f>IF('Données projet'!$A$270&gt;35,GU58+GT59-HC58,IF(A59&lt;'Données projet'!$A$270,$GR$205^A59,IF(A59='Données projet'!$A$270,'Données projet'!$B$270,GU58+GT59-HC58)))</f>
        <v>212.79999999999995</v>
      </c>
      <c r="GV59" s="18">
        <f>GU59*VLOOKUP('Données projet'!$B$18,Paramètres!$A$1:$I$89,3,0)*VLOOKUP('Données projet'!$B$18,Paramètres!$A$1:$I$89,5,0)</f>
        <v>202.50047999999995</v>
      </c>
      <c r="GW59" s="14">
        <f t="shared" si="51"/>
        <v>50.293299535837903</v>
      </c>
      <c r="GX59" s="22">
        <f t="shared" si="28"/>
        <v>440.28249935825096</v>
      </c>
      <c r="GY59" s="62">
        <f t="shared" si="29"/>
        <v>733.61583269158427</v>
      </c>
      <c r="GZ59" s="62">
        <f ca="1">AVERAGE(OFFSET($GY$3,0,0,'Données projet'!$E$18+1,1))-AVERAGE(OFFSET($H$3,0,0,'Données projet'!$E$18+1,1))</f>
        <v>420.2510366318939</v>
      </c>
      <c r="HA59" s="62">
        <f t="shared" si="52"/>
        <v>220.59884411514116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13.769846663171267</v>
      </c>
      <c r="HH59" s="23">
        <f>EXP(-LN(2)/25)*HH58+(1-EXP(-LN(2)/25))/(LN(2)/25)*Calculateur!HC59*Calculateur!HE59*VLOOKUP('Données projet'!$B$18,Paramètres!$A$1:$I$89,3,0)*0.475*44/12</f>
        <v>0</v>
      </c>
      <c r="HI59" s="23">
        <f>EXP(-LN(2)/2)*HI58+(1-EXP(-LN(2)/2))/(LN(2)/2)*HC59*HF59*VLOOKUP('Données projet'!$B$18,Paramètres!$A$1:$I$89,3,0)*0.475*44/12</f>
        <v>0</v>
      </c>
      <c r="HJ59" s="24">
        <f t="shared" si="30"/>
        <v>13.769846663171267</v>
      </c>
    </row>
    <row r="60" spans="1:218" s="5" customFormat="1" x14ac:dyDescent="0.2">
      <c r="A60" s="11">
        <f t="shared" si="31"/>
        <v>57</v>
      </c>
      <c r="B60" s="74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15.75</v>
      </c>
      <c r="N60" s="14">
        <f>IF('Données projet'!$A$36&gt;35,N59+M60-V59,IF(A60&lt;'Données projet'!$A$36,$K$205^A60,IF(A60='Données projet'!$A$36,'Données projet'!$B$36,N59+M60-V59)))</f>
        <v>430.50000000000011</v>
      </c>
      <c r="O60" s="14">
        <f>N60*VLOOKUP('Données projet'!$B$9,Paramètres!$A$1:$I$89,3,0)*VLOOKUP('Données projet'!$B$9,Paramètres!$A$1:$I$89,5,0)</f>
        <v>369.36900000000014</v>
      </c>
      <c r="P60" s="14">
        <f t="shared" si="33"/>
        <v>85.538201144343986</v>
      </c>
      <c r="Q60" s="22">
        <f t="shared" si="53"/>
        <v>792.29670865973264</v>
      </c>
      <c r="R60" s="62">
        <f t="shared" si="0"/>
        <v>1085.630041993066</v>
      </c>
      <c r="S60" s="62">
        <f ca="1">AVERAGE(OFFSET($R$3,0,0,'Données projet'!$E$9+1,1))-AVERAGE(OFFSET($H$3,0,0,'Données projet'!$E$9+1,1))</f>
        <v>623.31285537237943</v>
      </c>
      <c r="T60" s="62">
        <f t="shared" si="34"/>
        <v>462.33909258902241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65.125207262877154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65.125207262877154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6.2</v>
      </c>
      <c r="AI60" s="14">
        <f>IF('Données projet'!$A$62&gt;35,AI59+AH60-AQ59,IF(A60&lt;'Données projet'!$A$62,$AF$205^A60,IF(A60='Données projet'!$A$62,'Données projet'!$B$62,AI59+AH60-AQ59)))</f>
        <v>275.39999999999998</v>
      </c>
      <c r="AJ60" s="14">
        <f>AI60*VLOOKUP('Données projet'!$B$10,Paramètres!$A$1:$I$89,3,0)*VLOOKUP('Données projet'!$B$10,Paramètres!$A$1:$I$89,5,0)</f>
        <v>240.58944</v>
      </c>
      <c r="AK60" s="14">
        <f t="shared" si="35"/>
        <v>58.56633325847811</v>
      </c>
      <c r="AL60" s="22">
        <f t="shared" si="4"/>
        <v>521.02963842518272</v>
      </c>
      <c r="AM60" s="62">
        <f t="shared" si="5"/>
        <v>814.3629717585161</v>
      </c>
      <c r="AN60" s="62">
        <f ca="1">AVERAGE(OFFSET($AM$3,0,0,'Données projet'!$E$10+1,1))-AVERAGE(OFFSET($H$3,0,0,'Données projet'!$E$10+1,1))</f>
        <v>390.70479111593545</v>
      </c>
      <c r="AO60" s="62">
        <f t="shared" si="36"/>
        <v>374.99493809709708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23.551164330853879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23.551164330853879</v>
      </c>
      <c r="AY60" s="7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6.2</v>
      </c>
      <c r="BD60" s="13">
        <f>IF('Données projet'!$A$88&gt;35,BD59+BC60-BL59,IF(A60&lt;'Données projet'!$A$88,$BA$205^A60,IF(A60='Données projet'!$A$88,'Données projet'!$B$88,BD59+BC60-BL59)))</f>
        <v>275.39999999999998</v>
      </c>
      <c r="BE60" s="14">
        <f>BD60*VLOOKUP('Données projet'!$B$11,Paramètres!$A$1:$I$89,3,0)*VLOOKUP('Données projet'!$B$11,Paramètres!$A$1:$I$89,5,0)</f>
        <v>219.10823999999997</v>
      </c>
      <c r="BF60" s="14">
        <f t="shared" si="37"/>
        <v>53.921020297295854</v>
      </c>
      <c r="BG60" s="22">
        <f t="shared" si="7"/>
        <v>475.52596168445683</v>
      </c>
      <c r="BH60" s="62">
        <f t="shared" si="8"/>
        <v>768.85929501779015</v>
      </c>
      <c r="BI60" s="62">
        <f ca="1">AVERAGE(OFFSET($BH$3,0,0,'Données projet'!$E$11+1,1))-AVERAGE(OFFSET($H$3,0,0,'Données projet'!$E$11+1,1))</f>
        <v>359.18294335011535</v>
      </c>
      <c r="BJ60" s="62">
        <f t="shared" si="38"/>
        <v>345.47508134331241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21.448381801313356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21.448381801313356</v>
      </c>
      <c r="BT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6.2</v>
      </c>
      <c r="BY60" s="13">
        <f>IF('Données projet'!$A$114&gt;35,BY59+BX60-CG59,IF(A60&lt;'Données projet'!$A$114,$BV$205^A60,IF(A60='Données projet'!$A$114,'Données projet'!$B$114,BY59+BX60-CG59)))</f>
        <v>275.39999999999998</v>
      </c>
      <c r="BZ60" s="14">
        <f>BY60*VLOOKUP('Données projet'!$B$12,Paramètres!$A$1:$I$89,3,0)*VLOOKUP('Données projet'!$B$12,Paramètres!$A$1:$I$89,5,0)</f>
        <v>201.92327999999998</v>
      </c>
      <c r="CA60" s="14">
        <f t="shared" si="39"/>
        <v>50.166610737265351</v>
      </c>
      <c r="CB60" s="22">
        <f t="shared" si="10"/>
        <v>439.05655970073713</v>
      </c>
      <c r="CC60" s="62">
        <f t="shared" si="11"/>
        <v>732.38989303407038</v>
      </c>
      <c r="CD60" s="62">
        <f ca="1">AVERAGE(OFFSET($CC$3,0,0,'Données projet'!$E$12+1,1))-AVERAGE(OFFSET($H$3,0,0,'Données projet'!$E$12+1,1))</f>
        <v>333.9187211440219</v>
      </c>
      <c r="CE60" s="62">
        <f t="shared" si="40"/>
        <v>321.81422611044997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16.036692423401512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16.036692423401512</v>
      </c>
      <c r="CO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6.2</v>
      </c>
      <c r="CT60" s="13">
        <f>IF('Données projet'!$A$140&gt;35,CT59+CS60-DB59,IF(A60&lt;'Données projet'!$A$140,$CQ$205^A60,IF(A60='Données projet'!$A$140,'Données projet'!$B$140,CT59+CS60-DB59)))</f>
        <v>275.39999999999998</v>
      </c>
      <c r="CU60" s="18">
        <f>CT60*VLOOKUP('Données projet'!$B$13,Paramètres!$A$1:$I$89,3,0)*VLOOKUP('Données projet'!$B$13,Paramètres!$A$1:$I$89,5,0)</f>
        <v>223.40448000000001</v>
      </c>
      <c r="CV60" s="14">
        <f t="shared" si="41"/>
        <v>54.854170008795911</v>
      </c>
      <c r="CW60" s="22">
        <f t="shared" si="13"/>
        <v>484.63381543198625</v>
      </c>
      <c r="CX60" s="62">
        <f t="shared" si="14"/>
        <v>777.96714876531951</v>
      </c>
      <c r="CY60" s="62">
        <f ca="1">AVERAGE(OFFSET($CX$3,0,0,'Données projet'!$E$13+1,1))-AVERAGE(OFFSET($H$3,0,0,'Données projet'!$E$13+1,1))</f>
        <v>365.492319515595</v>
      </c>
      <c r="CZ60" s="62">
        <f t="shared" si="42"/>
        <v>351.38386928091433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17.742723532274017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17.742723532274017</v>
      </c>
      <c r="DJ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9.5537500000000009</v>
      </c>
      <c r="DO60" s="13">
        <f>IF('Données projet'!$A$166&gt;35,DO59+DN60-DW59,IF(A60&lt;'Données projet'!$A$166,$DL$205^A60,IF(A60='Données projet'!$A$166,'Données projet'!$B$166,DO59+DN60-DW59)))</f>
        <v>226.3162500000002</v>
      </c>
      <c r="DP60" s="18">
        <f>DO60*VLOOKUP('Données projet'!$B$14,Paramètres!$A$1:$I$89,3,0)*VLOOKUP('Données projet'!$B$14,Paramètres!$A$1:$I$89,5,0)</f>
        <v>190.64880900000017</v>
      </c>
      <c r="DQ60" s="14">
        <f t="shared" si="43"/>
        <v>47.683366837542806</v>
      </c>
      <c r="DR60" s="22">
        <f t="shared" si="16"/>
        <v>415.09520625038732</v>
      </c>
      <c r="DS60" s="62">
        <f t="shared" si="17"/>
        <v>708.42853958372064</v>
      </c>
      <c r="DT60" s="62">
        <f ca="1">AVERAGE(OFFSET($DS$3,0,0,'Données projet'!$E$14+1,1))-AVERAGE(OFFSET($H$3,0,0,'Données projet'!$E$14+1,1))</f>
        <v>544.89250424794909</v>
      </c>
      <c r="DU60" s="62">
        <f t="shared" si="44"/>
        <v>253.98688498110715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5.0518375678002663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5.0518375678002663</v>
      </c>
      <c r="EE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9.5537500000000009</v>
      </c>
      <c r="EJ60" s="13">
        <f>IF('Données projet'!$A$192&gt;35,EJ59+EI60-ER59,IF(A60&lt;'Données projet'!$A$192,$EG$205^A60,IF(A60='Données projet'!$A$192,'Données projet'!$B$192,EJ59+EI60-ER59)))</f>
        <v>226.3162500000002</v>
      </c>
      <c r="EK60" s="18">
        <f>EJ60*VLOOKUP('Données projet'!$B$15,Paramètres!$A$1:$I$89,3,0)*VLOOKUP('Données projet'!$B$15,Paramètres!$A$1:$I$89,5,0)</f>
        <v>204.77094300000016</v>
      </c>
      <c r="EL60" s="14">
        <f t="shared" si="45"/>
        <v>50.791233664926693</v>
      </c>
      <c r="EM60" s="22">
        <f t="shared" si="19"/>
        <v>445.10412435808092</v>
      </c>
      <c r="EN60" s="62">
        <f t="shared" si="20"/>
        <v>738.43745769141424</v>
      </c>
      <c r="EO60" s="62">
        <f ca="1">AVERAGE(OFFSET($EN$3,0,0,'Données projet'!$E$15+1,1))-AVERAGE(OFFSET($H$3,0,0,'Données projet'!$E$15+1,1))</f>
        <v>581.88778927327667</v>
      </c>
      <c r="EP60" s="62">
        <f t="shared" si="46"/>
        <v>269.67340993773422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5.4260477580076927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5.4260477580076927</v>
      </c>
      <c r="EZ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9.5537500000000009</v>
      </c>
      <c r="FE60" s="13">
        <f>IF('Données projet'!$A$218&gt;35,FE59+FD60-FM59,IF(A60&lt;'Données projet'!$A$218,$FB$205^A60,IF(A60='Données projet'!$A$218,'Données projet'!$B$218,FE59+FD60-FM59)))</f>
        <v>226.3162500000002</v>
      </c>
      <c r="FF60" s="18">
        <f>FE60*VLOOKUP('Données projet'!$B$16,Paramètres!$A$1:$I$89,3,0)*VLOOKUP('Données projet'!$B$16,Paramètres!$A$1:$I$89,5,0)</f>
        <v>229.4846775000002</v>
      </c>
      <c r="FG60" s="14">
        <f t="shared" si="47"/>
        <v>56.171242216591338</v>
      </c>
      <c r="FH60" s="22">
        <f t="shared" si="22"/>
        <v>497.51739350639696</v>
      </c>
      <c r="FI60" s="62">
        <f t="shared" si="23"/>
        <v>790.85072683973021</v>
      </c>
      <c r="FJ60" s="62">
        <f ca="1">AVERAGE(OFFSET($FI$3,0,0,'Données projet'!$E$16+1,1))-AVERAGE(OFFSET($H$3,0,0,'Données projet'!$E$16+1,1))</f>
        <v>646.50767193970182</v>
      </c>
      <c r="FK60" s="62">
        <f t="shared" si="48"/>
        <v>297.06786598620607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6.0809155908706902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6.0809155908706902</v>
      </c>
      <c r="FU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9.5537500000000009</v>
      </c>
      <c r="FZ60" s="13">
        <f>IF('Données projet'!$A$244&gt;35,FZ59+FY60-GH59,IF(A60&lt;'Données projet'!$A$244,$FW$205^A60,IF(A60='Données projet'!$A$244,'Données projet'!$B$244,FZ59+FY60-GH59)))</f>
        <v>226.3162500000002</v>
      </c>
      <c r="GA60" s="18">
        <f>FZ60*VLOOKUP('Données projet'!$B$17,Paramètres!$A$1:$I$89,3,0)*VLOOKUP('Données projet'!$B$17,Paramètres!$A$1:$I$89,5,0)</f>
        <v>151.81294050000014</v>
      </c>
      <c r="GB60" s="14">
        <f t="shared" si="49"/>
        <v>38.990294342692991</v>
      </c>
      <c r="GC60" s="22">
        <f t="shared" si="25"/>
        <v>332.31563401769057</v>
      </c>
      <c r="GD60" s="62">
        <f t="shared" si="26"/>
        <v>625.64896735102388</v>
      </c>
      <c r="GE60" s="62">
        <f ca="1">AVERAGE(OFFSET($GD$3,0,0,'Données projet'!$E$17+1,1))-AVERAGE(OFFSET($H$3,0,0,'Données projet'!$E$17+1,1))</f>
        <v>442.85175349826028</v>
      </c>
      <c r="GF60" s="62">
        <f t="shared" si="50"/>
        <v>210.70697808232501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4.9582850202484101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4.9582850202484101</v>
      </c>
      <c r="GP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7.8</v>
      </c>
      <c r="GU60" s="13">
        <f>IF('Données projet'!$A$270&gt;35,GU59+GT60-HC59,IF(A60&lt;'Données projet'!$A$270,$GR$205^A60,IF(A60='Données projet'!$A$270,'Données projet'!$B$270,GU59+GT60-HC59)))</f>
        <v>220.59999999999997</v>
      </c>
      <c r="GV60" s="18">
        <f>GU60*VLOOKUP('Données projet'!$B$18,Paramètres!$A$1:$I$89,3,0)*VLOOKUP('Données projet'!$B$18,Paramètres!$A$1:$I$89,5,0)</f>
        <v>209.92295999999996</v>
      </c>
      <c r="GW60" s="14">
        <f t="shared" si="51"/>
        <v>51.918750160504331</v>
      </c>
      <c r="GX60" s="22">
        <f t="shared" si="28"/>
        <v>456.04097852954493</v>
      </c>
      <c r="GY60" s="62">
        <f t="shared" si="29"/>
        <v>749.37431186287824</v>
      </c>
      <c r="GZ60" s="62">
        <f ca="1">AVERAGE(OFFSET($GY$3,0,0,'Données projet'!$E$18+1,1))-AVERAGE(OFFSET($H$3,0,0,'Données projet'!$E$18+1,1))</f>
        <v>420.2510366318939</v>
      </c>
      <c r="HA60" s="62">
        <f t="shared" si="52"/>
        <v>220.59884411514116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13.499828368883632</v>
      </c>
      <c r="HH60" s="23">
        <f>EXP(-LN(2)/25)*HH59+(1-EXP(-LN(2)/25))/(LN(2)/25)*Calculateur!HC60*Calculateur!HE60*VLOOKUP('Données projet'!$B$18,Paramètres!$A$1:$I$89,3,0)*0.475*44/12</f>
        <v>0</v>
      </c>
      <c r="HI60" s="23">
        <f>EXP(-LN(2)/2)*HI59+(1-EXP(-LN(2)/2))/(LN(2)/2)*HC60*HF60*VLOOKUP('Données projet'!$B$18,Paramètres!$A$1:$I$89,3,0)*0.475*44/12</f>
        <v>0</v>
      </c>
      <c r="HJ60" s="24">
        <f t="shared" si="30"/>
        <v>13.499828368883632</v>
      </c>
    </row>
    <row r="61" spans="1:218" s="5" customFormat="1" x14ac:dyDescent="0.2">
      <c r="A61" s="11">
        <f t="shared" si="31"/>
        <v>58</v>
      </c>
      <c r="B61" s="74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15.75</v>
      </c>
      <c r="N61" s="14">
        <f>IF('Données projet'!$A$36&gt;35,N60+M61-V60,IF(A61&lt;'Données projet'!$A$36,$K$205^A61,IF(A61='Données projet'!$A$36,'Données projet'!$B$36,N60+M61-V60)))</f>
        <v>446.25000000000011</v>
      </c>
      <c r="O61" s="14">
        <f>N61*VLOOKUP('Données projet'!$B$9,Paramètres!$A$1:$I$89,3,0)*VLOOKUP('Données projet'!$B$9,Paramètres!$A$1:$I$89,5,0)</f>
        <v>382.88250000000016</v>
      </c>
      <c r="P61" s="14">
        <f t="shared" si="33"/>
        <v>88.297570804235008</v>
      </c>
      <c r="Q61" s="22">
        <f t="shared" si="53"/>
        <v>820.63862331737619</v>
      </c>
      <c r="R61" s="62">
        <f t="shared" si="0"/>
        <v>1113.9719566507094</v>
      </c>
      <c r="S61" s="62">
        <f ca="1">AVERAGE(OFFSET($R$3,0,0,'Données projet'!$E$9+1,1))-AVERAGE(OFFSET($H$3,0,0,'Données projet'!$E$9+1,1))</f>
        <v>623.31285537237943</v>
      </c>
      <c r="T61" s="62">
        <f t="shared" si="34"/>
        <v>462.33909258902241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63.848141670906294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63.848141670906294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6.2</v>
      </c>
      <c r="AI61" s="14">
        <f>IF('Données projet'!$A$62&gt;35,AI60+AH61-AQ60,IF(A61&lt;'Données projet'!$A$62,$AF$205^A61,IF(A61='Données projet'!$A$62,'Données projet'!$B$62,AI60+AH61-AQ60)))</f>
        <v>281.59999999999997</v>
      </c>
      <c r="AJ61" s="14">
        <f>AI61*VLOOKUP('Données projet'!$B$10,Paramètres!$A$1:$I$89,3,0)*VLOOKUP('Données projet'!$B$10,Paramètres!$A$1:$I$89,5,0)</f>
        <v>246.00576000000001</v>
      </c>
      <c r="AK61" s="14">
        <f t="shared" si="35"/>
        <v>59.729834388897928</v>
      </c>
      <c r="AL61" s="22">
        <f t="shared" si="4"/>
        <v>532.48949356066385</v>
      </c>
      <c r="AM61" s="62">
        <f t="shared" si="5"/>
        <v>825.82282689399722</v>
      </c>
      <c r="AN61" s="62">
        <f ca="1">AVERAGE(OFFSET($AM$3,0,0,'Données projet'!$E$10+1,1))-AVERAGE(OFFSET($H$3,0,0,'Données projet'!$E$10+1,1))</f>
        <v>390.70479111593545</v>
      </c>
      <c r="AO61" s="62">
        <f t="shared" si="36"/>
        <v>374.99493809709708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23.089340363117671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23.089340363117671</v>
      </c>
      <c r="AY61" s="7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6.2</v>
      </c>
      <c r="BD61" s="13">
        <f>IF('Données projet'!$A$88&gt;35,BD60+BC61-BL60,IF(A61&lt;'Données projet'!$A$88,$BA$205^A61,IF(A61='Données projet'!$A$88,'Données projet'!$B$88,BD60+BC61-BL60)))</f>
        <v>281.59999999999997</v>
      </c>
      <c r="BE61" s="14">
        <f>BD61*VLOOKUP('Données projet'!$B$11,Paramètres!$A$1:$I$89,3,0)*VLOOKUP('Données projet'!$B$11,Paramètres!$A$1:$I$89,5,0)</f>
        <v>224.04095999999998</v>
      </c>
      <c r="BF61" s="14">
        <f t="shared" si="37"/>
        <v>54.992235867381282</v>
      </c>
      <c r="BG61" s="22">
        <f t="shared" si="7"/>
        <v>485.98281613568906</v>
      </c>
      <c r="BH61" s="62">
        <f t="shared" si="8"/>
        <v>779.31614946902232</v>
      </c>
      <c r="BI61" s="62">
        <f ca="1">AVERAGE(OFFSET($BH$3,0,0,'Données projet'!$E$11+1,1))-AVERAGE(OFFSET($H$3,0,0,'Données projet'!$E$11+1,1))</f>
        <v>359.18294335011535</v>
      </c>
      <c r="BJ61" s="62">
        <f t="shared" si="38"/>
        <v>345.47508134331241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21.027792116410737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21.027792116410737</v>
      </c>
      <c r="BT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6.2</v>
      </c>
      <c r="BY61" s="13">
        <f>IF('Données projet'!$A$114&gt;35,BY60+BX61-CG60,IF(A61&lt;'Données projet'!$A$114,$BV$205^A61,IF(A61='Données projet'!$A$114,'Données projet'!$B$114,BY60+BX61-CG60)))</f>
        <v>281.59999999999997</v>
      </c>
      <c r="BZ61" s="14">
        <f>BY61*VLOOKUP('Données projet'!$B$12,Paramètres!$A$1:$I$89,3,0)*VLOOKUP('Données projet'!$B$12,Paramètres!$A$1:$I$89,5,0)</f>
        <v>206.46911999999998</v>
      </c>
      <c r="CA61" s="14">
        <f t="shared" si="39"/>
        <v>51.163239774028327</v>
      </c>
      <c r="CB61" s="22">
        <f t="shared" si="10"/>
        <v>448.70969327309928</v>
      </c>
      <c r="CC61" s="62">
        <f t="shared" si="11"/>
        <v>742.04302660643259</v>
      </c>
      <c r="CD61" s="62">
        <f ca="1">AVERAGE(OFFSET($CC$3,0,0,'Données projet'!$E$12+1,1))-AVERAGE(OFFSET($H$3,0,0,'Données projet'!$E$12+1,1))</f>
        <v>333.9187211440219</v>
      </c>
      <c r="CE61" s="62">
        <f t="shared" si="40"/>
        <v>321.81422611044997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15.722222666395151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15.722222666395151</v>
      </c>
      <c r="CO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6.2</v>
      </c>
      <c r="CT61" s="13">
        <f>IF('Données projet'!$A$140&gt;35,CT60+CS61-DB60,IF(A61&lt;'Données projet'!$A$140,$CQ$205^A61,IF(A61='Données projet'!$A$140,'Données projet'!$B$140,CT60+CS61-DB60)))</f>
        <v>281.59999999999997</v>
      </c>
      <c r="CU61" s="18">
        <f>CT61*VLOOKUP('Données projet'!$B$13,Paramètres!$A$1:$I$89,3,0)*VLOOKUP('Données projet'!$B$13,Paramètres!$A$1:$I$89,5,0)</f>
        <v>228.43392</v>
      </c>
      <c r="CV61" s="14">
        <f t="shared" si="41"/>
        <v>55.943923887219498</v>
      </c>
      <c r="CW61" s="22">
        <f t="shared" si="13"/>
        <v>495.29141143690731</v>
      </c>
      <c r="CX61" s="62">
        <f t="shared" si="14"/>
        <v>788.62474477024057</v>
      </c>
      <c r="CY61" s="62">
        <f ca="1">AVERAGE(OFFSET($CX$3,0,0,'Données projet'!$E$13+1,1))-AVERAGE(OFFSET($H$3,0,0,'Données projet'!$E$13+1,1))</f>
        <v>365.492319515595</v>
      </c>
      <c r="CZ61" s="62">
        <f t="shared" si="42"/>
        <v>351.38386928091433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17.394799545798893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17.394799545798893</v>
      </c>
      <c r="DJ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>
        <f>VLOOKUP(A61,'Données projet'!$A$165:$I$185,2,0)</f>
        <v>235.87</v>
      </c>
      <c r="DM61" s="13">
        <f>VLOOKUP(A61,'Données projet'!$A$165:$I$185,9,0)</f>
        <v>9.5537500000000009</v>
      </c>
      <c r="DN61" s="13">
        <f t="array" ref="DN61">INDEX(DM:DM,MIN(IF(ISNUMBER(DM61:DM257),ROW(DM61:DM257),"")))</f>
        <v>9.5537500000000009</v>
      </c>
      <c r="DO61" s="13">
        <f>IF('Données projet'!$A$166&gt;35,DO60+DN61-DW60,IF(A61&lt;'Données projet'!$A$166,$DL$205^A61,IF(A61='Données projet'!$A$166,'Données projet'!$B$166,DO60+DN61-DW60)))</f>
        <v>235.8700000000002</v>
      </c>
      <c r="DP61" s="18">
        <f>DO61*VLOOKUP('Données projet'!$B$14,Paramètres!$A$1:$I$89,3,0)*VLOOKUP('Données projet'!$B$14,Paramètres!$A$1:$I$89,5,0)</f>
        <v>198.69688800000017</v>
      </c>
      <c r="DQ61" s="14">
        <f t="shared" si="43"/>
        <v>49.457674286201424</v>
      </c>
      <c r="DR61" s="22">
        <f t="shared" si="16"/>
        <v>432.20252931513443</v>
      </c>
      <c r="DS61" s="62">
        <f t="shared" si="17"/>
        <v>725.53586264846774</v>
      </c>
      <c r="DT61" s="62">
        <f ca="1">AVERAGE(OFFSET($DS$3,0,0,'Données projet'!$E$14+1,1))-AVERAGE(OFFSET($H$3,0,0,'Données projet'!$E$14+1,1))</f>
        <v>544.89250424794909</v>
      </c>
      <c r="DU61" s="62">
        <f t="shared" si="44"/>
        <v>253.98688498110715</v>
      </c>
      <c r="DV61" s="16">
        <f>IF(ISNA(VLOOKUP(A61,'Données projet'!$A$165:$I$185,3,0)),0,VLOOKUP(A61,'Données projet'!$A$165:$I$185,3,0))</f>
        <v>3</v>
      </c>
      <c r="DW61" s="16">
        <f>IF(ISNA(VLOOKUP(A61,'Données projet'!$A$165:$I$185,4,0)),0,VLOOKUP(A61,'Données projet'!$A$165:$I$185,4,0))</f>
        <v>44.93</v>
      </c>
      <c r="DX61" s="17">
        <f>IF(ISNA(VLOOKUP(A61,'Données projet'!$A$165:$I$185,5,0)),0%,VLOOKUP(A61,'Données projet'!$A$165:$I$185,5,0)*VLOOKUP('Données projet'!$B$14,Paramètres!$A$1:$I$89,7,0))</f>
        <v>8.6000000000000007E-2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8.5510987186319163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8.5510987186319163</v>
      </c>
      <c r="EE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>
        <f>VLOOKUP(A61,'Données projet'!$A$191:$I$211,2,0)</f>
        <v>235.87</v>
      </c>
      <c r="EH61" s="13">
        <f>VLOOKUP(A61,'Données projet'!$A$191:$I$211,9,0)</f>
        <v>9.5537500000000009</v>
      </c>
      <c r="EI61" s="13">
        <f t="array" ref="EI61">INDEX(EH:EH,MIN(IF(ISNUMBER(EH61:EH257),ROW(EH61:EH257),"")))</f>
        <v>9.5537500000000009</v>
      </c>
      <c r="EJ61" s="13">
        <f>IF('Données projet'!$A$192&gt;35,EJ60+EI61-ER60,IF(A61&lt;'Données projet'!$A$192,$EG$205^A61,IF(A61='Données projet'!$A$192,'Données projet'!$B$192,EJ60+EI61-ER60)))</f>
        <v>235.8700000000002</v>
      </c>
      <c r="EK61" s="18">
        <f>EJ61*VLOOKUP('Données projet'!$B$15,Paramètres!$A$1:$I$89,3,0)*VLOOKUP('Données projet'!$B$15,Paramètres!$A$1:$I$89,5,0)</f>
        <v>213.41517600000017</v>
      </c>
      <c r="EL61" s="14">
        <f t="shared" si="45"/>
        <v>52.681185448853228</v>
      </c>
      <c r="EM61" s="22">
        <f t="shared" si="19"/>
        <v>463.45116285675294</v>
      </c>
      <c r="EN61" s="62">
        <f t="shared" si="20"/>
        <v>756.7844961900862</v>
      </c>
      <c r="EO61" s="62">
        <f ca="1">AVERAGE(OFFSET($EN$3,0,0,'Données projet'!$E$15+1,1))-AVERAGE(OFFSET($H$3,0,0,'Données projet'!$E$15+1,1))</f>
        <v>581.88778927327667</v>
      </c>
      <c r="EP61" s="62">
        <f t="shared" si="46"/>
        <v>269.67340993773422</v>
      </c>
      <c r="EQ61" s="16">
        <f>IF(ISNA(VLOOKUP(A61,'Données projet'!$A$191:$I$211,3,0)),0,VLOOKUP(A61,'Données projet'!$A$191:$I$211,3,0))</f>
        <v>3</v>
      </c>
      <c r="ER61" s="16">
        <f>IF(ISNA(VLOOKUP(A61,'Données projet'!$A$191:$I$211,4,0)),0,VLOOKUP(A61,'Données projet'!$A$191:$I$211,4,0))</f>
        <v>44.93</v>
      </c>
      <c r="ES61" s="17">
        <f>IF(ISNA(VLOOKUP(A61,'Données projet'!$A$191:$I$211,5,0)),0%,VLOOKUP(A61,'Données projet'!$A$191:$I$211,5,0)*VLOOKUP('Données projet'!$B$15,Paramètres!$A$1:$I$89,7,0))</f>
        <v>8.6000000000000007E-2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9.1845134385305762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9.1845134385305762</v>
      </c>
      <c r="EZ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>
        <f>VLOOKUP(A61,'Données projet'!$A$217:$I$237,2,0)</f>
        <v>235.87</v>
      </c>
      <c r="FC61" s="13">
        <f>VLOOKUP(A61,'Données projet'!$A$217:$I$237,9,0)</f>
        <v>9.5537500000000009</v>
      </c>
      <c r="FD61" s="13">
        <f t="array" ref="FD61">INDEX(FC:FC,MIN(IF(ISNUMBER(FC61:FC257),ROW(FC61:FC257),"")))</f>
        <v>9.5537500000000009</v>
      </c>
      <c r="FE61" s="13">
        <f>IF('Données projet'!$A$218&gt;35,FE60+FD61-FM60,IF(A61&lt;'Données projet'!$A$218,$FB$205^A61,IF(A61='Données projet'!$A$218,'Données projet'!$B$218,FE60+FD61-FM60)))</f>
        <v>235.8700000000002</v>
      </c>
      <c r="FF61" s="18">
        <f>FE61*VLOOKUP('Données projet'!$B$16,Paramètres!$A$1:$I$89,3,0)*VLOOKUP('Données projet'!$B$16,Paramètres!$A$1:$I$89,5,0)</f>
        <v>239.1721800000002</v>
      </c>
      <c r="FG61" s="14">
        <f t="shared" si="47"/>
        <v>58.261385175767472</v>
      </c>
      <c r="FH61" s="22">
        <f t="shared" si="22"/>
        <v>518.0301260144621</v>
      </c>
      <c r="FI61" s="62">
        <f t="shared" si="23"/>
        <v>811.36345934779547</v>
      </c>
      <c r="FJ61" s="62">
        <f ca="1">AVERAGE(OFFSET($FI$3,0,0,'Données projet'!$E$16+1,1))-AVERAGE(OFFSET($H$3,0,0,'Données projet'!$E$16+1,1))</f>
        <v>646.50767193970182</v>
      </c>
      <c r="FK61" s="62">
        <f t="shared" si="48"/>
        <v>297.06786598620607</v>
      </c>
      <c r="FL61" s="16">
        <f>IF(ISNA(VLOOKUP(A61,'Données projet'!$A$217:$I$237,3,0)),0,VLOOKUP(A61,'Données projet'!$A$217:$I$237,3,0))</f>
        <v>3</v>
      </c>
      <c r="FM61" s="16">
        <f>IF(ISNA(VLOOKUP(A61,'Données projet'!$A$217:$I$237,4,0)),0,VLOOKUP(A61,'Données projet'!$A$217:$I$237,4,0))</f>
        <v>44.93</v>
      </c>
      <c r="FN61" s="17">
        <f>IF(ISNA(VLOOKUP(A61,'Données projet'!$A$217:$I$237,5,0)),0%,VLOOKUP(A61,'Données projet'!$A$217:$I$237,5,0)*VLOOKUP('Données projet'!$B$16,Paramètres!$A$1:$I$89,7,0))</f>
        <v>8.6000000000000007E-2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10.292989198353233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10.292989198353233</v>
      </c>
      <c r="FU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>
        <f>VLOOKUP(A61,'Données projet'!$A$243:$I$263,2,0)</f>
        <v>235.87</v>
      </c>
      <c r="FX61" s="13">
        <f>VLOOKUP(A61,'Données projet'!$A$243:$I$263,9,0)</f>
        <v>9.5537500000000009</v>
      </c>
      <c r="FY61" s="13">
        <f t="array" ref="FY61">INDEX(FX:FX,MIN(IF(ISNUMBER(FX61:FX257),ROW(FX61:FX257),"")))</f>
        <v>9.5537500000000009</v>
      </c>
      <c r="FZ61" s="13">
        <f>IF('Données projet'!$A$244&gt;35,FZ60+FY61-GH60,IF(A61&lt;'Données projet'!$A$244,$FW$205^A61,IF(A61='Données projet'!$A$244,'Données projet'!$B$244,FZ60+FY61-GH60)))</f>
        <v>235.8700000000002</v>
      </c>
      <c r="GA61" s="18">
        <f>FZ61*VLOOKUP('Données projet'!$B$17,Paramètres!$A$1:$I$89,3,0)*VLOOKUP('Données projet'!$B$17,Paramètres!$A$1:$I$89,5,0)</f>
        <v>158.22159600000012</v>
      </c>
      <c r="GB61" s="14">
        <f t="shared" si="49"/>
        <v>40.441130855838743</v>
      </c>
      <c r="GC61" s="22">
        <f t="shared" si="25"/>
        <v>346.00424927391936</v>
      </c>
      <c r="GD61" s="62">
        <f t="shared" si="26"/>
        <v>639.33758260725267</v>
      </c>
      <c r="GE61" s="62">
        <f ca="1">AVERAGE(OFFSET($GD$3,0,0,'Données projet'!$E$17+1,1))-AVERAGE(OFFSET($H$3,0,0,'Données projet'!$E$17+1,1))</f>
        <v>442.85175349826028</v>
      </c>
      <c r="GF61" s="62">
        <f t="shared" si="50"/>
        <v>210.70697808232501</v>
      </c>
      <c r="GG61" s="16">
        <f>IF(ISNA(VLOOKUP(A61,'Données projet'!$A$243:$I$263,3,0)),0,VLOOKUP(A61,'Données projet'!$A$243:$I$263,3,0))</f>
        <v>3</v>
      </c>
      <c r="GH61" s="16">
        <f>IF(ISNA(VLOOKUP(A61,'Données projet'!$A$243:$I$263,4,0)),0,VLOOKUP(A61,'Données projet'!$A$243:$I$263,4,0))</f>
        <v>44.93</v>
      </c>
      <c r="GI61" s="17">
        <f>IF(ISNA(VLOOKUP(A61,'Données projet'!$A$243:$I$263,5,0)),0%,VLOOKUP(A61,'Données projet'!$A$243:$I$263,5,0)*VLOOKUP('Données projet'!$B$17,Paramètres!$A$1:$I$89,7,0))</f>
        <v>0.10600000000000001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8.3927450386572513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8.3927450386572513</v>
      </c>
      <c r="GP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7.8</v>
      </c>
      <c r="GU61" s="13">
        <f>IF('Données projet'!$A$270&gt;35,GU60+GT61-HC60,IF(A61&lt;'Données projet'!$A$270,$GR$205^A61,IF(A61='Données projet'!$A$270,'Données projet'!$B$270,GU60+GT61-HC60)))</f>
        <v>228.39999999999998</v>
      </c>
      <c r="GV61" s="18">
        <f>GU61*VLOOKUP('Données projet'!$B$18,Paramètres!$A$1:$I$89,3,0)*VLOOKUP('Données projet'!$B$18,Paramètres!$A$1:$I$89,5,0)</f>
        <v>217.34544</v>
      </c>
      <c r="GW61" s="14">
        <f t="shared" si="51"/>
        <v>53.537523221233521</v>
      </c>
      <c r="GX61" s="22">
        <f t="shared" si="28"/>
        <v>471.78782761031499</v>
      </c>
      <c r="GY61" s="62">
        <f t="shared" si="29"/>
        <v>765.12116094364831</v>
      </c>
      <c r="GZ61" s="62">
        <f ca="1">AVERAGE(OFFSET($GY$3,0,0,'Données projet'!$E$18+1,1))-AVERAGE(OFFSET($H$3,0,0,'Données projet'!$E$18+1,1))</f>
        <v>420.2510366318939</v>
      </c>
      <c r="HA61" s="62">
        <f t="shared" si="52"/>
        <v>220.59884411514116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13.235104968652081</v>
      </c>
      <c r="HH61" s="23">
        <f>EXP(-LN(2)/25)*HH60+(1-EXP(-LN(2)/25))/(LN(2)/25)*Calculateur!HC61*Calculateur!HE61*VLOOKUP('Données projet'!$B$18,Paramètres!$A$1:$I$89,3,0)*0.475*44/12</f>
        <v>0</v>
      </c>
      <c r="HI61" s="23">
        <f>EXP(-LN(2)/2)*HI60+(1-EXP(-LN(2)/2))/(LN(2)/2)*HC61*HF61*VLOOKUP('Données projet'!$B$18,Paramètres!$A$1:$I$89,3,0)*0.475*44/12</f>
        <v>0</v>
      </c>
      <c r="HJ61" s="24">
        <f t="shared" si="30"/>
        <v>13.235104968652081</v>
      </c>
    </row>
    <row r="62" spans="1:218" s="5" customFormat="1" x14ac:dyDescent="0.2">
      <c r="A62" s="11">
        <f t="shared" si="31"/>
        <v>59</v>
      </c>
      <c r="B62" s="74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15.75</v>
      </c>
      <c r="N62" s="14">
        <f>IF('Données projet'!$A$36&gt;35,N61+M62-V61,IF(A62&lt;'Données projet'!$A$36,$K$205^A62,IF(A62='Données projet'!$A$36,'Données projet'!$B$36,N61+M62-V61)))</f>
        <v>462.00000000000011</v>
      </c>
      <c r="O62" s="14">
        <f>N62*VLOOKUP('Données projet'!$B$9,Paramètres!$A$1:$I$89,3,0)*VLOOKUP('Données projet'!$B$9,Paramètres!$A$1:$I$89,5,0)</f>
        <v>396.39600000000013</v>
      </c>
      <c r="P62" s="14">
        <f t="shared" si="33"/>
        <v>91.045625096627589</v>
      </c>
      <c r="Q62" s="22">
        <f t="shared" si="53"/>
        <v>848.96083037662663</v>
      </c>
      <c r="R62" s="62">
        <f t="shared" si="0"/>
        <v>1142.29416370996</v>
      </c>
      <c r="S62" s="62">
        <f ca="1">AVERAGE(OFFSET($R$3,0,0,'Données projet'!$E$9+1,1))-AVERAGE(OFFSET($H$3,0,0,'Données projet'!$E$9+1,1))</f>
        <v>623.31285537237943</v>
      </c>
      <c r="T62" s="62">
        <f t="shared" si="34"/>
        <v>462.33909258902241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62.59611855626089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62.59611855626089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6.2</v>
      </c>
      <c r="AI62" s="14">
        <f>IF('Données projet'!$A$62&gt;35,AI61+AH62-AQ61,IF(A62&lt;'Données projet'!$A$62,$AF$205^A62,IF(A62='Données projet'!$A$62,'Données projet'!$B$62,AI61+AH62-AQ61)))</f>
        <v>287.79999999999995</v>
      </c>
      <c r="AJ62" s="14">
        <f>AI62*VLOOKUP('Données projet'!$B$10,Paramètres!$A$1:$I$89,3,0)*VLOOKUP('Données projet'!$B$10,Paramètres!$A$1:$I$89,5,0)</f>
        <v>251.42207999999997</v>
      </c>
      <c r="AK62" s="14">
        <f t="shared" si="35"/>
        <v>60.890357280401872</v>
      </c>
      <c r="AL62" s="22">
        <f t="shared" si="4"/>
        <v>543.94416159669981</v>
      </c>
      <c r="AM62" s="62">
        <f t="shared" si="5"/>
        <v>837.27749493003307</v>
      </c>
      <c r="AN62" s="62">
        <f ca="1">AVERAGE(OFFSET($AM$3,0,0,'Données projet'!$E$10+1,1))-AVERAGE(OFFSET($H$3,0,0,'Données projet'!$E$10+1,1))</f>
        <v>390.70479111593545</v>
      </c>
      <c r="AO62" s="62">
        <f t="shared" si="36"/>
        <v>374.99493809709708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22.636572481703965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22.636572481703965</v>
      </c>
      <c r="AY62" s="7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6.2</v>
      </c>
      <c r="BD62" s="13">
        <f>IF('Données projet'!$A$88&gt;35,BD61+BC62-BL61,IF(A62&lt;'Données projet'!$A$88,$BA$205^A62,IF(A62='Données projet'!$A$88,'Données projet'!$B$88,BD61+BC62-BL61)))</f>
        <v>287.79999999999995</v>
      </c>
      <c r="BE62" s="14">
        <f>BD62*VLOOKUP('Données projet'!$B$11,Paramètres!$A$1:$I$89,3,0)*VLOOKUP('Données projet'!$B$11,Paramètres!$A$1:$I$89,5,0)</f>
        <v>228.97368</v>
      </c>
      <c r="BF62" s="14">
        <f t="shared" si="37"/>
        <v>56.060709423888284</v>
      </c>
      <c r="BG62" s="22">
        <f t="shared" si="7"/>
        <v>496.4348949132721</v>
      </c>
      <c r="BH62" s="62">
        <f t="shared" si="8"/>
        <v>789.76822824660542</v>
      </c>
      <c r="BI62" s="62">
        <f ca="1">AVERAGE(OFFSET($BH$3,0,0,'Données projet'!$E$11+1,1))-AVERAGE(OFFSET($H$3,0,0,'Données projet'!$E$11+1,1))</f>
        <v>359.18294335011535</v>
      </c>
      <c r="BJ62" s="62">
        <f t="shared" si="38"/>
        <v>345.47508134331241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20.615449938694681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20.615449938694681</v>
      </c>
      <c r="BT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6.2</v>
      </c>
      <c r="BY62" s="13">
        <f>IF('Données projet'!$A$114&gt;35,BY61+BX62-CG61,IF(A62&lt;'Données projet'!$A$114,$BV$205^A62,IF(A62='Données projet'!$A$114,'Données projet'!$B$114,BY61+BX62-CG61)))</f>
        <v>287.79999999999995</v>
      </c>
      <c r="BZ62" s="14">
        <f>BY62*VLOOKUP('Données projet'!$B$12,Paramètres!$A$1:$I$89,3,0)*VLOOKUP('Données projet'!$B$12,Paramètres!$A$1:$I$89,5,0)</f>
        <v>211.01495999999995</v>
      </c>
      <c r="CA62" s="14">
        <f t="shared" si="39"/>
        <v>52.15731771796959</v>
      </c>
      <c r="CB62" s="22">
        <f t="shared" si="10"/>
        <v>458.3583836921303</v>
      </c>
      <c r="CC62" s="62">
        <f t="shared" si="11"/>
        <v>751.69171702546362</v>
      </c>
      <c r="CD62" s="62">
        <f ca="1">AVERAGE(OFFSET($CC$3,0,0,'Données projet'!$E$12+1,1))-AVERAGE(OFFSET($H$3,0,0,'Données projet'!$E$12+1,1))</f>
        <v>333.9187211440219</v>
      </c>
      <c r="CE62" s="62">
        <f t="shared" si="40"/>
        <v>321.81422611044997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15.413919469516074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15.413919469516074</v>
      </c>
      <c r="CO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6.2</v>
      </c>
      <c r="CT62" s="13">
        <f>IF('Données projet'!$A$140&gt;35,CT61+CS62-DB61,IF(A62&lt;'Données projet'!$A$140,$CQ$205^A62,IF(A62='Données projet'!$A$140,'Données projet'!$B$140,CT61+CS62-DB61)))</f>
        <v>287.79999999999995</v>
      </c>
      <c r="CU62" s="18">
        <f>CT62*VLOOKUP('Données projet'!$B$13,Paramètres!$A$1:$I$89,3,0)*VLOOKUP('Données projet'!$B$13,Paramètres!$A$1:$I$89,5,0)</f>
        <v>233.46335999999997</v>
      </c>
      <c r="CV62" s="14">
        <f t="shared" si="41"/>
        <v>57.030888299157333</v>
      </c>
      <c r="CW62" s="22">
        <f t="shared" si="13"/>
        <v>505.94414912103224</v>
      </c>
      <c r="CX62" s="62">
        <f t="shared" si="14"/>
        <v>799.27748245436555</v>
      </c>
      <c r="CY62" s="62">
        <f ca="1">AVERAGE(OFFSET($CX$3,0,0,'Données projet'!$E$13+1,1))-AVERAGE(OFFSET($H$3,0,0,'Données projet'!$E$13+1,1))</f>
        <v>365.492319515595</v>
      </c>
      <c r="CZ62" s="62">
        <f t="shared" si="42"/>
        <v>351.38386928091433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17.05369813648587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17.05369813648587</v>
      </c>
      <c r="DJ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9.2524999999999977</v>
      </c>
      <c r="DO62" s="13">
        <f>IF('Données projet'!$A$166&gt;35,DO61+DN62-DW61,IF(A62&lt;'Données projet'!$A$166,$DL$205^A62,IF(A62='Données projet'!$A$166,'Données projet'!$B$166,DO61+DN62-DW61)))</f>
        <v>200.19250000000019</v>
      </c>
      <c r="DP62" s="18">
        <f>DO62*VLOOKUP('Données projet'!$B$14,Paramètres!$A$1:$I$89,3,0)*VLOOKUP('Données projet'!$B$14,Paramètres!$A$1:$I$89,5,0)</f>
        <v>168.64216200000018</v>
      </c>
      <c r="DQ62" s="14">
        <f t="shared" si="43"/>
        <v>42.785771251916046</v>
      </c>
      <c r="DR62" s="22">
        <f t="shared" si="16"/>
        <v>368.23698374708738</v>
      </c>
      <c r="DS62" s="62">
        <f t="shared" si="17"/>
        <v>661.57031708042064</v>
      </c>
      <c r="DT62" s="62">
        <f ca="1">AVERAGE(OFFSET($DS$3,0,0,'Données projet'!$E$14+1,1))-AVERAGE(OFFSET($H$3,0,0,'Données projet'!$E$14+1,1))</f>
        <v>544.89250424794909</v>
      </c>
      <c r="DU62" s="62">
        <f t="shared" si="44"/>
        <v>253.98688498110715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8.3834168884147591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8.3834168884147591</v>
      </c>
      <c r="EE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9.2524999999999977</v>
      </c>
      <c r="EJ62" s="13">
        <f>IF('Données projet'!$A$192&gt;35,EJ61+EI62-ER61,IF(A62&lt;'Données projet'!$A$192,$EG$205^A62,IF(A62='Données projet'!$A$192,'Données projet'!$B$192,EJ61+EI62-ER61)))</f>
        <v>200.19250000000019</v>
      </c>
      <c r="EK62" s="18">
        <f>EJ62*VLOOKUP('Données projet'!$B$15,Paramètres!$A$1:$I$89,3,0)*VLOOKUP('Données projet'!$B$15,Paramètres!$A$1:$I$89,5,0)</f>
        <v>181.13417400000017</v>
      </c>
      <c r="EL62" s="14">
        <f t="shared" si="45"/>
        <v>45.574426667354729</v>
      </c>
      <c r="EM62" s="22">
        <f t="shared" si="19"/>
        <v>394.85081282897653</v>
      </c>
      <c r="EN62" s="62">
        <f t="shared" si="20"/>
        <v>688.18414616230984</v>
      </c>
      <c r="EO62" s="62">
        <f ca="1">AVERAGE(OFFSET($EN$3,0,0,'Données projet'!$E$15+1,1))-AVERAGE(OFFSET($H$3,0,0,'Données projet'!$E$15+1,1))</f>
        <v>581.88778927327667</v>
      </c>
      <c r="EP62" s="62">
        <f t="shared" si="46"/>
        <v>269.67340993773422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9.0044107320010376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9.0044107320010376</v>
      </c>
      <c r="EZ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9.2524999999999977</v>
      </c>
      <c r="FE62" s="13">
        <f>IF('Données projet'!$A$218&gt;35,FE61+FD62-FM61,IF(A62&lt;'Données projet'!$A$218,$FB$205^A62,IF(A62='Données projet'!$A$218,'Données projet'!$B$218,FE61+FD62-FM61)))</f>
        <v>200.19250000000019</v>
      </c>
      <c r="FF62" s="18">
        <f>FE62*VLOOKUP('Données projet'!$B$16,Paramètres!$A$1:$I$89,3,0)*VLOOKUP('Données projet'!$B$16,Paramètres!$A$1:$I$89,5,0)</f>
        <v>202.99519500000022</v>
      </c>
      <c r="FG62" s="14">
        <f t="shared" si="47"/>
        <v>50.40185036856122</v>
      </c>
      <c r="FH62" s="22">
        <f t="shared" si="22"/>
        <v>441.33318735024449</v>
      </c>
      <c r="FI62" s="62">
        <f t="shared" si="23"/>
        <v>734.6665206835778</v>
      </c>
      <c r="FJ62" s="62">
        <f ca="1">AVERAGE(OFFSET($FI$3,0,0,'Données projet'!$E$16+1,1))-AVERAGE(OFFSET($H$3,0,0,'Données projet'!$E$16+1,1))</f>
        <v>646.50767193970182</v>
      </c>
      <c r="FK62" s="62">
        <f t="shared" si="48"/>
        <v>297.06786598620607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10.091149958277025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10.091149958277025</v>
      </c>
      <c r="FU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9.2524999999999977</v>
      </c>
      <c r="FZ62" s="13">
        <f>IF('Données projet'!$A$244&gt;35,FZ61+FY62-GH61,IF(A62&lt;'Données projet'!$A$244,$FW$205^A62,IF(A62='Données projet'!$A$244,'Données projet'!$B$244,FZ61+FY62-GH61)))</f>
        <v>200.19250000000019</v>
      </c>
      <c r="GA62" s="18">
        <f>FZ62*VLOOKUP('Données projet'!$B$17,Paramètres!$A$1:$I$89,3,0)*VLOOKUP('Données projet'!$B$17,Paramètres!$A$1:$I$89,5,0)</f>
        <v>134.28912900000014</v>
      </c>
      <c r="GB62" s="14">
        <f t="shared" si="49"/>
        <v>34.985570974360854</v>
      </c>
      <c r="GC62" s="22">
        <f t="shared" si="25"/>
        <v>294.82010245534542</v>
      </c>
      <c r="GD62" s="62">
        <f t="shared" si="26"/>
        <v>588.15343578867873</v>
      </c>
      <c r="GE62" s="62">
        <f ca="1">AVERAGE(OFFSET($GD$3,0,0,'Données projet'!$E$17+1,1))-AVERAGE(OFFSET($H$3,0,0,'Données projet'!$E$17+1,1))</f>
        <v>442.85175349826028</v>
      </c>
      <c r="GF62" s="62">
        <f t="shared" si="50"/>
        <v>210.70697808232501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8.2281684275181899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8.2281684275181899</v>
      </c>
      <c r="GP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7.8</v>
      </c>
      <c r="GU62" s="13">
        <f>IF('Données projet'!$A$270&gt;35,GU61+GT62-HC61,IF(A62&lt;'Données projet'!$A$270,$GR$205^A62,IF(A62='Données projet'!$A$270,'Données projet'!$B$270,GU61+GT62-HC61)))</f>
        <v>236.2</v>
      </c>
      <c r="GV62" s="18">
        <f>GU62*VLOOKUP('Données projet'!$B$18,Paramètres!$A$1:$I$89,3,0)*VLOOKUP('Données projet'!$B$18,Paramètres!$A$1:$I$89,5,0)</f>
        <v>224.76792</v>
      </c>
      <c r="GW62" s="14">
        <f t="shared" si="51"/>
        <v>55.149872900175914</v>
      </c>
      <c r="GX62" s="22">
        <f t="shared" si="28"/>
        <v>487.52348930113976</v>
      </c>
      <c r="GY62" s="62">
        <f t="shared" si="29"/>
        <v>780.85682263447302</v>
      </c>
      <c r="GZ62" s="62">
        <f ca="1">AVERAGE(OFFSET($GY$3,0,0,'Données projet'!$E$18+1,1))-AVERAGE(OFFSET($H$3,0,0,'Données projet'!$E$18+1,1))</f>
        <v>420.2510366318939</v>
      </c>
      <c r="HA62" s="62">
        <f t="shared" si="52"/>
        <v>220.59884411514116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12.975572632833741</v>
      </c>
      <c r="HH62" s="23">
        <f>EXP(-LN(2)/25)*HH61+(1-EXP(-LN(2)/25))/(LN(2)/25)*Calculateur!HC62*Calculateur!HE62*VLOOKUP('Données projet'!$B$18,Paramètres!$A$1:$I$89,3,0)*0.475*44/12</f>
        <v>0</v>
      </c>
      <c r="HI62" s="23">
        <f>EXP(-LN(2)/2)*HI61+(1-EXP(-LN(2)/2))/(LN(2)/2)*HC62*HF62*VLOOKUP('Données projet'!$B$18,Paramètres!$A$1:$I$89,3,0)*0.475*44/12</f>
        <v>0</v>
      </c>
      <c r="HJ62" s="24">
        <f t="shared" si="30"/>
        <v>12.975572632833741</v>
      </c>
    </row>
    <row r="63" spans="1:218" s="5" customFormat="1" x14ac:dyDescent="0.2">
      <c r="A63" s="11">
        <f t="shared" si="31"/>
        <v>60</v>
      </c>
      <c r="B63" s="74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15.75</v>
      </c>
      <c r="N63" s="14">
        <f>IF('Données projet'!$A$36&gt;35,N62+M63-V62,IF(A63&lt;'Données projet'!$A$36,$K$205^A63,IF(A63='Données projet'!$A$36,'Données projet'!$B$36,N62+M63-V62)))</f>
        <v>477.75000000000011</v>
      </c>
      <c r="O63" s="14">
        <f>N63*VLOOKUP('Données projet'!$B$9,Paramètres!$A$1:$I$89,3,0)*VLOOKUP('Données projet'!$B$9,Paramètres!$A$1:$I$89,5,0)</f>
        <v>409.90950000000015</v>
      </c>
      <c r="P63" s="14">
        <f t="shared" si="33"/>
        <v>93.782793990023393</v>
      </c>
      <c r="Q63" s="22">
        <f t="shared" si="53"/>
        <v>877.26407869929096</v>
      </c>
      <c r="R63" s="62">
        <f t="shared" si="0"/>
        <v>1170.5974120326243</v>
      </c>
      <c r="S63" s="62">
        <f ca="1">AVERAGE(OFFSET($R$3,0,0,'Données projet'!$E$9+1,1))-AVERAGE(OFFSET($H$3,0,0,'Données projet'!$E$9+1,1))</f>
        <v>623.31285537237943</v>
      </c>
      <c r="T63" s="62">
        <f t="shared" si="34"/>
        <v>462.33909258902241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61.368646851234985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61.368646851234985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294</v>
      </c>
      <c r="AG63" s="13">
        <f>VLOOKUP(A63,'Données projet'!$A$61:$I$81,9,0)</f>
        <v>6.2</v>
      </c>
      <c r="AH63" s="13">
        <f t="array" ref="AH63">INDEX(AG:AG,MIN(IF(ISNUMBER(AG63:AG259),ROW(AG63:AG259),"")))</f>
        <v>6.2</v>
      </c>
      <c r="AI63" s="14">
        <f>IF('Données projet'!$A$62&gt;35,AI62+AH63-AQ62,IF(A63&lt;'Données projet'!$A$62,$AF$205^A63,IF(A63='Données projet'!$A$62,'Données projet'!$B$62,AI62+AH63-AQ62)))</f>
        <v>293.99999999999994</v>
      </c>
      <c r="AJ63" s="14">
        <f>AI63*VLOOKUP('Données projet'!$B$10,Paramètres!$A$1:$I$89,3,0)*VLOOKUP('Données projet'!$B$10,Paramètres!$A$1:$I$89,5,0)</f>
        <v>256.83839999999998</v>
      </c>
      <c r="AK63" s="14">
        <f t="shared" si="35"/>
        <v>62.047973482014044</v>
      </c>
      <c r="AL63" s="22">
        <f t="shared" si="4"/>
        <v>555.39376714784112</v>
      </c>
      <c r="AM63" s="62">
        <f t="shared" si="5"/>
        <v>848.72710048117438</v>
      </c>
      <c r="AN63" s="62">
        <f ca="1">AVERAGE(OFFSET($AM$3,0,0,'Données projet'!$E$10+1,1))-AVERAGE(OFFSET($H$3,0,0,'Données projet'!$E$10+1,1))</f>
        <v>390.70479111593545</v>
      </c>
      <c r="AO63" s="62">
        <f t="shared" si="36"/>
        <v>374.99493809709708</v>
      </c>
      <c r="AP63" s="16">
        <f>IF(ISNA(VLOOKUP(A63,'Données projet'!$A$61:$I$81,3,0)),0,VLOOKUP(A63,'Données projet'!$A$61:$I$81,3,0))</f>
        <v>11</v>
      </c>
      <c r="AQ63" s="16">
        <f>IF(ISNA(VLOOKUP(A63,'Données projet'!$A$61:$I$81,4,0)),0,VLOOKUP(A63,'Données projet'!$A$61:$I$81,4,0))</f>
        <v>14</v>
      </c>
      <c r="AR63" s="17">
        <f>IF(ISNA(VLOOKUP(A63,'Données projet'!$A$61:$I$81,5,0)),0%,VLOOKUP(A63,'Données projet'!$A$61:$I$81,5,0)*VLOOKUP('Données projet'!$B$10,Paramètres!$A$1:$I$89,7,0))</f>
        <v>0.318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26.492152789972696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26.492152789972696</v>
      </c>
      <c r="AY63" s="7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294</v>
      </c>
      <c r="BB63" s="13">
        <f>VLOOKUP(A63,'Données projet'!$A$87:$I$107,9,0)</f>
        <v>6.2</v>
      </c>
      <c r="BC63" s="13">
        <f t="array" ref="BC63">INDEX(BB:BB,MIN(IF(ISNUMBER(BB63:BB259),ROW(BB63:BB259),"")))</f>
        <v>6.2</v>
      </c>
      <c r="BD63" s="13">
        <f>IF('Données projet'!$A$88&gt;35,BD62+BC63-BL62,IF(A63&lt;'Données projet'!$A$88,$BA$205^A63,IF(A63='Données projet'!$A$88,'Données projet'!$B$88,BD62+BC63-BL62)))</f>
        <v>293.99999999999994</v>
      </c>
      <c r="BE63" s="14">
        <f>BD63*VLOOKUP('Données projet'!$B$11,Paramètres!$A$1:$I$89,3,0)*VLOOKUP('Données projet'!$B$11,Paramètres!$A$1:$I$89,5,0)</f>
        <v>233.90639999999996</v>
      </c>
      <c r="BF63" s="14">
        <f t="shared" si="37"/>
        <v>57.126506840778347</v>
      </c>
      <c r="BG63" s="22">
        <f t="shared" si="7"/>
        <v>506.8823127476889</v>
      </c>
      <c r="BH63" s="62">
        <f t="shared" si="8"/>
        <v>800.21564608102221</v>
      </c>
      <c r="BI63" s="62">
        <f ca="1">AVERAGE(OFFSET($BH$3,0,0,'Données projet'!$E$11+1,1))-AVERAGE(OFFSET($H$3,0,0,'Données projet'!$E$11+1,1))</f>
        <v>359.18294335011535</v>
      </c>
      <c r="BJ63" s="62">
        <f t="shared" si="38"/>
        <v>345.47508134331241</v>
      </c>
      <c r="BK63" s="16">
        <f>IF(ISNA(VLOOKUP(A63,'Données projet'!$A$87:$I$107,3,0)),0,VLOOKUP(A63,'Données projet'!$A$87:$I$107,3,0))</f>
        <v>11</v>
      </c>
      <c r="BL63" s="16">
        <f>IF(ISNA(VLOOKUP(A63,'Données projet'!$A$87:$I$107,4,0)),0,VLOOKUP(A63,'Données projet'!$A$87:$I$107,4,0))</f>
        <v>14</v>
      </c>
      <c r="BM63" s="17">
        <f>IF(ISNA(VLOOKUP(A63,'Données projet'!$A$87:$I$107,5,0)),0%,VLOOKUP(A63,'Données projet'!$A$87:$I$107,5,0)*VLOOKUP('Données projet'!$B$11,Paramètres!$A$1:$I$89,7,0))</f>
        <v>0.318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24.126782005153704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24.126782005153704</v>
      </c>
      <c r="BT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294</v>
      </c>
      <c r="BW63" s="13">
        <f>VLOOKUP(A63,'Données projet'!$A$113:$I$133,9,0)</f>
        <v>6.2</v>
      </c>
      <c r="BX63" s="13">
        <f t="array" ref="BX63">INDEX(BW:BW,MIN(IF(ISNUMBER(BW63:BW259),ROW(BW63:BW259),"")))</f>
        <v>6.2</v>
      </c>
      <c r="BY63" s="13">
        <f>IF('Données projet'!$A$114&gt;35,BY62+BX63-CG62,IF(A63&lt;'Données projet'!$A$114,$BV$205^A63,IF(A63='Données projet'!$A$114,'Données projet'!$B$114,BY62+BX63-CG62)))</f>
        <v>293.99999999999994</v>
      </c>
      <c r="BZ63" s="14">
        <f>BY63*VLOOKUP('Données projet'!$B$12,Paramètres!$A$1:$I$89,3,0)*VLOOKUP('Données projet'!$B$12,Paramètres!$A$1:$I$89,5,0)</f>
        <v>215.56079999999997</v>
      </c>
      <c r="CA63" s="14">
        <f t="shared" si="39"/>
        <v>53.14890585638225</v>
      </c>
      <c r="CB63" s="22">
        <f t="shared" si="10"/>
        <v>468.00273769986575</v>
      </c>
      <c r="CC63" s="62">
        <f t="shared" si="11"/>
        <v>761.336071033199</v>
      </c>
      <c r="CD63" s="62">
        <f ca="1">AVERAGE(OFFSET($CC$3,0,0,'Données projet'!$E$12+1,1))-AVERAGE(OFFSET($H$3,0,0,'Données projet'!$E$12+1,1))</f>
        <v>333.9187211440219</v>
      </c>
      <c r="CE63" s="62">
        <f t="shared" si="40"/>
        <v>321.81422611044997</v>
      </c>
      <c r="CF63" s="16">
        <f>IF(ISNA(VLOOKUP(A63,'Données projet'!$A$113:$I$133,3,0)),0,VLOOKUP(A63,'Données projet'!$A$113:$I$133,3,0))</f>
        <v>11</v>
      </c>
      <c r="CG63" s="16">
        <f>IF(ISNA(VLOOKUP(A63,'Données projet'!$A$113:$I$133,4,0)),0,VLOOKUP(A63,'Données projet'!$A$113:$I$133,4,0))</f>
        <v>14</v>
      </c>
      <c r="CH63" s="17">
        <f>IF(ISNA(VLOOKUP(A63,'Données projet'!$A$113:$I$133,5,0)),0%,VLOOKUP(A63,'Données projet'!$A$113:$I$133,5,0)*VLOOKUP('Données projet'!$B$12,Paramètres!$A$1:$I$89,7,0))</f>
        <v>0.25800000000000001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18.039299457053509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18.039299457053509</v>
      </c>
      <c r="CO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294</v>
      </c>
      <c r="CR63" s="13">
        <f>VLOOKUP(A63,'Données projet'!$A$139:$I$159,9,0)</f>
        <v>6.2</v>
      </c>
      <c r="CS63" s="13">
        <f t="array" ref="CS63">INDEX(CR:CR,MIN(IF(ISNUMBER(CR63:CR259),ROW(CR63:CR259),"")))</f>
        <v>6.2</v>
      </c>
      <c r="CT63" s="13">
        <f>IF('Données projet'!$A$140&gt;35,CT62+CS63-DB62,IF(A63&lt;'Données projet'!$A$140,$CQ$205^A63,IF(A63='Données projet'!$A$140,'Données projet'!$B$140,CT62+CS63-DB62)))</f>
        <v>293.99999999999994</v>
      </c>
      <c r="CU63" s="18">
        <f>CT63*VLOOKUP('Données projet'!$B$13,Paramètres!$A$1:$I$89,3,0)*VLOOKUP('Données projet'!$B$13,Paramètres!$A$1:$I$89,5,0)</f>
        <v>238.49279999999996</v>
      </c>
      <c r="CV63" s="14">
        <f t="shared" si="41"/>
        <v>58.115130258576542</v>
      </c>
      <c r="CW63" s="22">
        <f t="shared" si="13"/>
        <v>516.59214520035414</v>
      </c>
      <c r="CX63" s="62">
        <f t="shared" si="14"/>
        <v>809.92547853368751</v>
      </c>
      <c r="CY63" s="62">
        <f ca="1">AVERAGE(OFFSET($CX$3,0,0,'Données projet'!$E$13+1,1))-AVERAGE(OFFSET($H$3,0,0,'Données projet'!$E$13+1,1))</f>
        <v>365.492319515595</v>
      </c>
      <c r="CZ63" s="62">
        <f t="shared" si="42"/>
        <v>351.38386928091433</v>
      </c>
      <c r="DA63" s="16">
        <f>IF(ISNA(VLOOKUP(A63,'Données projet'!$A$139:$I$159,3,0)),0,VLOOKUP(A63,'Données projet'!$A$139:$I$159,3,0))</f>
        <v>11</v>
      </c>
      <c r="DB63" s="16">
        <f>IF(ISNA(VLOOKUP(A63,'Données projet'!$A$139:$I$159,4,0)),0,VLOOKUP(A63,'Données projet'!$A$139:$I$159,4,0))</f>
        <v>14</v>
      </c>
      <c r="DC63" s="17">
        <f>IF(ISNA(VLOOKUP(A63,'Données projet'!$A$139:$I$159,5,0)),0%,VLOOKUP(A63,'Données projet'!$A$139:$I$159,5,0)*VLOOKUP('Données projet'!$B$13,Paramètres!$A$1:$I$89,7,0))</f>
        <v>0.25800000000000001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19.958373867378349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19.958373867378349</v>
      </c>
      <c r="DJ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9.2524999999999977</v>
      </c>
      <c r="DO63" s="13">
        <f>IF('Données projet'!$A$166&gt;35,DO62+DN63-DW62,IF(A63&lt;'Données projet'!$A$166,$DL$205^A63,IF(A63='Données projet'!$A$166,'Données projet'!$B$166,DO62+DN63-DW62)))</f>
        <v>209.44500000000019</v>
      </c>
      <c r="DP63" s="18">
        <f>DO63*VLOOKUP('Données projet'!$B$14,Paramètres!$A$1:$I$89,3,0)*VLOOKUP('Données projet'!$B$14,Paramètres!$A$1:$I$89,5,0)</f>
        <v>176.43646800000019</v>
      </c>
      <c r="DQ63" s="14">
        <f t="shared" si="43"/>
        <v>44.528445655072638</v>
      </c>
      <c r="DR63" s="22">
        <f t="shared" si="16"/>
        <v>384.84722461591849</v>
      </c>
      <c r="DS63" s="62">
        <f t="shared" si="17"/>
        <v>678.18055794925181</v>
      </c>
      <c r="DT63" s="62">
        <f ca="1">AVERAGE(OFFSET($DS$3,0,0,'Données projet'!$E$14+1,1))-AVERAGE(OFFSET($H$3,0,0,'Données projet'!$E$14+1,1))</f>
        <v>544.89250424794909</v>
      </c>
      <c r="DU63" s="62">
        <f t="shared" si="44"/>
        <v>253.98688498110715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8.2190231966123442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8.2190231966123442</v>
      </c>
      <c r="EE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9.2524999999999977</v>
      </c>
      <c r="EJ63" s="13">
        <f>IF('Données projet'!$A$192&gt;35,EJ62+EI63-ER62,IF(A63&lt;'Données projet'!$A$192,$EG$205^A63,IF(A63='Données projet'!$A$192,'Données projet'!$B$192,EJ62+EI63-ER62)))</f>
        <v>209.44500000000019</v>
      </c>
      <c r="EK63" s="18">
        <f>EJ63*VLOOKUP('Données projet'!$B$15,Paramètres!$A$1:$I$89,3,0)*VLOOKUP('Données projet'!$B$15,Paramètres!$A$1:$I$89,5,0)</f>
        <v>189.50583600000016</v>
      </c>
      <c r="EL63" s="14">
        <f t="shared" si="45"/>
        <v>47.430683653447495</v>
      </c>
      <c r="EM63" s="22">
        <f t="shared" si="19"/>
        <v>412.6644383964213</v>
      </c>
      <c r="EN63" s="62">
        <f t="shared" si="20"/>
        <v>705.99777172975462</v>
      </c>
      <c r="EO63" s="62">
        <f ca="1">AVERAGE(OFFSET($EN$3,0,0,'Données projet'!$E$15+1,1))-AVERAGE(OFFSET($H$3,0,0,'Données projet'!$E$15+1,1))</f>
        <v>581.88778927327667</v>
      </c>
      <c r="EP63" s="62">
        <f t="shared" si="46"/>
        <v>269.67340993773422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8.8278397296947393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8.8278397296947393</v>
      </c>
      <c r="EZ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9.2524999999999977</v>
      </c>
      <c r="FE63" s="13">
        <f>IF('Données projet'!$A$218&gt;35,FE62+FD63-FM62,IF(A63&lt;'Données projet'!$A$218,$FB$205^A63,IF(A63='Données projet'!$A$218,'Données projet'!$B$218,FE62+FD63-FM62)))</f>
        <v>209.44500000000019</v>
      </c>
      <c r="FF63" s="18">
        <f>FE63*VLOOKUP('Données projet'!$B$16,Paramètres!$A$1:$I$89,3,0)*VLOOKUP('Données projet'!$B$16,Paramètres!$A$1:$I$89,5,0)</f>
        <v>212.3772300000002</v>
      </c>
      <c r="FG63" s="14">
        <f t="shared" si="47"/>
        <v>52.454729443519689</v>
      </c>
      <c r="FH63" s="22">
        <f t="shared" si="22"/>
        <v>461.24899603079712</v>
      </c>
      <c r="FI63" s="62">
        <f t="shared" si="23"/>
        <v>754.58232936413037</v>
      </c>
      <c r="FJ63" s="62">
        <f ca="1">AVERAGE(OFFSET($FI$3,0,0,'Données projet'!$E$16+1,1))-AVERAGE(OFFSET($H$3,0,0,'Données projet'!$E$16+1,1))</f>
        <v>646.50767193970182</v>
      </c>
      <c r="FK63" s="62">
        <f t="shared" si="48"/>
        <v>297.06786598620607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9.8932686625889321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9.8932686625889321</v>
      </c>
      <c r="FU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9.2524999999999977</v>
      </c>
      <c r="FZ63" s="13">
        <f>IF('Données projet'!$A$244&gt;35,FZ62+FY63-GH62,IF(A63&lt;'Données projet'!$A$244,$FW$205^A63,IF(A63='Données projet'!$A$244,'Données projet'!$B$244,FZ62+FY63-GH62)))</f>
        <v>209.44500000000019</v>
      </c>
      <c r="GA63" s="18">
        <f>FZ63*VLOOKUP('Données projet'!$B$17,Paramètres!$A$1:$I$89,3,0)*VLOOKUP('Données projet'!$B$17,Paramètres!$A$1:$I$89,5,0)</f>
        <v>140.49570600000013</v>
      </c>
      <c r="GB63" s="14">
        <f t="shared" si="49"/>
        <v>36.410541408056268</v>
      </c>
      <c r="GC63" s="22">
        <f t="shared" si="25"/>
        <v>308.11171423569823</v>
      </c>
      <c r="GD63" s="62">
        <f t="shared" si="26"/>
        <v>601.44504756903154</v>
      </c>
      <c r="GE63" s="62">
        <f ca="1">AVERAGE(OFFSET($GD$3,0,0,'Données projet'!$E$17+1,1))-AVERAGE(OFFSET($H$3,0,0,'Données projet'!$E$17+1,1))</f>
        <v>442.85175349826028</v>
      </c>
      <c r="GF63" s="62">
        <f t="shared" si="50"/>
        <v>210.70697808232501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8.0668190633417449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8.0668190633417449</v>
      </c>
      <c r="GP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projet'!$A$269:$I$289,2,0)</f>
        <v>244</v>
      </c>
      <c r="GS63" s="13">
        <f>VLOOKUP(A63,'Données projet'!$A$269:$I$289,9,0)</f>
        <v>7.8</v>
      </c>
      <c r="GT63" s="13">
        <f t="array" ref="GT63">INDEX(GS:GS,MIN(IF(ISNUMBER(GS63:GS259),ROW(GS63:GS259),"")))</f>
        <v>7.8</v>
      </c>
      <c r="GU63" s="13">
        <f>IF('Données projet'!$A$270&gt;35,GU62+GT63-HC62,IF(A63&lt;'Données projet'!$A$270,$GR$205^A63,IF(A63='Données projet'!$A$270,'Données projet'!$B$270,GU62+GT63-HC62)))</f>
        <v>244</v>
      </c>
      <c r="GV63" s="18">
        <f>GU63*VLOOKUP('Données projet'!$B$18,Paramètres!$A$1:$I$89,3,0)*VLOOKUP('Données projet'!$B$18,Paramètres!$A$1:$I$89,5,0)</f>
        <v>232.19040000000001</v>
      </c>
      <c r="GW63" s="14">
        <f t="shared" si="51"/>
        <v>56.756035639094605</v>
      </c>
      <c r="GX63" s="22">
        <f t="shared" si="28"/>
        <v>503.24837540475636</v>
      </c>
      <c r="GY63" s="62">
        <f t="shared" si="29"/>
        <v>796.58170873808967</v>
      </c>
      <c r="GZ63" s="62">
        <f ca="1">AVERAGE(OFFSET($GY$3,0,0,'Données projet'!$E$18+1,1))-AVERAGE(OFFSET($H$3,0,0,'Données projet'!$E$18+1,1))</f>
        <v>420.2510366318939</v>
      </c>
      <c r="HA63" s="62">
        <f t="shared" si="52"/>
        <v>220.59884411514116</v>
      </c>
      <c r="HB63" s="16">
        <f>IF(ISNA(VLOOKUP(A63,'Données projet'!$A$269:$I$289,3,0)),0,VLOOKUP(A63,'Données projet'!$A$269:$I$289,3,0))</f>
        <v>8</v>
      </c>
      <c r="HC63" s="16">
        <f>IF(ISNA(VLOOKUP(A63,'Données projet'!$A$269:$I$289,4,0)),0,VLOOKUP(A63,'Données projet'!$A$269:$I$289,4,0))</f>
        <v>27</v>
      </c>
      <c r="HD63" s="17">
        <f>IF(ISNA(VLOOKUP(A63,'Données projet'!$A$269:$I$289,5,0)),0%,VLOOKUP(A63,'Données projet'!$A$269:$I$289,5,0)*VLOOKUP('Données projet'!$B$18,Paramètres!$A$1:$I$89,7,0))</f>
        <v>0.17200000000000001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17.606457875353254</v>
      </c>
      <c r="HH63" s="23">
        <f>EXP(-LN(2)/25)*HH62+(1-EXP(-LN(2)/25))/(LN(2)/25)*Calculateur!HC63*Calculateur!HE63*VLOOKUP('Données projet'!$B$18,Paramètres!$A$1:$I$89,3,0)*0.475*44/12</f>
        <v>0</v>
      </c>
      <c r="HI63" s="23">
        <f>EXP(-LN(2)/2)*HI62+(1-EXP(-LN(2)/2))/(LN(2)/2)*HC63*HF63*VLOOKUP('Données projet'!$B$18,Paramètres!$A$1:$I$89,3,0)*0.475*44/12</f>
        <v>0</v>
      </c>
      <c r="HJ63" s="24">
        <f t="shared" si="30"/>
        <v>17.606457875353254</v>
      </c>
    </row>
    <row r="64" spans="1:218" s="5" customFormat="1" x14ac:dyDescent="0.2">
      <c r="A64" s="11">
        <f t="shared" si="31"/>
        <v>61</v>
      </c>
      <c r="B64" s="74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15.75</v>
      </c>
      <c r="N64" s="14">
        <f>IF('Données projet'!$A$36&gt;35,N63+M64-V63,IF(A64&lt;'Données projet'!$A$36,$K$205^A64,IF(A64='Données projet'!$A$36,'Données projet'!$B$36,N63+M64-V63)))</f>
        <v>493.50000000000011</v>
      </c>
      <c r="O64" s="14">
        <f>N64*VLOOKUP('Données projet'!$B$9,Paramètres!$A$1:$I$89,3,0)*VLOOKUP('Données projet'!$B$9,Paramètres!$A$1:$I$89,5,0)</f>
        <v>423.42300000000012</v>
      </c>
      <c r="P64" s="14">
        <f t="shared" si="33"/>
        <v>96.509477494398283</v>
      </c>
      <c r="Q64" s="22">
        <f t="shared" si="53"/>
        <v>905.54906496941055</v>
      </c>
      <c r="R64" s="62">
        <f t="shared" si="0"/>
        <v>1198.8823983027439</v>
      </c>
      <c r="S64" s="62">
        <f ca="1">AVERAGE(OFFSET($R$3,0,0,'Données projet'!$E$9+1,1))-AVERAGE(OFFSET($H$3,0,0,'Données projet'!$E$9+1,1))</f>
        <v>623.31285537237943</v>
      </c>
      <c r="T64" s="62">
        <f t="shared" si="34"/>
        <v>462.33909258902241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60.165245117660824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60.165245117660824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5.2</v>
      </c>
      <c r="AI64" s="14">
        <f>IF('Données projet'!$A$62&gt;35,AI63+AH64-AQ63,IF(A64&lt;'Données projet'!$A$62,$AF$205^A64,IF(A64='Données projet'!$A$62,'Données projet'!$B$62,AI63+AH64-AQ63)))</f>
        <v>285.19999999999993</v>
      </c>
      <c r="AJ64" s="14">
        <f>AI64*VLOOKUP('Données projet'!$B$10,Paramètres!$A$1:$I$89,3,0)*VLOOKUP('Données projet'!$B$10,Paramètres!$A$1:$I$89,5,0)</f>
        <v>249.15071999999998</v>
      </c>
      <c r="AK64" s="14">
        <f t="shared" si="35"/>
        <v>60.404044320946248</v>
      </c>
      <c r="AL64" s="22">
        <f t="shared" si="4"/>
        <v>539.14121452564802</v>
      </c>
      <c r="AM64" s="62">
        <f t="shared" si="5"/>
        <v>832.4745478589814</v>
      </c>
      <c r="AN64" s="62">
        <f ca="1">AVERAGE(OFFSET($AM$3,0,0,'Données projet'!$E$10+1,1))-AVERAGE(OFFSET($H$3,0,0,'Données projet'!$E$10+1,1))</f>
        <v>390.70479111593545</v>
      </c>
      <c r="AO64" s="62">
        <f t="shared" si="36"/>
        <v>374.99493809709708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25.972657832379003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25.972657832379003</v>
      </c>
      <c r="AY64" s="7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5.2</v>
      </c>
      <c r="BD64" s="13">
        <f>IF('Données projet'!$A$88&gt;35,BD63+BC64-BL63,IF(A64&lt;'Données projet'!$A$88,$BA$205^A64,IF(A64='Données projet'!$A$88,'Données projet'!$B$88,BD63+BC64-BL63)))</f>
        <v>285.19999999999993</v>
      </c>
      <c r="BE64" s="14">
        <f>BD64*VLOOKUP('Données projet'!$B$11,Paramètres!$A$1:$I$89,3,0)*VLOOKUP('Données projet'!$B$11,Paramètres!$A$1:$I$89,5,0)</f>
        <v>226.90511999999995</v>
      </c>
      <c r="BF64" s="14">
        <f t="shared" si="37"/>
        <v>55.612969408444364</v>
      </c>
      <c r="BG64" s="22">
        <f t="shared" si="7"/>
        <v>492.05233905304044</v>
      </c>
      <c r="BH64" s="62">
        <f t="shared" si="8"/>
        <v>785.3856723863737</v>
      </c>
      <c r="BI64" s="62">
        <f ca="1">AVERAGE(OFFSET($BH$3,0,0,'Données projet'!$E$11+1,1))-AVERAGE(OFFSET($H$3,0,0,'Données projet'!$E$11+1,1))</f>
        <v>359.18294335011535</v>
      </c>
      <c r="BJ64" s="62">
        <f t="shared" si="38"/>
        <v>345.47508134331241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23.653670525916588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23.653670525916588</v>
      </c>
      <c r="BT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5.2</v>
      </c>
      <c r="BY64" s="13">
        <f>IF('Données projet'!$A$114&gt;35,BY63+BX64-CG63,IF(A64&lt;'Données projet'!$A$114,$BV$205^A64,IF(A64='Données projet'!$A$114,'Données projet'!$B$114,BY63+BX64-CG63)))</f>
        <v>285.19999999999993</v>
      </c>
      <c r="BZ64" s="14">
        <f>BY64*VLOOKUP('Données projet'!$B$12,Paramètres!$A$1:$I$89,3,0)*VLOOKUP('Données projet'!$B$12,Paramètres!$A$1:$I$89,5,0)</f>
        <v>209.10863999999992</v>
      </c>
      <c r="CA64" s="14">
        <f t="shared" si="39"/>
        <v>51.740752917407036</v>
      </c>
      <c r="CB64" s="22">
        <f t="shared" si="10"/>
        <v>454.31269266448368</v>
      </c>
      <c r="CC64" s="62">
        <f t="shared" si="11"/>
        <v>747.64602599781699</v>
      </c>
      <c r="CD64" s="62">
        <f ca="1">AVERAGE(OFFSET($CC$3,0,0,'Données projet'!$E$12+1,1))-AVERAGE(OFFSET($H$3,0,0,'Données projet'!$E$12+1,1))</f>
        <v>333.9187211440219</v>
      </c>
      <c r="CE64" s="62">
        <f t="shared" si="40"/>
        <v>321.81422611044997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17.685559797586915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17.685559797586915</v>
      </c>
      <c r="CO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5.2</v>
      </c>
      <c r="CT64" s="13">
        <f>IF('Données projet'!$A$140&gt;35,CT63+CS64-DB63,IF(A64&lt;'Données projet'!$A$140,$CQ$205^A64,IF(A64='Données projet'!$A$140,'Données projet'!$B$140,CT63+CS64-DB63)))</f>
        <v>285.19999999999993</v>
      </c>
      <c r="CU64" s="18">
        <f>CT64*VLOOKUP('Données projet'!$B$13,Paramètres!$A$1:$I$89,3,0)*VLOOKUP('Données projet'!$B$13,Paramètres!$A$1:$I$89,5,0)</f>
        <v>231.35423999999998</v>
      </c>
      <c r="CV64" s="14">
        <f t="shared" si="41"/>
        <v>56.575399756999062</v>
      </c>
      <c r="CW64" s="22">
        <f t="shared" si="13"/>
        <v>501.4774559101067</v>
      </c>
      <c r="CX64" s="62">
        <f t="shared" si="14"/>
        <v>794.81078924344001</v>
      </c>
      <c r="CY64" s="62">
        <f ca="1">AVERAGE(OFFSET($CX$3,0,0,'Données projet'!$E$13+1,1))-AVERAGE(OFFSET($H$3,0,0,'Données projet'!$E$13+1,1))</f>
        <v>365.492319515595</v>
      </c>
      <c r="CZ64" s="62">
        <f t="shared" si="42"/>
        <v>351.38386928091433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19.567002329245096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19.567002329245096</v>
      </c>
      <c r="DJ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9.2524999999999977</v>
      </c>
      <c r="DO64" s="13">
        <f>IF('Données projet'!$A$166&gt;35,DO63+DN64-DW63,IF(A64&lt;'Données projet'!$A$166,$DL$205^A64,IF(A64='Données projet'!$A$166,'Données projet'!$B$166,DO63+DN64-DW63)))</f>
        <v>218.69750000000019</v>
      </c>
      <c r="DP64" s="18">
        <f>DO64*VLOOKUP('Données projet'!$B$14,Paramètres!$A$1:$I$89,3,0)*VLOOKUP('Données projet'!$B$14,Paramètres!$A$1:$I$89,5,0)</f>
        <v>184.23077400000017</v>
      </c>
      <c r="DQ64" s="14">
        <f t="shared" si="43"/>
        <v>46.262178948975325</v>
      </c>
      <c r="DR64" s="22">
        <f t="shared" si="16"/>
        <v>401.441893052799</v>
      </c>
      <c r="DS64" s="62">
        <f t="shared" si="17"/>
        <v>694.77522638613232</v>
      </c>
      <c r="DT64" s="62">
        <f ca="1">AVERAGE(OFFSET($DS$3,0,0,'Données projet'!$E$14+1,1))-AVERAGE(OFFSET($H$3,0,0,'Données projet'!$E$14+1,1))</f>
        <v>544.89250424794909</v>
      </c>
      <c r="DU64" s="62">
        <f t="shared" si="44"/>
        <v>253.98688498110715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8.0578531648359224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8.0578531648359224</v>
      </c>
      <c r="EE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9.2524999999999977</v>
      </c>
      <c r="EJ64" s="13">
        <f>IF('Données projet'!$A$192&gt;35,EJ63+EI64-ER63,IF(A64&lt;'Données projet'!$A$192,$EG$205^A64,IF(A64='Données projet'!$A$192,'Données projet'!$B$192,EJ63+EI64-ER63)))</f>
        <v>218.69750000000019</v>
      </c>
      <c r="EK64" s="18">
        <f>EJ64*VLOOKUP('Données projet'!$B$15,Paramètres!$A$1:$I$89,3,0)*VLOOKUP('Données projet'!$B$15,Paramètres!$A$1:$I$89,5,0)</f>
        <v>197.87749800000014</v>
      </c>
      <c r="EL64" s="14">
        <f t="shared" si="45"/>
        <v>49.277416774103372</v>
      </c>
      <c r="EM64" s="22">
        <f t="shared" si="19"/>
        <v>430.46147656489694</v>
      </c>
      <c r="EN64" s="62">
        <f t="shared" si="20"/>
        <v>723.79480989823026</v>
      </c>
      <c r="EO64" s="62">
        <f ca="1">AVERAGE(OFFSET($EN$3,0,0,'Données projet'!$E$15+1,1))-AVERAGE(OFFSET($H$3,0,0,'Données projet'!$E$15+1,1))</f>
        <v>581.88778927327667</v>
      </c>
      <c r="EP64" s="62">
        <f t="shared" si="46"/>
        <v>269.67340993773422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8.6547311770459903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8.6547311770459903</v>
      </c>
      <c r="EZ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9.2524999999999977</v>
      </c>
      <c r="FE64" s="13">
        <f>IF('Données projet'!$A$218&gt;35,FE63+FD64-FM63,IF(A64&lt;'Données projet'!$A$218,$FB$205^A64,IF(A64='Données projet'!$A$218,'Données projet'!$B$218,FE63+FD64-FM63)))</f>
        <v>218.69750000000019</v>
      </c>
      <c r="FF64" s="18">
        <f>FE64*VLOOKUP('Données projet'!$B$16,Paramètres!$A$1:$I$89,3,0)*VLOOKUP('Données projet'!$B$16,Paramètres!$A$1:$I$89,5,0)</f>
        <v>221.7592650000002</v>
      </c>
      <c r="FG64" s="14">
        <f t="shared" si="47"/>
        <v>54.497075847509379</v>
      </c>
      <c r="FH64" s="22">
        <f t="shared" si="22"/>
        <v>481.14646030941248</v>
      </c>
      <c r="FI64" s="62">
        <f t="shared" si="23"/>
        <v>774.47979364274579</v>
      </c>
      <c r="FJ64" s="62">
        <f ca="1">AVERAGE(OFFSET($FI$3,0,0,'Données projet'!$E$16+1,1))-AVERAGE(OFFSET($H$3,0,0,'Données projet'!$E$16+1,1))</f>
        <v>646.50767193970182</v>
      </c>
      <c r="FK64" s="62">
        <f t="shared" si="48"/>
        <v>297.06786598620607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9.6992676984136104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9.6992676984136104</v>
      </c>
      <c r="FU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9.2524999999999977</v>
      </c>
      <c r="FZ64" s="13">
        <f>IF('Données projet'!$A$244&gt;35,FZ63+FY64-GH63,IF(A64&lt;'Données projet'!$A$244,$FW$205^A64,IF(A64='Données projet'!$A$244,'Données projet'!$B$244,FZ63+FY64-GH63)))</f>
        <v>218.69750000000019</v>
      </c>
      <c r="GA64" s="18">
        <f>FZ64*VLOOKUP('Données projet'!$B$17,Paramètres!$A$1:$I$89,3,0)*VLOOKUP('Données projet'!$B$17,Paramètres!$A$1:$I$89,5,0)</f>
        <v>146.70228300000014</v>
      </c>
      <c r="GB64" s="14">
        <f t="shared" si="49"/>
        <v>37.828200770728785</v>
      </c>
      <c r="GC64" s="22">
        <f t="shared" si="25"/>
        <v>321.39059256735288</v>
      </c>
      <c r="GD64" s="62">
        <f t="shared" si="26"/>
        <v>614.72392590068625</v>
      </c>
      <c r="GE64" s="62">
        <f ca="1">AVERAGE(OFFSET($GD$3,0,0,'Données projet'!$E$17+1,1))-AVERAGE(OFFSET($H$3,0,0,'Données projet'!$E$17+1,1))</f>
        <v>442.85175349826028</v>
      </c>
      <c r="GF64" s="62">
        <f t="shared" si="50"/>
        <v>210.70697808232501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7.908633661783405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7.908633661783405</v>
      </c>
      <c r="GP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7.4</v>
      </c>
      <c r="GU64" s="13">
        <f>IF('Données projet'!$A$270&gt;35,GU63+GT64-HC63,IF(A64&lt;'Données projet'!$A$270,$GR$205^A64,IF(A64='Données projet'!$A$270,'Données projet'!$B$270,GU63+GT64-HC63)))</f>
        <v>224.4</v>
      </c>
      <c r="GV64" s="18">
        <f>GU64*VLOOKUP('Données projet'!$B$18,Paramètres!$A$1:$I$89,3,0)*VLOOKUP('Données projet'!$B$18,Paramètres!$A$1:$I$89,5,0)</f>
        <v>213.53904000000003</v>
      </c>
      <c r="GW64" s="14">
        <f t="shared" si="51"/>
        <v>52.708201158564101</v>
      </c>
      <c r="GX64" s="22">
        <f t="shared" si="28"/>
        <v>463.71394501783249</v>
      </c>
      <c r="GY64" s="62">
        <f t="shared" si="29"/>
        <v>757.0472783511658</v>
      </c>
      <c r="GZ64" s="62">
        <f ca="1">AVERAGE(OFFSET($GY$3,0,0,'Données projet'!$E$18+1,1))-AVERAGE(OFFSET($H$3,0,0,'Données projet'!$E$18+1,1))</f>
        <v>420.2510366318939</v>
      </c>
      <c r="HA64" s="62">
        <f t="shared" si="52"/>
        <v>220.59884411514116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17.261205975296505</v>
      </c>
      <c r="HH64" s="23">
        <f>EXP(-LN(2)/25)*HH63+(1-EXP(-LN(2)/25))/(LN(2)/25)*Calculateur!HC64*Calculateur!HE64*VLOOKUP('Données projet'!$B$18,Paramètres!$A$1:$I$89,3,0)*0.475*44/12</f>
        <v>0</v>
      </c>
      <c r="HI64" s="23">
        <f>EXP(-LN(2)/2)*HI63+(1-EXP(-LN(2)/2))/(LN(2)/2)*HC64*HF64*VLOOKUP('Données projet'!$B$18,Paramètres!$A$1:$I$89,3,0)*0.475*44/12</f>
        <v>0</v>
      </c>
      <c r="HJ64" s="24">
        <f t="shared" si="30"/>
        <v>17.261205975296505</v>
      </c>
    </row>
    <row r="65" spans="1:218" s="5" customFormat="1" x14ac:dyDescent="0.2">
      <c r="A65" s="11">
        <f t="shared" si="31"/>
        <v>62</v>
      </c>
      <c r="B65" s="74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15.75</v>
      </c>
      <c r="N65" s="14">
        <f>IF('Données projet'!$A$36&gt;35,N64+M65-V64,IF(A65&lt;'Données projet'!$A$36,$K$205^A65,IF(A65='Données projet'!$A$36,'Données projet'!$B$36,N64+M65-V64)))</f>
        <v>509.25000000000011</v>
      </c>
      <c r="O65" s="14">
        <f>N65*VLOOKUP('Données projet'!$B$9,Paramètres!$A$1:$I$89,3,0)*VLOOKUP('Données projet'!$B$9,Paramètres!$A$1:$I$89,5,0)</f>
        <v>436.93650000000014</v>
      </c>
      <c r="P65" s="14">
        <f t="shared" si="33"/>
        <v>99.226048637397696</v>
      </c>
      <c r="Q65" s="22">
        <f t="shared" si="53"/>
        <v>933.81643887680104</v>
      </c>
      <c r="R65" s="62">
        <f t="shared" si="0"/>
        <v>1227.1497722101344</v>
      </c>
      <c r="S65" s="62">
        <f ca="1">AVERAGE(OFFSET($R$3,0,0,'Données projet'!$E$9+1,1))-AVERAGE(OFFSET($H$3,0,0,'Données projet'!$E$9+1,1))</f>
        <v>623.31285537237943</v>
      </c>
      <c r="T65" s="62">
        <f t="shared" si="34"/>
        <v>462.33909258902241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58.98544135807947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58.98544135807947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5.2</v>
      </c>
      <c r="AI65" s="14">
        <f>IF('Données projet'!$A$62&gt;35,AI64+AH65-AQ64,IF(A65&lt;'Données projet'!$A$62,$AF$205^A65,IF(A65='Données projet'!$A$62,'Données projet'!$B$62,AI64+AH65-AQ64)))</f>
        <v>290.39999999999992</v>
      </c>
      <c r="AJ65" s="14">
        <f>AI65*VLOOKUP('Données projet'!$B$10,Paramètres!$A$1:$I$89,3,0)*VLOOKUP('Données projet'!$B$10,Paramètres!$A$1:$I$89,5,0)</f>
        <v>253.69343999999995</v>
      </c>
      <c r="AK65" s="14">
        <f t="shared" si="35"/>
        <v>61.376159112289358</v>
      </c>
      <c r="AL65" s="22">
        <f t="shared" si="4"/>
        <v>548.74621845390391</v>
      </c>
      <c r="AM65" s="62">
        <f t="shared" si="5"/>
        <v>842.07955178723728</v>
      </c>
      <c r="AN65" s="62">
        <f ca="1">AVERAGE(OFFSET($AM$3,0,0,'Données projet'!$E$10+1,1))-AVERAGE(OFFSET($H$3,0,0,'Données projet'!$E$10+1,1))</f>
        <v>390.70479111593545</v>
      </c>
      <c r="AO65" s="62">
        <f t="shared" si="36"/>
        <v>374.99493809709708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25.463349854043084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25.463349854043084</v>
      </c>
      <c r="AY65" s="7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5.2</v>
      </c>
      <c r="BD65" s="13">
        <f>IF('Données projet'!$A$88&gt;35,BD64+BC65-BL64,IF(A65&lt;'Données projet'!$A$88,$BA$205^A65,IF(A65='Données projet'!$A$88,'Données projet'!$B$88,BD64+BC65-BL64)))</f>
        <v>290.39999999999992</v>
      </c>
      <c r="BE65" s="14">
        <f>BD65*VLOOKUP('Données projet'!$B$11,Paramètres!$A$1:$I$89,3,0)*VLOOKUP('Données projet'!$B$11,Paramètres!$A$1:$I$89,5,0)</f>
        <v>231.04223999999994</v>
      </c>
      <c r="BF65" s="14">
        <f t="shared" si="37"/>
        <v>56.507978852931409</v>
      </c>
      <c r="BG65" s="22">
        <f t="shared" si="7"/>
        <v>500.81663116885539</v>
      </c>
      <c r="BH65" s="62">
        <f t="shared" si="8"/>
        <v>794.14996450218871</v>
      </c>
      <c r="BI65" s="62">
        <f ca="1">AVERAGE(OFFSET($BH$3,0,0,'Données projet'!$E$11+1,1))-AVERAGE(OFFSET($H$3,0,0,'Données projet'!$E$11+1,1))</f>
        <v>359.18294335011535</v>
      </c>
      <c r="BJ65" s="62">
        <f t="shared" si="38"/>
        <v>345.47508134331241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23.189836474217806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23.189836474217806</v>
      </c>
      <c r="BT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5.2</v>
      </c>
      <c r="BY65" s="13">
        <f>IF('Données projet'!$A$114&gt;35,BY64+BX65-CG64,IF(A65&lt;'Données projet'!$A$114,$BV$205^A65,IF(A65='Données projet'!$A$114,'Données projet'!$B$114,BY64+BX65-CG64)))</f>
        <v>290.39999999999992</v>
      </c>
      <c r="BZ65" s="14">
        <f>BY65*VLOOKUP('Données projet'!$B$12,Paramètres!$A$1:$I$89,3,0)*VLOOKUP('Données projet'!$B$12,Paramètres!$A$1:$I$89,5,0)</f>
        <v>212.92127999999991</v>
      </c>
      <c r="CA65" s="14">
        <f t="shared" si="39"/>
        <v>52.57344469809297</v>
      </c>
      <c r="CB65" s="22">
        <f t="shared" si="10"/>
        <v>462.4033121825118</v>
      </c>
      <c r="CC65" s="62">
        <f t="shared" si="11"/>
        <v>755.73664551584511</v>
      </c>
      <c r="CD65" s="62">
        <f ca="1">AVERAGE(OFFSET($CC$3,0,0,'Données projet'!$E$12+1,1))-AVERAGE(OFFSET($H$3,0,0,'Données projet'!$E$12+1,1))</f>
        <v>333.9187211440219</v>
      </c>
      <c r="CE65" s="62">
        <f t="shared" si="40"/>
        <v>321.81422611044997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17.338756757082571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17.338756757082571</v>
      </c>
      <c r="CO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5.2</v>
      </c>
      <c r="CT65" s="13">
        <f>IF('Données projet'!$A$140&gt;35,CT64+CS65-DB64,IF(A65&lt;'Données projet'!$A$140,$CQ$205^A65,IF(A65='Données projet'!$A$140,'Données projet'!$B$140,CT64+CS65-DB64)))</f>
        <v>290.39999999999992</v>
      </c>
      <c r="CU65" s="18">
        <f>CT65*VLOOKUP('Données projet'!$B$13,Paramètres!$A$1:$I$89,3,0)*VLOOKUP('Données projet'!$B$13,Paramètres!$A$1:$I$89,5,0)</f>
        <v>235.57247999999993</v>
      </c>
      <c r="CV65" s="14">
        <f t="shared" si="41"/>
        <v>57.485898111011707</v>
      </c>
      <c r="CW65" s="22">
        <f t="shared" si="13"/>
        <v>510.41000854334516</v>
      </c>
      <c r="CX65" s="62">
        <f t="shared" si="14"/>
        <v>803.74334187667841</v>
      </c>
      <c r="CY65" s="62">
        <f ca="1">AVERAGE(OFFSET($CX$3,0,0,'Données projet'!$E$13+1,1))-AVERAGE(OFFSET($H$3,0,0,'Données projet'!$E$13+1,1))</f>
        <v>365.492319515595</v>
      </c>
      <c r="CZ65" s="62">
        <f t="shared" si="42"/>
        <v>351.38386928091433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19.183305348261566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19.183305348261566</v>
      </c>
      <c r="DJ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9.2524999999999977</v>
      </c>
      <c r="DO65" s="13">
        <f>IF('Données projet'!$A$166&gt;35,DO64+DN65-DW64,IF(A65&lt;'Données projet'!$A$166,$DL$205^A65,IF(A65='Données projet'!$A$166,'Données projet'!$B$166,DO64+DN65-DW64)))</f>
        <v>227.95000000000019</v>
      </c>
      <c r="DP65" s="18">
        <f>DO65*VLOOKUP('Données projet'!$B$14,Paramètres!$A$1:$I$89,3,0)*VLOOKUP('Données projet'!$B$14,Paramètres!$A$1:$I$89,5,0)</f>
        <v>192.02508000000017</v>
      </c>
      <c r="DQ65" s="14">
        <f t="shared" si="43"/>
        <v>47.987392657318182</v>
      </c>
      <c r="DR65" s="22">
        <f t="shared" si="16"/>
        <v>418.02172321149618</v>
      </c>
      <c r="DS65" s="62">
        <f t="shared" si="17"/>
        <v>711.35505654482949</v>
      </c>
      <c r="DT65" s="62">
        <f ca="1">AVERAGE(OFFSET($DS$3,0,0,'Données projet'!$E$14+1,1))-AVERAGE(OFFSET($H$3,0,0,'Données projet'!$E$14+1,1))</f>
        <v>544.89250424794909</v>
      </c>
      <c r="DU65" s="62">
        <f t="shared" si="44"/>
        <v>253.98688498110715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7.8998435790786239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7.8998435790786239</v>
      </c>
      <c r="EE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9.2524999999999977</v>
      </c>
      <c r="EJ65" s="13">
        <f>IF('Données projet'!$A$192&gt;35,EJ64+EI65-ER64,IF(A65&lt;'Données projet'!$A$192,$EG$205^A65,IF(A65='Données projet'!$A$192,'Données projet'!$B$192,EJ64+EI65-ER64)))</f>
        <v>227.95000000000019</v>
      </c>
      <c r="EK65" s="18">
        <f>EJ65*VLOOKUP('Données projet'!$B$15,Paramètres!$A$1:$I$89,3,0)*VLOOKUP('Données projet'!$B$15,Paramètres!$A$1:$I$89,5,0)</f>
        <v>206.24916000000016</v>
      </c>
      <c r="EL65" s="14">
        <f t="shared" si="45"/>
        <v>51.115075026737237</v>
      </c>
      <c r="EM65" s="22">
        <f t="shared" si="19"/>
        <v>448.24270933823431</v>
      </c>
      <c r="EN65" s="62">
        <f t="shared" si="20"/>
        <v>741.57604267156762</v>
      </c>
      <c r="EO65" s="62">
        <f ca="1">AVERAGE(OFFSET($EN$3,0,0,'Données projet'!$E$15+1,1))-AVERAGE(OFFSET($H$3,0,0,'Données projet'!$E$15+1,1))</f>
        <v>581.88778927327667</v>
      </c>
      <c r="EP65" s="62">
        <f t="shared" si="46"/>
        <v>269.67340993773422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8.4850171775288921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8.4850171775288921</v>
      </c>
      <c r="EZ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9.2524999999999977</v>
      </c>
      <c r="FE65" s="13">
        <f>IF('Données projet'!$A$218&gt;35,FE64+FD65-FM64,IF(A65&lt;'Données projet'!$A$218,$FB$205^A65,IF(A65='Données projet'!$A$218,'Données projet'!$B$218,FE64+FD65-FM64)))</f>
        <v>227.95000000000019</v>
      </c>
      <c r="FF65" s="18">
        <f>FE65*VLOOKUP('Données projet'!$B$16,Paramètres!$A$1:$I$89,3,0)*VLOOKUP('Données projet'!$B$16,Paramètres!$A$1:$I$89,5,0)</f>
        <v>231.1413000000002</v>
      </c>
      <c r="FG65" s="14">
        <f t="shared" si="47"/>
        <v>56.529386137528874</v>
      </c>
      <c r="FH65" s="22">
        <f t="shared" si="22"/>
        <v>501.02644502286307</v>
      </c>
      <c r="FI65" s="62">
        <f t="shared" si="23"/>
        <v>794.35977835619633</v>
      </c>
      <c r="FJ65" s="62">
        <f ca="1">AVERAGE(OFFSET($FI$3,0,0,'Données projet'!$E$16+1,1))-AVERAGE(OFFSET($H$3,0,0,'Données projet'!$E$16+1,1))</f>
        <v>646.50767193970182</v>
      </c>
      <c r="FK65" s="62">
        <f t="shared" si="48"/>
        <v>297.06786598620607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9.5090709748168614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9.5090709748168614</v>
      </c>
      <c r="FU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9.2524999999999977</v>
      </c>
      <c r="FZ65" s="13">
        <f>IF('Données projet'!$A$244&gt;35,FZ64+FY65-GH64,IF(A65&lt;'Données projet'!$A$244,$FW$205^A65,IF(A65='Données projet'!$A$244,'Données projet'!$B$244,FZ64+FY65-GH64)))</f>
        <v>227.95000000000019</v>
      </c>
      <c r="GA65" s="18">
        <f>FZ65*VLOOKUP('Données projet'!$B$17,Paramètres!$A$1:$I$89,3,0)*VLOOKUP('Données projet'!$B$17,Paramètres!$A$1:$I$89,5,0)</f>
        <v>152.90886000000012</v>
      </c>
      <c r="GB65" s="14">
        <f t="shared" si="49"/>
        <v>39.238893738813772</v>
      </c>
      <c r="GC65" s="22">
        <f t="shared" si="25"/>
        <v>334.65733776176751</v>
      </c>
      <c r="GD65" s="62">
        <f t="shared" si="26"/>
        <v>627.99067109510088</v>
      </c>
      <c r="GE65" s="62">
        <f ca="1">AVERAGE(OFFSET($GD$3,0,0,'Données projet'!$E$17+1,1))-AVERAGE(OFFSET($H$3,0,0,'Données projet'!$E$17+1,1))</f>
        <v>442.85175349826028</v>
      </c>
      <c r="GF65" s="62">
        <f t="shared" si="50"/>
        <v>210.70697808232501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7.753550179466056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7.753550179466056</v>
      </c>
      <c r="GP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7.4</v>
      </c>
      <c r="GU65" s="13">
        <f>IF('Données projet'!$A$270&gt;35,GU64+GT65-HC64,IF(A65&lt;'Données projet'!$A$270,$GR$205^A65,IF(A65='Données projet'!$A$270,'Données projet'!$B$270,GU64+GT65-HC64)))</f>
        <v>231.8</v>
      </c>
      <c r="GV65" s="18">
        <f>GU65*VLOOKUP('Données projet'!$B$18,Paramètres!$A$1:$I$89,3,0)*VLOOKUP('Données projet'!$B$18,Paramètres!$A$1:$I$89,5,0)</f>
        <v>220.58088000000001</v>
      </c>
      <c r="GW65" s="14">
        <f t="shared" si="51"/>
        <v>54.241117736670112</v>
      </c>
      <c r="GX65" s="22">
        <f t="shared" si="28"/>
        <v>478.64831272470047</v>
      </c>
      <c r="GY65" s="62">
        <f t="shared" si="29"/>
        <v>771.98164605803379</v>
      </c>
      <c r="GZ65" s="62">
        <f ca="1">AVERAGE(OFFSET($GY$3,0,0,'Données projet'!$E$18+1,1))-AVERAGE(OFFSET($H$3,0,0,'Données projet'!$E$18+1,1))</f>
        <v>420.2510366318939</v>
      </c>
      <c r="HA65" s="62">
        <f t="shared" si="52"/>
        <v>220.59884411514116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16.922724254417002</v>
      </c>
      <c r="HH65" s="23">
        <f>EXP(-LN(2)/25)*HH64+(1-EXP(-LN(2)/25))/(LN(2)/25)*Calculateur!HC65*Calculateur!HE65*VLOOKUP('Données projet'!$B$18,Paramètres!$A$1:$I$89,3,0)*0.475*44/12</f>
        <v>0</v>
      </c>
      <c r="HI65" s="23">
        <f>EXP(-LN(2)/2)*HI64+(1-EXP(-LN(2)/2))/(LN(2)/2)*HC65*HF65*VLOOKUP('Données projet'!$B$18,Paramètres!$A$1:$I$89,3,0)*0.475*44/12</f>
        <v>0</v>
      </c>
      <c r="HJ65" s="24">
        <f t="shared" si="30"/>
        <v>16.922724254417002</v>
      </c>
    </row>
    <row r="66" spans="1:218" s="5" customFormat="1" x14ac:dyDescent="0.2">
      <c r="A66" s="11">
        <f t="shared" si="31"/>
        <v>63</v>
      </c>
      <c r="B66" s="74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525</v>
      </c>
      <c r="L66" s="13">
        <f>VLOOKUP(A66,'Données projet'!$A$35:$I$55,9,0)</f>
        <v>15.75</v>
      </c>
      <c r="M66" s="13">
        <f t="array" ref="M66">INDEX(L:L,MIN(IF(ISNUMBER(L66:L262),ROW(L66:L262),"")))</f>
        <v>15.75</v>
      </c>
      <c r="N66" s="14">
        <f>IF('Données projet'!$A$36&gt;35,N65+M66-V65,IF(A66&lt;'Données projet'!$A$36,$K$205^A66,IF(A66='Données projet'!$A$36,'Données projet'!$B$36,N65+M66-V65)))</f>
        <v>525.00000000000011</v>
      </c>
      <c r="O66" s="14">
        <f>N66*VLOOKUP('Données projet'!$B$9,Paramètres!$A$1:$I$89,3,0)*VLOOKUP('Données projet'!$B$9,Paramètres!$A$1:$I$89,5,0)</f>
        <v>450.45000000000022</v>
      </c>
      <c r="P66" s="14">
        <f t="shared" si="33"/>
        <v>101.93285606199899</v>
      </c>
      <c r="Q66" s="22">
        <f t="shared" si="53"/>
        <v>962.06680764131522</v>
      </c>
      <c r="R66" s="62">
        <f t="shared" si="0"/>
        <v>1255.4001409746486</v>
      </c>
      <c r="S66" s="62">
        <f ca="1">AVERAGE(OFFSET($R$3,0,0,'Données projet'!$E$9+1,1))-AVERAGE(OFFSET($H$3,0,0,'Données projet'!$E$9+1,1))</f>
        <v>623.31285537237943</v>
      </c>
      <c r="T66" s="62">
        <f t="shared" si="34"/>
        <v>462.33909258902241</v>
      </c>
      <c r="U66" s="16">
        <f>IF(ISNA(VLOOKUP(A66,'Données projet'!$A$35:$I$55,3,0)),0,VLOOKUP(A66,'Données projet'!$A$35:$I$55,3,0))</f>
        <v>9</v>
      </c>
      <c r="V66" s="16">
        <f>IF(ISNA(VLOOKUP(A66,'Données projet'!$A$35:$I$55,4,0)),0,VLOOKUP(A66,'Données projet'!$A$35:$I$55,4,0))</f>
        <v>124</v>
      </c>
      <c r="W66" s="17">
        <f>IF(ISNA(VLOOKUP(A66,'Données projet'!$A$35:$I$55,5,0)),0%,VLOOKUP(A66,'Données projet'!$A$35:$I$55,5,0)*VLOOKUP('Données projet'!$B$9,Paramètres!$A$1:$I$89,7,0))</f>
        <v>0.371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101.46327174436331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101.46327174436331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5.2</v>
      </c>
      <c r="AI66" s="14">
        <f>IF('Données projet'!$A$62&gt;35,AI65+AH66-AQ65,IF(A66&lt;'Données projet'!$A$62,$AF$205^A66,IF(A66='Données projet'!$A$62,'Données projet'!$B$62,AI65+AH66-AQ65)))</f>
        <v>295.59999999999991</v>
      </c>
      <c r="AJ66" s="14">
        <f>AI66*VLOOKUP('Données projet'!$B$10,Paramètres!$A$1:$I$89,3,0)*VLOOKUP('Données projet'!$B$10,Paramètres!$A$1:$I$89,5,0)</f>
        <v>258.23615999999998</v>
      </c>
      <c r="AK66" s="14">
        <f t="shared" si="35"/>
        <v>62.346249722937728</v>
      </c>
      <c r="AL66" s="22">
        <f t="shared" si="4"/>
        <v>558.34769693411647</v>
      </c>
      <c r="AM66" s="62">
        <f t="shared" si="5"/>
        <v>851.68103026744984</v>
      </c>
      <c r="AN66" s="62">
        <f ca="1">AVERAGE(OFFSET($AM$3,0,0,'Données projet'!$E$10+1,1))-AVERAGE(OFFSET($H$3,0,0,'Données projet'!$E$10+1,1))</f>
        <v>390.70479111593545</v>
      </c>
      <c r="AO66" s="62">
        <f t="shared" si="36"/>
        <v>374.99493809709708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24.964029094515141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24.964029094515141</v>
      </c>
      <c r="AY66" s="7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5.2</v>
      </c>
      <c r="BD66" s="13">
        <f>IF('Données projet'!$A$88&gt;35,BD65+BC66-BL65,IF(A66&lt;'Données projet'!$A$88,$BA$205^A66,IF(A66='Données projet'!$A$88,'Données projet'!$B$88,BD65+BC66-BL65)))</f>
        <v>295.59999999999991</v>
      </c>
      <c r="BE66" s="14">
        <f>BD66*VLOOKUP('Données projet'!$B$11,Paramètres!$A$1:$I$89,3,0)*VLOOKUP('Données projet'!$B$11,Paramètres!$A$1:$I$89,5,0)</f>
        <v>235.17935999999992</v>
      </c>
      <c r="BF66" s="14">
        <f t="shared" si="37"/>
        <v>57.401124668909425</v>
      </c>
      <c r="BG66" s="22">
        <f t="shared" si="7"/>
        <v>509.57767746501708</v>
      </c>
      <c r="BH66" s="62">
        <f t="shared" si="8"/>
        <v>802.91101079835039</v>
      </c>
      <c r="BI66" s="62">
        <f ca="1">AVERAGE(OFFSET($BH$3,0,0,'Données projet'!$E$11+1,1))-AVERAGE(OFFSET($H$3,0,0,'Données projet'!$E$11+1,1))</f>
        <v>359.18294335011535</v>
      </c>
      <c r="BJ66" s="62">
        <f t="shared" si="38"/>
        <v>345.47508134331241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22.735097925362002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22.735097925362002</v>
      </c>
      <c r="BT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5.2</v>
      </c>
      <c r="BY66" s="13">
        <f>IF('Données projet'!$A$114&gt;35,BY65+BX66-CG65,IF(A66&lt;'Données projet'!$A$114,$BV$205^A66,IF(A66='Données projet'!$A$114,'Données projet'!$B$114,BY65+BX66-CG65)))</f>
        <v>295.59999999999991</v>
      </c>
      <c r="BZ66" s="14">
        <f>BY66*VLOOKUP('Données projet'!$B$12,Paramètres!$A$1:$I$89,3,0)*VLOOKUP('Données projet'!$B$12,Paramètres!$A$1:$I$89,5,0)</f>
        <v>216.73391999999996</v>
      </c>
      <c r="CA66" s="14">
        <f t="shared" si="39"/>
        <v>53.404402610883679</v>
      </c>
      <c r="CB66" s="22">
        <f t="shared" si="10"/>
        <v>470.49091188062226</v>
      </c>
      <c r="CC66" s="62">
        <f t="shared" si="11"/>
        <v>763.82424521395558</v>
      </c>
      <c r="CD66" s="62">
        <f ca="1">AVERAGE(OFFSET($CC$3,0,0,'Données projet'!$E$12+1,1))-AVERAGE(OFFSET($H$3,0,0,'Données projet'!$E$12+1,1))</f>
        <v>333.9187211440219</v>
      </c>
      <c r="CE66" s="62">
        <f t="shared" si="40"/>
        <v>321.81422611044997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16.998754312673551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16.998754312673551</v>
      </c>
      <c r="CO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5.2</v>
      </c>
      <c r="CT66" s="13">
        <f>IF('Données projet'!$A$140&gt;35,CT65+CS66-DB65,IF(A66&lt;'Données projet'!$A$140,$CQ$205^A66,IF(A66='Données projet'!$A$140,'Données projet'!$B$140,CT65+CS66-DB65)))</f>
        <v>295.59999999999991</v>
      </c>
      <c r="CU66" s="18">
        <f>CT66*VLOOKUP('Données projet'!$B$13,Paramètres!$A$1:$I$89,3,0)*VLOOKUP('Données projet'!$B$13,Paramètres!$A$1:$I$89,5,0)</f>
        <v>239.79071999999994</v>
      </c>
      <c r="CV66" s="14">
        <f t="shared" si="41"/>
        <v>58.394500584818381</v>
      </c>
      <c r="CW66" s="22">
        <f t="shared" si="13"/>
        <v>519.33925918522516</v>
      </c>
      <c r="CX66" s="62">
        <f t="shared" si="14"/>
        <v>812.67259251855853</v>
      </c>
      <c r="CY66" s="62">
        <f ca="1">AVERAGE(OFFSET($CX$3,0,0,'Données projet'!$E$13+1,1))-AVERAGE(OFFSET($H$3,0,0,'Données projet'!$E$13+1,1))</f>
        <v>365.492319515595</v>
      </c>
      <c r="CZ66" s="62">
        <f t="shared" si="42"/>
        <v>351.38386928091433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18.807132431043076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18.807132431043076</v>
      </c>
      <c r="DJ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9.2524999999999977</v>
      </c>
      <c r="DO66" s="13">
        <f>IF('Données projet'!$A$166&gt;35,DO65+DN66-DW65,IF(A66&lt;'Données projet'!$A$166,$DL$205^A66,IF(A66='Données projet'!$A$166,'Données projet'!$B$166,DO65+DN66-DW65)))</f>
        <v>237.20250000000019</v>
      </c>
      <c r="DP66" s="18">
        <f>DO66*VLOOKUP('Données projet'!$B$14,Paramètres!$A$1:$I$89,3,0)*VLOOKUP('Données projet'!$B$14,Paramètres!$A$1:$I$89,5,0)</f>
        <v>199.81938600000018</v>
      </c>
      <c r="DQ66" s="14">
        <f t="shared" si="43"/>
        <v>49.704472147886527</v>
      </c>
      <c r="DR66" s="22">
        <f t="shared" si="16"/>
        <v>434.587386274236</v>
      </c>
      <c r="DS66" s="62">
        <f t="shared" si="17"/>
        <v>727.92071960756925</v>
      </c>
      <c r="DT66" s="62">
        <f ca="1">AVERAGE(OFFSET($DS$3,0,0,'Données projet'!$E$14+1,1))-AVERAGE(OFFSET($H$3,0,0,'Données projet'!$E$14+1,1))</f>
        <v>544.89250424794909</v>
      </c>
      <c r="DU66" s="62">
        <f t="shared" si="44"/>
        <v>253.98688498110715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7.7449324649216953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7.7449324649216953</v>
      </c>
      <c r="EE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9.2524999999999977</v>
      </c>
      <c r="EJ66" s="13">
        <f>IF('Données projet'!$A$192&gt;35,EJ65+EI66-ER65,IF(A66&lt;'Données projet'!$A$192,$EG$205^A66,IF(A66='Données projet'!$A$192,'Données projet'!$B$192,EJ65+EI66-ER65)))</f>
        <v>237.20250000000019</v>
      </c>
      <c r="EK66" s="18">
        <f>EJ66*VLOOKUP('Données projet'!$B$15,Paramètres!$A$1:$I$89,3,0)*VLOOKUP('Données projet'!$B$15,Paramètres!$A$1:$I$89,5,0)</f>
        <v>214.62082200000015</v>
      </c>
      <c r="EL66" s="14">
        <f t="shared" si="45"/>
        <v>52.944068896315315</v>
      </c>
      <c r="EM66" s="22">
        <f t="shared" si="19"/>
        <v>466.0088516444161</v>
      </c>
      <c r="EN66" s="62">
        <f t="shared" si="20"/>
        <v>759.34218497774941</v>
      </c>
      <c r="EO66" s="62">
        <f ca="1">AVERAGE(OFFSET($EN$3,0,0,'Données projet'!$E$15+1,1))-AVERAGE(OFFSET($H$3,0,0,'Données projet'!$E$15+1,1))</f>
        <v>581.88778927327667</v>
      </c>
      <c r="EP66" s="62">
        <f t="shared" si="46"/>
        <v>269.67340993773422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8.3186311660270054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8.3186311660270054</v>
      </c>
      <c r="EZ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9.2524999999999977</v>
      </c>
      <c r="FE66" s="13">
        <f>IF('Données projet'!$A$218&gt;35,FE65+FD66-FM65,IF(A66&lt;'Données projet'!$A$218,$FB$205^A66,IF(A66='Données projet'!$A$218,'Données projet'!$B$218,FE65+FD66-FM65)))</f>
        <v>237.20250000000019</v>
      </c>
      <c r="FF66" s="18">
        <f>FE66*VLOOKUP('Données projet'!$B$16,Paramètres!$A$1:$I$89,3,0)*VLOOKUP('Données projet'!$B$16,Paramètres!$A$1:$I$89,5,0)</f>
        <v>240.52333500000023</v>
      </c>
      <c r="FG66" s="14">
        <f t="shared" si="47"/>
        <v>58.552114278737164</v>
      </c>
      <c r="FH66" s="22">
        <f t="shared" si="22"/>
        <v>520.88974082713423</v>
      </c>
      <c r="FI66" s="62">
        <f t="shared" si="23"/>
        <v>814.2230741604676</v>
      </c>
      <c r="FJ66" s="62">
        <f ca="1">AVERAGE(OFFSET($FI$3,0,0,'Données projet'!$E$16+1,1))-AVERAGE(OFFSET($H$3,0,0,'Données projet'!$E$16+1,1))</f>
        <v>646.50767193970182</v>
      </c>
      <c r="FK66" s="62">
        <f t="shared" si="48"/>
        <v>297.06786598620607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9.3226038929612987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9.3226038929612987</v>
      </c>
      <c r="FU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9.2524999999999977</v>
      </c>
      <c r="FZ66" s="13">
        <f>IF('Données projet'!$A$244&gt;35,FZ65+FY66-GH65,IF(A66&lt;'Données projet'!$A$244,$FW$205^A66,IF(A66='Données projet'!$A$244,'Données projet'!$B$244,FZ65+FY66-GH65)))</f>
        <v>237.20250000000019</v>
      </c>
      <c r="GA66" s="18">
        <f>FZ66*VLOOKUP('Données projet'!$B$17,Paramètres!$A$1:$I$89,3,0)*VLOOKUP('Données projet'!$B$17,Paramètres!$A$1:$I$89,5,0)</f>
        <v>159.11543700000013</v>
      </c>
      <c r="GB66" s="14">
        <f t="shared" si="49"/>
        <v>40.642935424359166</v>
      </c>
      <c r="GC66" s="22">
        <f t="shared" si="25"/>
        <v>347.91249863909246</v>
      </c>
      <c r="GD66" s="62">
        <f t="shared" si="26"/>
        <v>641.24583197242578</v>
      </c>
      <c r="GE66" s="62">
        <f ca="1">AVERAGE(OFFSET($GD$3,0,0,'Données projet'!$E$17+1,1))-AVERAGE(OFFSET($H$3,0,0,'Données projet'!$E$17+1,1))</f>
        <v>442.85175349826028</v>
      </c>
      <c r="GF66" s="62">
        <f t="shared" si="50"/>
        <v>210.70697808232501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7.6015077896453667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7.6015077896453667</v>
      </c>
      <c r="GP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7.4</v>
      </c>
      <c r="GU66" s="13">
        <f>IF('Données projet'!$A$270&gt;35,GU65+GT66-HC65,IF(A66&lt;'Données projet'!$A$270,$GR$205^A66,IF(A66='Données projet'!$A$270,'Données projet'!$B$270,GU65+GT66-HC65)))</f>
        <v>239.20000000000002</v>
      </c>
      <c r="GV66" s="18">
        <f>GU66*VLOOKUP('Données projet'!$B$18,Paramètres!$A$1:$I$89,3,0)*VLOOKUP('Données projet'!$B$18,Paramètres!$A$1:$I$89,5,0)</f>
        <v>227.62272000000002</v>
      </c>
      <c r="GW66" s="14">
        <f t="shared" si="51"/>
        <v>55.768347604909522</v>
      </c>
      <c r="GX66" s="22">
        <f t="shared" si="28"/>
        <v>493.57277607855082</v>
      </c>
      <c r="GY66" s="62">
        <f t="shared" si="29"/>
        <v>786.90610941188413</v>
      </c>
      <c r="GZ66" s="62">
        <f ca="1">AVERAGE(OFFSET($GY$3,0,0,'Données projet'!$E$18+1,1))-AVERAGE(OFFSET($H$3,0,0,'Données projet'!$E$18+1,1))</f>
        <v>420.2510366318939</v>
      </c>
      <c r="HA66" s="62">
        <f t="shared" si="52"/>
        <v>220.59884411514116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16.590879953630481</v>
      </c>
      <c r="HH66" s="23">
        <f>EXP(-LN(2)/25)*HH65+(1-EXP(-LN(2)/25))/(LN(2)/25)*Calculateur!HC66*Calculateur!HE66*VLOOKUP('Données projet'!$B$18,Paramètres!$A$1:$I$89,3,0)*0.475*44/12</f>
        <v>0</v>
      </c>
      <c r="HI66" s="23">
        <f>EXP(-LN(2)/2)*HI65+(1-EXP(-LN(2)/2))/(LN(2)/2)*HC66*HF66*VLOOKUP('Données projet'!$B$18,Paramètres!$A$1:$I$89,3,0)*0.475*44/12</f>
        <v>0</v>
      </c>
      <c r="HJ66" s="24">
        <f t="shared" si="30"/>
        <v>16.590879953630481</v>
      </c>
    </row>
    <row r="67" spans="1:218" s="5" customFormat="1" x14ac:dyDescent="0.2">
      <c r="A67" s="11">
        <f t="shared" si="31"/>
        <v>64</v>
      </c>
      <c r="B67" s="74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11.25925925925926</v>
      </c>
      <c r="N67" s="14">
        <f>IF('Données projet'!$A$36&gt;35,N66+M67-V66,IF(A67&lt;'Données projet'!$A$36,$K$205^A67,IF(A67='Données projet'!$A$36,'Données projet'!$B$36,N66+M67-V66)))</f>
        <v>412.25925925925935</v>
      </c>
      <c r="O67" s="14">
        <f>N67*VLOOKUP('Données projet'!$B$9,Paramètres!$A$1:$I$89,3,0)*VLOOKUP('Données projet'!$B$9,Paramètres!$A$1:$I$89,5,0)</f>
        <v>353.71844444444457</v>
      </c>
      <c r="P67" s="14">
        <f t="shared" si="33"/>
        <v>82.327705998406941</v>
      </c>
      <c r="Q67" s="22">
        <f t="shared" ref="Q67:Q98" si="54">(O67+P67)*0.475*44/12</f>
        <v>759.44704535463291</v>
      </c>
      <c r="R67" s="62">
        <f t="shared" ref="R67:R130" si="55">Q67+(I67+J67)*44/12</f>
        <v>1052.7803786879663</v>
      </c>
      <c r="S67" s="62">
        <f ca="1">AVERAGE(OFFSET($R$3,0,0,'Données projet'!$E$9+1,1))-AVERAGE(OFFSET($H$3,0,0,'Données projet'!$E$9+1,1))</f>
        <v>623.31285537237943</v>
      </c>
      <c r="T67" s="62">
        <f t="shared" si="34"/>
        <v>462.33909258902241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99.473638871941333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99.473638871941333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5.2</v>
      </c>
      <c r="AI67" s="14">
        <f>IF('Données projet'!$A$62&gt;35,AI66+AH67-AQ66,IF(A67&lt;'Données projet'!$A$62,$AF$205^A67,IF(A67='Données projet'!$A$62,'Données projet'!$B$62,AI66+AH67-AQ66)))</f>
        <v>300.7999999999999</v>
      </c>
      <c r="AJ67" s="14">
        <f>AI67*VLOOKUP('Données projet'!$B$10,Paramètres!$A$1:$I$89,3,0)*VLOOKUP('Données projet'!$B$10,Paramètres!$A$1:$I$89,5,0)</f>
        <v>262.77887999999996</v>
      </c>
      <c r="AK67" s="14">
        <f t="shared" si="35"/>
        <v>63.314355869176104</v>
      </c>
      <c r="AL67" s="22">
        <f t="shared" si="4"/>
        <v>567.94571913881498</v>
      </c>
      <c r="AM67" s="62">
        <f t="shared" si="5"/>
        <v>861.27905247214835</v>
      </c>
      <c r="AN67" s="62">
        <f ca="1">AVERAGE(OFFSET($AM$3,0,0,'Données projet'!$E$10+1,1))-AVERAGE(OFFSET($H$3,0,0,'Données projet'!$E$10+1,1))</f>
        <v>390.70479111593545</v>
      </c>
      <c r="AO67" s="62">
        <f t="shared" si="36"/>
        <v>374.99493809709708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24.474499710525951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24.474499710525951</v>
      </c>
      <c r="AY67" s="7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5.2</v>
      </c>
      <c r="BD67" s="13">
        <f>IF('Données projet'!$A$88&gt;35,BD66+BC67-BL66,IF(A67&lt;'Données projet'!$A$88,$BA$205^A67,IF(A67='Données projet'!$A$88,'Données projet'!$B$88,BD66+BC67-BL66)))</f>
        <v>300.7999999999999</v>
      </c>
      <c r="BE67" s="14">
        <f>BD67*VLOOKUP('Données projet'!$B$11,Paramètres!$A$1:$I$89,3,0)*VLOOKUP('Données projet'!$B$11,Paramètres!$A$1:$I$89,5,0)</f>
        <v>239.31647999999996</v>
      </c>
      <c r="BF67" s="14">
        <f t="shared" si="37"/>
        <v>58.292443422481945</v>
      </c>
      <c r="BG67" s="22">
        <f t="shared" si="7"/>
        <v>518.33554162748931</v>
      </c>
      <c r="BH67" s="62">
        <f t="shared" si="8"/>
        <v>811.66887496082268</v>
      </c>
      <c r="BI67" s="62">
        <f ca="1">AVERAGE(OFFSET($BH$3,0,0,'Données projet'!$E$11+1,1))-AVERAGE(OFFSET($H$3,0,0,'Données projet'!$E$11+1,1))</f>
        <v>359.18294335011535</v>
      </c>
      <c r="BJ67" s="62">
        <f t="shared" si="38"/>
        <v>345.47508134331241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22.28927652208613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22.28927652208613</v>
      </c>
      <c r="BT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5.2</v>
      </c>
      <c r="BY67" s="13">
        <f>IF('Données projet'!$A$114&gt;35,BY66+BX67-CG66,IF(A67&lt;'Données projet'!$A$114,$BV$205^A67,IF(A67='Données projet'!$A$114,'Données projet'!$B$114,BY66+BX67-CG66)))</f>
        <v>300.7999999999999</v>
      </c>
      <c r="BZ67" s="14">
        <f>BY67*VLOOKUP('Données projet'!$B$12,Paramètres!$A$1:$I$89,3,0)*VLOOKUP('Données projet'!$B$12,Paramètres!$A$1:$I$89,5,0)</f>
        <v>220.54655999999991</v>
      </c>
      <c r="CA67" s="14">
        <f t="shared" si="39"/>
        <v>54.233660675860236</v>
      </c>
      <c r="CB67" s="22">
        <f t="shared" si="10"/>
        <v>478.57555101045642</v>
      </c>
      <c r="CC67" s="62">
        <f t="shared" si="11"/>
        <v>771.90888434378974</v>
      </c>
      <c r="CD67" s="62">
        <f ca="1">AVERAGE(OFFSET($CC$3,0,0,'Données projet'!$E$12+1,1))-AVERAGE(OFFSET($H$3,0,0,'Données projet'!$E$12+1,1))</f>
        <v>333.9187211440219</v>
      </c>
      <c r="CE67" s="62">
        <f t="shared" si="40"/>
        <v>321.81422611044997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16.665419108818377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16.665419108818377</v>
      </c>
      <c r="CO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5.2</v>
      </c>
      <c r="CT67" s="13">
        <f>IF('Données projet'!$A$140&gt;35,CT66+CS67-DB66,IF(A67&lt;'Données projet'!$A$140,$CQ$205^A67,IF(A67='Données projet'!$A$140,'Données projet'!$B$140,CT66+CS67-DB66)))</f>
        <v>300.7999999999999</v>
      </c>
      <c r="CU67" s="18">
        <f>CT67*VLOOKUP('Données projet'!$B$13,Paramètres!$A$1:$I$89,3,0)*VLOOKUP('Données projet'!$B$13,Paramètres!$A$1:$I$89,5,0)</f>
        <v>244.00895999999992</v>
      </c>
      <c r="CV67" s="14">
        <f t="shared" si="41"/>
        <v>59.30124437733059</v>
      </c>
      <c r="CW67" s="22">
        <f t="shared" si="13"/>
        <v>528.26527262385059</v>
      </c>
      <c r="CX67" s="62">
        <f t="shared" si="14"/>
        <v>821.59860595718396</v>
      </c>
      <c r="CY67" s="62">
        <f ca="1">AVERAGE(OFFSET($CX$3,0,0,'Données projet'!$E$13+1,1))-AVERAGE(OFFSET($H$3,0,0,'Données projet'!$E$13+1,1))</f>
        <v>365.492319515595</v>
      </c>
      <c r="CZ67" s="62">
        <f t="shared" si="42"/>
        <v>351.38386928091433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18.438336035288415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18.438336035288415</v>
      </c>
      <c r="DJ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9.2524999999999977</v>
      </c>
      <c r="DO67" s="13">
        <f>IF('Données projet'!$A$166&gt;35,DO66+DN67-DW66,IF(A67&lt;'Données projet'!$A$166,$DL$205^A67,IF(A67='Données projet'!$A$166,'Données projet'!$B$166,DO66+DN67-DW66)))</f>
        <v>246.45500000000018</v>
      </c>
      <c r="DP67" s="18">
        <f>DO67*VLOOKUP('Données projet'!$B$14,Paramètres!$A$1:$I$89,3,0)*VLOOKUP('Données projet'!$B$14,Paramètres!$A$1:$I$89,5,0)</f>
        <v>207.61369200000019</v>
      </c>
      <c r="DQ67" s="14">
        <f t="shared" si="43"/>
        <v>51.413771022323779</v>
      </c>
      <c r="DR67" s="22">
        <f t="shared" si="16"/>
        <v>451.13949809721424</v>
      </c>
      <c r="DS67" s="62">
        <f t="shared" si="17"/>
        <v>744.47283143054756</v>
      </c>
      <c r="DT67" s="62">
        <f ca="1">AVERAGE(OFFSET($DS$3,0,0,'Données projet'!$E$14+1,1))-AVERAGE(OFFSET($H$3,0,0,'Données projet'!$E$14+1,1))</f>
        <v>544.89250424794909</v>
      </c>
      <c r="DU67" s="62">
        <f t="shared" si="44"/>
        <v>253.98688498110715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7.5930590632269341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7.5930590632269341</v>
      </c>
      <c r="EE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9.2524999999999977</v>
      </c>
      <c r="EJ67" s="13">
        <f>IF('Données projet'!$A$192&gt;35,EJ66+EI67-ER66,IF(A67&lt;'Données projet'!$A$192,$EG$205^A67,IF(A67='Données projet'!$A$192,'Données projet'!$B$192,EJ66+EI67-ER66)))</f>
        <v>246.45500000000018</v>
      </c>
      <c r="EK67" s="18">
        <f>EJ67*VLOOKUP('Données projet'!$B$15,Paramètres!$A$1:$I$89,3,0)*VLOOKUP('Données projet'!$B$15,Paramètres!$A$1:$I$89,5,0)</f>
        <v>222.99248400000016</v>
      </c>
      <c r="EL67" s="14">
        <f t="shared" si="45"/>
        <v>54.764775031234961</v>
      </c>
      <c r="EM67" s="22">
        <f t="shared" si="19"/>
        <v>483.76055947940108</v>
      </c>
      <c r="EN67" s="62">
        <f t="shared" si="20"/>
        <v>777.09389281273434</v>
      </c>
      <c r="EO67" s="62">
        <f ca="1">AVERAGE(OFFSET($EN$3,0,0,'Données projet'!$E$15+1,1))-AVERAGE(OFFSET($H$3,0,0,'Données projet'!$E$15+1,1))</f>
        <v>581.88778927327667</v>
      </c>
      <c r="EP67" s="62">
        <f t="shared" si="46"/>
        <v>269.67340993773422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8.1555078827252245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8.1555078827252245</v>
      </c>
      <c r="EZ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9.2524999999999977</v>
      </c>
      <c r="FE67" s="13">
        <f>IF('Données projet'!$A$218&gt;35,FE66+FD67-FM66,IF(A67&lt;'Données projet'!$A$218,$FB$205^A67,IF(A67='Données projet'!$A$218,'Données projet'!$B$218,FE66+FD67-FM66)))</f>
        <v>246.45500000000018</v>
      </c>
      <c r="FF67" s="18">
        <f>FE67*VLOOKUP('Données projet'!$B$16,Paramètres!$A$1:$I$89,3,0)*VLOOKUP('Données projet'!$B$16,Paramètres!$A$1:$I$89,5,0)</f>
        <v>249.9053700000002</v>
      </c>
      <c r="FG67" s="14">
        <f t="shared" si="47"/>
        <v>60.565676815620975</v>
      </c>
      <c r="FH67" s="22">
        <f t="shared" si="22"/>
        <v>540.73707320387359</v>
      </c>
      <c r="FI67" s="62">
        <f t="shared" si="23"/>
        <v>834.07040653720696</v>
      </c>
      <c r="FJ67" s="62">
        <f ca="1">AVERAGE(OFFSET($FI$3,0,0,'Données projet'!$E$16+1,1))-AVERAGE(OFFSET($H$3,0,0,'Données projet'!$E$16+1,1))</f>
        <v>646.50767193970182</v>
      </c>
      <c r="FK67" s="62">
        <f t="shared" si="48"/>
        <v>297.06786598620607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9.1397933168472338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9.1397933168472338</v>
      </c>
      <c r="FU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9.2524999999999977</v>
      </c>
      <c r="FZ67" s="13">
        <f>IF('Données projet'!$A$244&gt;35,FZ66+FY67-GH66,IF(A67&lt;'Données projet'!$A$244,$FW$205^A67,IF(A67='Données projet'!$A$244,'Données projet'!$B$244,FZ66+FY67-GH66)))</f>
        <v>246.45500000000018</v>
      </c>
      <c r="GA67" s="18">
        <f>FZ67*VLOOKUP('Données projet'!$B$17,Paramètres!$A$1:$I$89,3,0)*VLOOKUP('Données projet'!$B$17,Paramètres!$A$1:$I$89,5,0)</f>
        <v>165.32201400000011</v>
      </c>
      <c r="GB67" s="14">
        <f t="shared" si="49"/>
        <v>42.040614964501643</v>
      </c>
      <c r="GC67" s="22">
        <f t="shared" si="25"/>
        <v>361.15657877984057</v>
      </c>
      <c r="GD67" s="62">
        <f t="shared" si="26"/>
        <v>654.48991211317389</v>
      </c>
      <c r="GE67" s="62">
        <f ca="1">AVERAGE(OFFSET($GD$3,0,0,'Données projet'!$E$17+1,1))-AVERAGE(OFFSET($H$3,0,0,'Données projet'!$E$17+1,1))</f>
        <v>442.85175349826028</v>
      </c>
      <c r="GF67" s="62">
        <f t="shared" si="50"/>
        <v>210.70697808232501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7.45244685835236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7.45244685835236</v>
      </c>
      <c r="GP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7.4</v>
      </c>
      <c r="GU67" s="13">
        <f>IF('Données projet'!$A$270&gt;35,GU66+GT67-HC66,IF(A67&lt;'Données projet'!$A$270,$GR$205^A67,IF(A67='Données projet'!$A$270,'Données projet'!$B$270,GU66+GT67-HC66)))</f>
        <v>246.60000000000002</v>
      </c>
      <c r="GV67" s="18">
        <f>GU67*VLOOKUP('Données projet'!$B$18,Paramètres!$A$1:$I$89,3,0)*VLOOKUP('Données projet'!$B$18,Paramètres!$A$1:$I$89,5,0)</f>
        <v>234.66456000000002</v>
      </c>
      <c r="GW67" s="14">
        <f t="shared" si="51"/>
        <v>57.290086878049593</v>
      </c>
      <c r="GX67" s="22">
        <f t="shared" si="28"/>
        <v>508.48767664593635</v>
      </c>
      <c r="GY67" s="62">
        <f t="shared" si="29"/>
        <v>801.82100997926966</v>
      </c>
      <c r="GZ67" s="62">
        <f ca="1">AVERAGE(OFFSET($GY$3,0,0,'Données projet'!$E$18+1,1))-AVERAGE(OFFSET($H$3,0,0,'Données projet'!$E$18+1,1))</f>
        <v>420.2510366318939</v>
      </c>
      <c r="HA67" s="62">
        <f t="shared" si="52"/>
        <v>220.59884411514116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16.265542917177346</v>
      </c>
      <c r="HH67" s="23">
        <f>EXP(-LN(2)/25)*HH66+(1-EXP(-LN(2)/25))/(LN(2)/25)*Calculateur!HC67*Calculateur!HE67*VLOOKUP('Données projet'!$B$18,Paramètres!$A$1:$I$89,3,0)*0.475*44/12</f>
        <v>0</v>
      </c>
      <c r="HI67" s="23">
        <f>EXP(-LN(2)/2)*HI66+(1-EXP(-LN(2)/2))/(LN(2)/2)*HC67*HF67*VLOOKUP('Données projet'!$B$18,Paramètres!$A$1:$I$89,3,0)*0.475*44/12</f>
        <v>0</v>
      </c>
      <c r="HJ67" s="24">
        <f t="shared" si="30"/>
        <v>16.265542917177346</v>
      </c>
    </row>
    <row r="68" spans="1:218" s="5" customFormat="1" x14ac:dyDescent="0.2">
      <c r="A68" s="11">
        <f t="shared" si="31"/>
        <v>65</v>
      </c>
      <c r="B68" s="74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11.25925925925926</v>
      </c>
      <c r="N68" s="14">
        <f>IF('Données projet'!$A$36&gt;35,N67+M68-V67,IF(A68&lt;'Données projet'!$A$36,$K$205^A68,IF(A68='Données projet'!$A$36,'Données projet'!$B$36,N67+M68-V67)))</f>
        <v>423.51851851851859</v>
      </c>
      <c r="O68" s="14">
        <f>N68*VLOOKUP('Données projet'!$B$9,Paramètres!$A$1:$I$89,3,0)*VLOOKUP('Données projet'!$B$9,Paramètres!$A$1:$I$89,5,0)</f>
        <v>363.37888888888898</v>
      </c>
      <c r="P68" s="14">
        <f t="shared" si="33"/>
        <v>84.311320096540499</v>
      </c>
      <c r="Q68" s="22">
        <f t="shared" si="54"/>
        <v>779.72711398295633</v>
      </c>
      <c r="R68" s="62">
        <f t="shared" si="55"/>
        <v>1073.0604473162896</v>
      </c>
      <c r="S68" s="62">
        <f ca="1">AVERAGE(OFFSET($R$3,0,0,'Données projet'!$E$9+1,1))-AVERAGE(OFFSET($H$3,0,0,'Données projet'!$E$9+1,1))</f>
        <v>623.31285537237943</v>
      </c>
      <c r="T68" s="62">
        <f t="shared" si="34"/>
        <v>462.33909258902241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97.523021486591318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97.523021486591318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306</v>
      </c>
      <c r="AG68" s="13">
        <f>VLOOKUP(A68,'Données projet'!$A$61:$I$81,9,0)</f>
        <v>5.2</v>
      </c>
      <c r="AH68" s="13">
        <f t="array" ref="AH68">INDEX(AG:AG,MIN(IF(ISNUMBER(AG68:AG264),ROW(AG68:AG264),"")))</f>
        <v>5.2</v>
      </c>
      <c r="AI68" s="14">
        <f>IF('Données projet'!$A$62&gt;35,AI67+AH68-AQ67,IF(A68&lt;'Données projet'!$A$62,$AF$205^A68,IF(A68='Données projet'!$A$62,'Données projet'!$B$62,AI67+AH68-AQ67)))</f>
        <v>305.99999999999989</v>
      </c>
      <c r="AJ68" s="14">
        <f>AI68*VLOOKUP('Données projet'!$B$10,Paramètres!$A$1:$I$89,3,0)*VLOOKUP('Données projet'!$B$10,Paramètres!$A$1:$I$89,5,0)</f>
        <v>267.32159999999993</v>
      </c>
      <c r="AK68" s="14">
        <f t="shared" si="35"/>
        <v>64.280515815446321</v>
      </c>
      <c r="AL68" s="22">
        <f t="shared" ref="AL68:AL131" si="58">(AJ68+AK68)*0.475*44/12</f>
        <v>577.54035171190219</v>
      </c>
      <c r="AM68" s="62">
        <f t="shared" ref="AM68:AM131" si="59">AL68+(AD68+AE68)*44/12</f>
        <v>870.87368504523556</v>
      </c>
      <c r="AN68" s="62">
        <f ca="1">AVERAGE(OFFSET($AM$3,0,0,'Données projet'!$E$10+1,1))-AVERAGE(OFFSET($H$3,0,0,'Données projet'!$E$10+1,1))</f>
        <v>390.70479111593545</v>
      </c>
      <c r="AO68" s="62">
        <f t="shared" si="36"/>
        <v>374.99493809709708</v>
      </c>
      <c r="AP68" s="16">
        <f>IF(ISNA(VLOOKUP(A68,'Données projet'!$A$61:$I$81,3,0)),0,VLOOKUP(A68,'Données projet'!$A$61:$I$81,3,0))</f>
        <v>12</v>
      </c>
      <c r="AQ68" s="16">
        <f>IF(ISNA(VLOOKUP(A68,'Données projet'!$A$61:$I$81,4,0)),0,VLOOKUP(A68,'Données projet'!$A$61:$I$81,4,0))</f>
        <v>13</v>
      </c>
      <c r="AR68" s="17">
        <f>IF(ISNA(VLOOKUP(A68,'Données projet'!$A$61:$I$81,5,0)),0%,VLOOKUP(A68,'Données projet'!$A$61:$I$81,5,0)*VLOOKUP('Données projet'!$B$10,Paramètres!$A$1:$I$89,7,0))</f>
        <v>0.371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28.652328527503155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28.652328527503155</v>
      </c>
      <c r="AY68" s="7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306</v>
      </c>
      <c r="BB68" s="13">
        <f>VLOOKUP(A68,'Données projet'!$A$87:$I$107,9,0)</f>
        <v>5.2</v>
      </c>
      <c r="BC68" s="13">
        <f t="array" ref="BC68">INDEX(BB:BB,MIN(IF(ISNUMBER(BB68:BB264),ROW(BB68:BB264),"")))</f>
        <v>5.2</v>
      </c>
      <c r="BD68" s="13">
        <f>IF('Données projet'!$A$88&gt;35,BD67+BC68-BL67,IF(A68&lt;'Données projet'!$A$88,$BA$205^A68,IF(A68='Données projet'!$A$88,'Données projet'!$B$88,BD67+BC68-BL67)))</f>
        <v>305.99999999999989</v>
      </c>
      <c r="BE68" s="14">
        <f>BD68*VLOOKUP('Données projet'!$B$11,Paramètres!$A$1:$I$89,3,0)*VLOOKUP('Données projet'!$B$11,Paramètres!$A$1:$I$89,5,0)</f>
        <v>243.45359999999991</v>
      </c>
      <c r="BF68" s="14">
        <f t="shared" si="37"/>
        <v>59.181970343065267</v>
      </c>
      <c r="BG68" s="22">
        <f t="shared" ref="BG68:BG131" si="61">(BE68+BF68)*0.475*44/12</f>
        <v>527.09028501417185</v>
      </c>
      <c r="BH68" s="62">
        <f t="shared" ref="BH68:BH131" si="62">BG68+(AY68+AZ68)*44/12</f>
        <v>820.42361834750523</v>
      </c>
      <c r="BI68" s="62">
        <f ca="1">AVERAGE(OFFSET($BH$3,0,0,'Données projet'!$E$11+1,1))-AVERAGE(OFFSET($H$3,0,0,'Données projet'!$E$11+1,1))</f>
        <v>359.18294335011535</v>
      </c>
      <c r="BJ68" s="62">
        <f t="shared" si="38"/>
        <v>345.47508134331241</v>
      </c>
      <c r="BK68" s="16">
        <f>IF(ISNA(VLOOKUP(A68,'Données projet'!$A$87:$I$107,3,0)),0,VLOOKUP(A68,'Données projet'!$A$87:$I$107,3,0))</f>
        <v>12</v>
      </c>
      <c r="BL68" s="16">
        <f>IF(ISNA(VLOOKUP(A68,'Données projet'!$A$87:$I$107,4,0)),0,VLOOKUP(A68,'Données projet'!$A$87:$I$107,4,0))</f>
        <v>13</v>
      </c>
      <c r="BM68" s="17">
        <f>IF(ISNA(VLOOKUP(A68,'Données projet'!$A$87:$I$107,5,0)),0%,VLOOKUP(A68,'Données projet'!$A$87:$I$107,5,0)*VLOOKUP('Données projet'!$B$11,Paramètres!$A$1:$I$89,7,0))</f>
        <v>0.371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26.094084908976086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26.094084908976086</v>
      </c>
      <c r="BT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306</v>
      </c>
      <c r="BW68" s="13">
        <f>VLOOKUP(A68,'Données projet'!$A$113:$I$133,9,0)</f>
        <v>5.2</v>
      </c>
      <c r="BX68" s="13">
        <f t="array" ref="BX68">INDEX(BW:BW,MIN(IF(ISNUMBER(BW68:BW264),ROW(BW68:BW264),"")))</f>
        <v>5.2</v>
      </c>
      <c r="BY68" s="13">
        <f>IF('Données projet'!$A$114&gt;35,BY67+BX68-CG67,IF(A68&lt;'Données projet'!$A$114,$BV$205^A68,IF(A68='Données projet'!$A$114,'Données projet'!$B$114,BY67+BX68-CG67)))</f>
        <v>305.99999999999989</v>
      </c>
      <c r="BZ68" s="14">
        <f>BY68*VLOOKUP('Données projet'!$B$12,Paramètres!$A$1:$I$89,3,0)*VLOOKUP('Données projet'!$B$12,Paramètres!$A$1:$I$89,5,0)</f>
        <v>224.3591999999999</v>
      </c>
      <c r="CA68" s="14">
        <f t="shared" si="39"/>
        <v>55.061251669487255</v>
      </c>
      <c r="CB68" s="22">
        <f t="shared" ref="CB68:CB131" si="64">(BZ68+CA68)*0.475*44/12</f>
        <v>486.65728665769001</v>
      </c>
      <c r="CC68" s="62">
        <f t="shared" ref="CC68:CC131" si="65">CB68+(BT68+BU68)*44/12</f>
        <v>779.99061999102332</v>
      </c>
      <c r="CD68" s="62">
        <f ca="1">AVERAGE(OFFSET($CC$3,0,0,'Données projet'!$E$12+1,1))-AVERAGE(OFFSET($H$3,0,0,'Données projet'!$E$12+1,1))</f>
        <v>333.9187211440219</v>
      </c>
      <c r="CE68" s="62">
        <f t="shared" si="40"/>
        <v>321.81422611044997</v>
      </c>
      <c r="CF68" s="16">
        <f>IF(ISNA(VLOOKUP(A68,'Données projet'!$A$113:$I$133,3,0)),0,VLOOKUP(A68,'Données projet'!$A$113:$I$133,3,0))</f>
        <v>12</v>
      </c>
      <c r="CG68" s="16">
        <f>IF(ISNA(VLOOKUP(A68,'Données projet'!$A$113:$I$133,4,0)),0,VLOOKUP(A68,'Données projet'!$A$113:$I$133,4,0))</f>
        <v>13</v>
      </c>
      <c r="CH68" s="17">
        <f>IF(ISNA(VLOOKUP(A68,'Données projet'!$A$113:$I$133,5,0)),0%,VLOOKUP(A68,'Données projet'!$A$113:$I$133,5,0)*VLOOKUP('Données projet'!$B$12,Paramètres!$A$1:$I$89,7,0))</f>
        <v>0.30099999999999999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19.510227747332841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19.510227747332841</v>
      </c>
      <c r="CO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306</v>
      </c>
      <c r="CR68" s="13">
        <f>VLOOKUP(A68,'Données projet'!$A$139:$I$159,9,0)</f>
        <v>5.2</v>
      </c>
      <c r="CS68" s="13">
        <f t="array" ref="CS68">INDEX(CR:CR,MIN(IF(ISNUMBER(CR68:CR264),ROW(CR68:CR264),"")))</f>
        <v>5.2</v>
      </c>
      <c r="CT68" s="13">
        <f>IF('Données projet'!$A$140&gt;35,CT67+CS68-DB67,IF(A68&lt;'Données projet'!$A$140,$CQ$205^A68,IF(A68='Données projet'!$A$140,'Données projet'!$B$140,CT67+CS68-DB67)))</f>
        <v>305.99999999999989</v>
      </c>
      <c r="CU68" s="18">
        <f>CT68*VLOOKUP('Données projet'!$B$13,Paramètres!$A$1:$I$89,3,0)*VLOOKUP('Données projet'!$B$13,Paramètres!$A$1:$I$89,5,0)</f>
        <v>248.22719999999993</v>
      </c>
      <c r="CV68" s="14">
        <f t="shared" si="41"/>
        <v>60.20616532763993</v>
      </c>
      <c r="CW68" s="22">
        <f t="shared" ref="CW68:CW131" si="67">(CU68+CV68)*0.475*44/12</f>
        <v>537.18811127897277</v>
      </c>
      <c r="CX68" s="62">
        <f t="shared" ref="CX68:CX131" si="68">CW68+(CO68+CP68)*44/12</f>
        <v>830.52144461230614</v>
      </c>
      <c r="CY68" s="62">
        <f ca="1">AVERAGE(OFFSET($CX$3,0,0,'Données projet'!$E$13+1,1))-AVERAGE(OFFSET($H$3,0,0,'Données projet'!$E$13+1,1))</f>
        <v>365.492319515595</v>
      </c>
      <c r="CZ68" s="62">
        <f t="shared" si="42"/>
        <v>351.38386928091433</v>
      </c>
      <c r="DA68" s="16">
        <f>IF(ISNA(VLOOKUP(A68,'Données projet'!$A$139:$I$159,3,0)),0,VLOOKUP(A68,'Données projet'!$A$139:$I$159,3,0))</f>
        <v>12</v>
      </c>
      <c r="DB68" s="16">
        <f>IF(ISNA(VLOOKUP(A68,'Données projet'!$A$139:$I$159,4,0)),0,VLOOKUP(A68,'Données projet'!$A$139:$I$159,4,0))</f>
        <v>13</v>
      </c>
      <c r="DC68" s="17">
        <f>IF(ISNA(VLOOKUP(A68,'Données projet'!$A$139:$I$159,5,0)),0%,VLOOKUP(A68,'Données projet'!$A$139:$I$159,5,0)*VLOOKUP('Données projet'!$B$13,Paramètres!$A$1:$I$89,7,0))</f>
        <v>0.30099999999999999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21.585783890666118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21.585783890666118</v>
      </c>
      <c r="DJ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9.2524999999999977</v>
      </c>
      <c r="DO68" s="13">
        <f>IF('Données projet'!$A$166&gt;35,DO67+DN68-DW67,IF(A68&lt;'Données projet'!$A$166,$DL$205^A68,IF(A68='Données projet'!$A$166,'Données projet'!$B$166,DO67+DN68-DW67)))</f>
        <v>255.70750000000018</v>
      </c>
      <c r="DP68" s="18">
        <f>DO68*VLOOKUP('Données projet'!$B$14,Paramètres!$A$1:$I$89,3,0)*VLOOKUP('Données projet'!$B$14,Paramètres!$A$1:$I$89,5,0)</f>
        <v>215.40799800000016</v>
      </c>
      <c r="DQ68" s="14">
        <f t="shared" si="43"/>
        <v>53.115614828154897</v>
      </c>
      <c r="DR68" s="22">
        <f t="shared" ref="DR68:DR131" si="70">(DP68+DQ68)*0.475*44/12</f>
        <v>467.67862567570342</v>
      </c>
      <c r="DS68" s="62">
        <f t="shared" ref="DS68:DS131" si="71">DR68+(DJ68+DK68)*44/12</f>
        <v>761.01195900903667</v>
      </c>
      <c r="DT68" s="62">
        <f ca="1">AVERAGE(OFFSET($DS$3,0,0,'Données projet'!$E$14+1,1))-AVERAGE(OFFSET($H$3,0,0,'Données projet'!$E$14+1,1))</f>
        <v>544.89250424794909</v>
      </c>
      <c r="DU68" s="62">
        <f t="shared" si="44"/>
        <v>253.98688498110715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7.4441638063057791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7.4441638063057791</v>
      </c>
      <c r="EE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9.2524999999999977</v>
      </c>
      <c r="EJ68" s="13">
        <f>IF('Données projet'!$A$192&gt;35,EJ67+EI68-ER67,IF(A68&lt;'Données projet'!$A$192,$EG$205^A68,IF(A68='Données projet'!$A$192,'Données projet'!$B$192,EJ67+EI68-ER67)))</f>
        <v>255.70750000000018</v>
      </c>
      <c r="EK68" s="18">
        <f>EJ68*VLOOKUP('Données projet'!$B$15,Paramètres!$A$1:$I$89,3,0)*VLOOKUP('Données projet'!$B$15,Paramètres!$A$1:$I$89,5,0)</f>
        <v>231.36414600000015</v>
      </c>
      <c r="EL68" s="14">
        <f t="shared" si="45"/>
        <v>56.57754019728695</v>
      </c>
      <c r="EM68" s="22">
        <f t="shared" ref="EM68:EM131" si="73">(EK68+EL68)*0.475*44/12</f>
        <v>501.49843679360833</v>
      </c>
      <c r="EN68" s="62">
        <f t="shared" ref="EN68:EN131" si="74">EM68+(EE68+EF68)*44/12</f>
        <v>794.83177012694159</v>
      </c>
      <c r="EO68" s="62">
        <f ca="1">AVERAGE(OFFSET($EN$3,0,0,'Données projet'!$E$15+1,1))-AVERAGE(OFFSET($H$3,0,0,'Données projet'!$E$15+1,1))</f>
        <v>581.88778927327667</v>
      </c>
      <c r="EP68" s="62">
        <f t="shared" si="46"/>
        <v>269.67340993773422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7.9955833475136133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7.9955833475136133</v>
      </c>
      <c r="EZ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9.2524999999999977</v>
      </c>
      <c r="FE68" s="13">
        <f>IF('Données projet'!$A$218&gt;35,FE67+FD68-FM67,IF(A68&lt;'Données projet'!$A$218,$FB$205^A68,IF(A68='Données projet'!$A$218,'Données projet'!$B$218,FE67+FD68-FM67)))</f>
        <v>255.70750000000018</v>
      </c>
      <c r="FF68" s="18">
        <f>FE68*VLOOKUP('Données projet'!$B$16,Paramètres!$A$1:$I$89,3,0)*VLOOKUP('Données projet'!$B$16,Paramètres!$A$1:$I$89,5,0)</f>
        <v>259.28740500000021</v>
      </c>
      <c r="FG68" s="14">
        <f t="shared" si="47"/>
        <v>62.570457244776364</v>
      </c>
      <c r="FH68" s="22">
        <f t="shared" ref="FH68:FH131" si="76">(FF68+FG68)*0.475*44/12</f>
        <v>560.56911007631913</v>
      </c>
      <c r="FI68" s="62">
        <f t="shared" ref="FI68:FI131" si="77">FH68+(EZ68+FA68)*44/12</f>
        <v>853.90244340965251</v>
      </c>
      <c r="FJ68" s="62">
        <f ca="1">AVERAGE(OFFSET($FI$3,0,0,'Données projet'!$E$16+1,1))-AVERAGE(OFFSET($H$3,0,0,'Données projet'!$E$16+1,1))</f>
        <v>646.50767193970182</v>
      </c>
      <c r="FK68" s="62">
        <f t="shared" si="48"/>
        <v>297.06786598620607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8.9605675446273239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8.9605675446273239</v>
      </c>
      <c r="FU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9.2524999999999977</v>
      </c>
      <c r="FZ68" s="13">
        <f>IF('Données projet'!$A$244&gt;35,FZ67+FY68-GH67,IF(A68&lt;'Données projet'!$A$244,$FW$205^A68,IF(A68='Données projet'!$A$244,'Données projet'!$B$244,FZ67+FY68-GH67)))</f>
        <v>255.70750000000018</v>
      </c>
      <c r="GA68" s="18">
        <f>FZ68*VLOOKUP('Données projet'!$B$17,Paramètres!$A$1:$I$89,3,0)*VLOOKUP('Données projet'!$B$17,Paramètres!$A$1:$I$89,5,0)</f>
        <v>171.52859100000012</v>
      </c>
      <c r="GB68" s="14">
        <f t="shared" si="49"/>
        <v>43.43219855675752</v>
      </c>
      <c r="GC68" s="22">
        <f t="shared" ref="GC68:GC131" si="79">(GA68+GB68)*0.475*44/12</f>
        <v>374.39004181135289</v>
      </c>
      <c r="GD68" s="62">
        <f t="shared" ref="GD68:GD131" si="80">GC68+(FU68+FV68)*44/12</f>
        <v>667.7233751446862</v>
      </c>
      <c r="GE68" s="62">
        <f ca="1">AVERAGE(OFFSET($GD$3,0,0,'Données projet'!$E$17+1,1))-AVERAGE(OFFSET($H$3,0,0,'Données projet'!$E$17+1,1))</f>
        <v>442.85175349826028</v>
      </c>
      <c r="GF68" s="62">
        <f t="shared" si="50"/>
        <v>210.70697808232501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7.3063089210038186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7.3063089210038186</v>
      </c>
      <c r="GP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>
        <f>VLOOKUP(A68,'Données projet'!$A$269:$I$289,2,0)</f>
        <v>254</v>
      </c>
      <c r="GS68" s="13">
        <f>VLOOKUP(A68,'Données projet'!$A$269:$I$289,9,0)</f>
        <v>7.4</v>
      </c>
      <c r="GT68" s="13">
        <f t="array" ref="GT68">INDEX(GS:GS,MIN(IF(ISNUMBER(GS68:GS264),ROW(GS68:GS264),"")))</f>
        <v>7.4</v>
      </c>
      <c r="GU68" s="13">
        <f>IF('Données projet'!$A$270&gt;35,GU67+GT68-HC67,IF(A68&lt;'Données projet'!$A$270,$GR$205^A68,IF(A68='Données projet'!$A$270,'Données projet'!$B$270,GU67+GT68-HC67)))</f>
        <v>254.00000000000003</v>
      </c>
      <c r="GV68" s="18">
        <f>GU68*VLOOKUP('Données projet'!$B$18,Paramètres!$A$1:$I$89,3,0)*VLOOKUP('Données projet'!$B$18,Paramètres!$A$1:$I$89,5,0)</f>
        <v>241.70640000000006</v>
      </c>
      <c r="GW68" s="14">
        <f t="shared" si="51"/>
        <v>58.806519231842536</v>
      </c>
      <c r="GX68" s="22">
        <f t="shared" ref="GX68:GX131" si="82">(GV68+GW68)*0.475*44/12</f>
        <v>523.39333432879255</v>
      </c>
      <c r="GY68" s="62">
        <f t="shared" ref="GY68:GY131" si="83">GX68+(GP68+GQ68)*44/12</f>
        <v>816.72666766212592</v>
      </c>
      <c r="GZ68" s="62">
        <f ca="1">AVERAGE(OFFSET($GY$3,0,0,'Données projet'!$E$18+1,1))-AVERAGE(OFFSET($H$3,0,0,'Données projet'!$E$18+1,1))</f>
        <v>420.2510366318939</v>
      </c>
      <c r="HA68" s="62">
        <f t="shared" si="52"/>
        <v>220.59884411514116</v>
      </c>
      <c r="HB68" s="16">
        <f>IF(ISNA(VLOOKUP(A68,'Données projet'!$A$269:$I$289,3,0)),0,VLOOKUP(A68,'Données projet'!$A$269:$I$289,3,0))</f>
        <v>9</v>
      </c>
      <c r="HC68" s="16">
        <f>IF(ISNA(VLOOKUP(A68,'Données projet'!$A$269:$I$289,4,0)),0,VLOOKUP(A68,'Données projet'!$A$269:$I$289,4,0))</f>
        <v>27</v>
      </c>
      <c r="HD68" s="17">
        <f>IF(ISNA(VLOOKUP(A68,'Données projet'!$A$269:$I$289,5,0)),0%,VLOOKUP(A68,'Données projet'!$A$269:$I$289,5,0)*VLOOKUP('Données projet'!$B$18,Paramètres!$A$1:$I$89,7,0))</f>
        <v>0.215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22.053245925987497</v>
      </c>
      <c r="HH68" s="23">
        <f>EXP(-LN(2)/25)*HH67+(1-EXP(-LN(2)/25))/(LN(2)/25)*Calculateur!HC68*Calculateur!HE68*VLOOKUP('Données projet'!$B$18,Paramètres!$A$1:$I$89,3,0)*0.475*44/12</f>
        <v>0</v>
      </c>
      <c r="HI68" s="23">
        <f>EXP(-LN(2)/2)*HI67+(1-EXP(-LN(2)/2))/(LN(2)/2)*HC68*HF68*VLOOKUP('Données projet'!$B$18,Paramètres!$A$1:$I$89,3,0)*0.475*44/12</f>
        <v>0</v>
      </c>
      <c r="HJ68" s="24">
        <f t="shared" ref="HJ68:HJ131" si="84">SUM(HG68:HI68)</f>
        <v>22.053245925987497</v>
      </c>
    </row>
    <row r="69" spans="1:218" s="5" customFormat="1" x14ac:dyDescent="0.2">
      <c r="A69" s="11">
        <f t="shared" ref="A69:A132" si="85">A68+1</f>
        <v>66</v>
      </c>
      <c r="B69" s="74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11.25925925925926</v>
      </c>
      <c r="N69" s="14">
        <f>IF('Données projet'!$A$36&gt;35,N68+M69-V68,IF(A69&lt;'Données projet'!$A$36,$K$205^A69,IF(A69='Données projet'!$A$36,'Données projet'!$B$36,N68+M69-V68)))</f>
        <v>434.77777777777783</v>
      </c>
      <c r="O69" s="14">
        <f>N69*VLOOKUP('Données projet'!$B$9,Paramètres!$A$1:$I$89,3,0)*VLOOKUP('Données projet'!$B$9,Paramètres!$A$1:$I$89,5,0)</f>
        <v>373.03933333333339</v>
      </c>
      <c r="P69" s="14">
        <f t="shared" ref="P69:P132" si="87">EXP(-1.0587+0.8836*LN(O69)+0.284)</f>
        <v>86.28880462683226</v>
      </c>
      <c r="Q69" s="22">
        <f t="shared" si="54"/>
        <v>799.99650694728837</v>
      </c>
      <c r="R69" s="62">
        <f t="shared" si="55"/>
        <v>1093.3298402806217</v>
      </c>
      <c r="S69" s="62">
        <f ca="1">AVERAGE(OFFSET($R$3,0,0,'Données projet'!$E$9+1,1))-AVERAGE(OFFSET($H$3,0,0,'Données projet'!$E$9+1,1))</f>
        <v>623.31285537237943</v>
      </c>
      <c r="T69" s="62">
        <f t="shared" ref="T69:T132" si="88">$T$3</f>
        <v>462.33909258902241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95.610654518408893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95.610654518408893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4.5999999999999996</v>
      </c>
      <c r="AI69" s="14">
        <f>IF('Données projet'!$A$62&gt;35,AI68+AH69-AQ68,IF(A69&lt;'Données projet'!$A$62,$AF$205^A69,IF(A69='Données projet'!$A$62,'Données projet'!$B$62,AI68+AH69-AQ68)))</f>
        <v>297.59999999999991</v>
      </c>
      <c r="AJ69" s="14">
        <f>AI69*VLOOKUP('Données projet'!$B$10,Paramètres!$A$1:$I$89,3,0)*VLOOKUP('Données projet'!$B$10,Paramètres!$A$1:$I$89,5,0)</f>
        <v>259.98335999999995</v>
      </c>
      <c r="AK69" s="14">
        <f t="shared" ref="AK69:AK132" si="89">EXP(-1.0587+0.8836*LN(AJ69)+0.284)</f>
        <v>62.718830967388243</v>
      </c>
      <c r="AL69" s="22">
        <f t="shared" si="58"/>
        <v>562.03964926820106</v>
      </c>
      <c r="AM69" s="62">
        <f t="shared" si="59"/>
        <v>855.37298260153443</v>
      </c>
      <c r="AN69" s="62">
        <f ca="1">AVERAGE(OFFSET($AM$3,0,0,'Données projet'!$E$10+1,1))-AVERAGE(OFFSET($H$3,0,0,'Données projet'!$E$10+1,1))</f>
        <v>390.70479111593545</v>
      </c>
      <c r="AO69" s="62">
        <f t="shared" ref="AO69:AO132" si="90">$AO$3</f>
        <v>374.99493809709708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28.090473841273589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28.090473841273589</v>
      </c>
      <c r="AY69" s="7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4.5999999999999996</v>
      </c>
      <c r="BD69" s="13">
        <f>IF('Données projet'!$A$88&gt;35,BD68+BC69-BL68,IF(A69&lt;'Données projet'!$A$88,$BA$205^A69,IF(A69='Données projet'!$A$88,'Données projet'!$B$88,BD68+BC69-BL68)))</f>
        <v>297.59999999999991</v>
      </c>
      <c r="BE69" s="14">
        <f>BD69*VLOOKUP('Données projet'!$B$11,Paramètres!$A$1:$I$89,3,0)*VLOOKUP('Données projet'!$B$11,Paramètres!$A$1:$I$89,5,0)</f>
        <v>236.77055999999993</v>
      </c>
      <c r="BF69" s="14">
        <f t="shared" ref="BF69:BF132" si="91">EXP(-1.0587+0.8836*LN(BE69)+0.284)</f>
        <v>57.744153841586929</v>
      </c>
      <c r="BG69" s="22">
        <f t="shared" si="61"/>
        <v>512.9464599407637</v>
      </c>
      <c r="BH69" s="62">
        <f t="shared" si="62"/>
        <v>806.27979327409707</v>
      </c>
      <c r="BI69" s="62">
        <f ca="1">AVERAGE(OFFSET($BH$3,0,0,'Données projet'!$E$11+1,1))-AVERAGE(OFFSET($H$3,0,0,'Données projet'!$E$11+1,1))</f>
        <v>359.18294335011535</v>
      </c>
      <c r="BJ69" s="62">
        <f t="shared" ref="BJ69:BJ132" si="92">$BJ$3</f>
        <v>345.47508134331241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25.582395819731303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25.582395819731303</v>
      </c>
      <c r="BT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4.5999999999999996</v>
      </c>
      <c r="BY69" s="13">
        <f>IF('Données projet'!$A$114&gt;35,BY68+BX69-CG68,IF(A69&lt;'Données projet'!$A$114,$BV$205^A69,IF(A69='Données projet'!$A$114,'Données projet'!$B$114,BY68+BX69-CG68)))</f>
        <v>297.59999999999991</v>
      </c>
      <c r="BZ69" s="14">
        <f>BY69*VLOOKUP('Données projet'!$B$12,Paramètres!$A$1:$I$89,3,0)*VLOOKUP('Données projet'!$B$12,Paramètres!$A$1:$I$89,5,0)</f>
        <v>218.20031999999995</v>
      </c>
      <c r="CA69" s="14">
        <f t="shared" ref="CA69:CA132" si="93">EXP(-1.0587+0.8836*LN(BZ69)+0.284)</f>
        <v>53.723547368945667</v>
      </c>
      <c r="CB69" s="22">
        <f t="shared" si="64"/>
        <v>473.60073566758018</v>
      </c>
      <c r="CC69" s="62">
        <f t="shared" si="65"/>
        <v>766.9340690009135</v>
      </c>
      <c r="CD69" s="62">
        <f ca="1">AVERAGE(OFFSET($CC$3,0,0,'Données projet'!$E$12+1,1))-AVERAGE(OFFSET($H$3,0,0,'Données projet'!$E$12+1,1))</f>
        <v>333.9187211440219</v>
      </c>
      <c r="CE69" s="62">
        <f t="shared" ref="CE69:CE132" si="94">$CE$3</f>
        <v>321.81422611044997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19.127644081271537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19.127644081271537</v>
      </c>
      <c r="CO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4.5999999999999996</v>
      </c>
      <c r="CT69" s="13">
        <f>IF('Données projet'!$A$140&gt;35,CT68+CS69-DB68,IF(A69&lt;'Données projet'!$A$140,$CQ$205^A69,IF(A69='Données projet'!$A$140,'Données projet'!$B$140,CT68+CS69-DB68)))</f>
        <v>297.59999999999991</v>
      </c>
      <c r="CU69" s="18">
        <f>CT69*VLOOKUP('Données projet'!$B$13,Paramètres!$A$1:$I$89,3,0)*VLOOKUP('Données projet'!$B$13,Paramètres!$A$1:$I$89,5,0)</f>
        <v>241.41311999999994</v>
      </c>
      <c r="CV69" s="14">
        <f t="shared" ref="CV69:CV132" si="95">EXP(-1.0587+0.8836*LN(CU69)+0.284)</f>
        <v>58.743466172863258</v>
      </c>
      <c r="CW69" s="22">
        <f t="shared" si="67"/>
        <v>522.77272091773659</v>
      </c>
      <c r="CX69" s="62">
        <f t="shared" si="68"/>
        <v>816.10605425106996</v>
      </c>
      <c r="CY69" s="62">
        <f ca="1">AVERAGE(OFFSET($CX$3,0,0,'Données projet'!$E$13+1,1))-AVERAGE(OFFSET($H$3,0,0,'Données projet'!$E$13+1,1))</f>
        <v>365.492319515595</v>
      </c>
      <c r="CZ69" s="62">
        <f t="shared" ref="CZ69:CZ132" si="96">$CZ$3</f>
        <v>351.38386928091433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21.162499834598293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21.162499834598293</v>
      </c>
      <c r="DJ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>
        <f>VLOOKUP(A69,'Données projet'!$A$165:$I$185,2,0)</f>
        <v>264.95999999999998</v>
      </c>
      <c r="DM69" s="13">
        <f>VLOOKUP(A69,'Données projet'!$A$165:$I$185,9,0)</f>
        <v>9.2524999999999977</v>
      </c>
      <c r="DN69" s="13">
        <f t="array" ref="DN69">INDEX(DM:DM,MIN(IF(ISNUMBER(DM69:DM265),ROW(DM69:DM265),"")))</f>
        <v>9.2524999999999977</v>
      </c>
      <c r="DO69" s="13">
        <f>IF('Données projet'!$A$166&gt;35,DO68+DN69-DW68,IF(A69&lt;'Données projet'!$A$166,$DL$205^A69,IF(A69='Données projet'!$A$166,'Données projet'!$B$166,DO68+DN69-DW68)))</f>
        <v>264.96000000000015</v>
      </c>
      <c r="DP69" s="18">
        <f>DO69*VLOOKUP('Données projet'!$B$14,Paramètres!$A$1:$I$89,3,0)*VLOOKUP('Données projet'!$B$14,Paramètres!$A$1:$I$89,5,0)</f>
        <v>223.20230400000017</v>
      </c>
      <c r="DQ69" s="14">
        <f t="shared" ref="DQ69:DQ132" si="97">EXP(-1.0587+0.8836*LN(DP69)+0.284)</f>
        <v>54.810304218448117</v>
      </c>
      <c r="DR69" s="22">
        <f t="shared" si="70"/>
        <v>484.20529264713076</v>
      </c>
      <c r="DS69" s="62">
        <f t="shared" si="71"/>
        <v>777.53862598046408</v>
      </c>
      <c r="DT69" s="62">
        <f ca="1">AVERAGE(OFFSET($DS$3,0,0,'Données projet'!$E$14+1,1))-AVERAGE(OFFSET($H$3,0,0,'Données projet'!$E$14+1,1))</f>
        <v>544.89250424794909</v>
      </c>
      <c r="DU69" s="62">
        <f t="shared" ref="DU69:DU132" si="98">$DU$3</f>
        <v>253.98688498110715</v>
      </c>
      <c r="DV69" s="16">
        <f>IF(ISNA(VLOOKUP(A69,'Données projet'!$A$165:$I$185,3,0)),0,VLOOKUP(A69,'Données projet'!$A$165:$I$185,3,0))</f>
        <v>4</v>
      </c>
      <c r="DW69" s="16">
        <f>IF(ISNA(VLOOKUP(A69,'Données projet'!$A$165:$I$185,4,0)),0,VLOOKUP(A69,'Données projet'!$A$165:$I$185,4,0))</f>
        <v>49.91</v>
      </c>
      <c r="DX69" s="17">
        <f>IF(ISNA(VLOOKUP(A69,'Données projet'!$A$165:$I$185,5,0)),0%,VLOOKUP(A69,'Données projet'!$A$165:$I$185,5,0)*VLOOKUP('Données projet'!$B$14,Paramètres!$A$1:$I$89,7,0))</f>
        <v>0.129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13.293927700184391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13.293927700184391</v>
      </c>
      <c r="EE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>
        <f>VLOOKUP(A69,'Données projet'!$A$191:$I$211,2,0)</f>
        <v>264.95999999999998</v>
      </c>
      <c r="EH69" s="13">
        <f>VLOOKUP(A69,'Données projet'!$A$191:$I$211,9,0)</f>
        <v>9.2524999999999977</v>
      </c>
      <c r="EI69" s="13">
        <f t="array" ref="EI69">INDEX(EH:EH,MIN(IF(ISNUMBER(EH69:EH265),ROW(EH69:EH265),"")))</f>
        <v>9.2524999999999977</v>
      </c>
      <c r="EJ69" s="13">
        <f>IF('Données projet'!$A$192&gt;35,EJ68+EI69-ER68,IF(A69&lt;'Données projet'!$A$192,$EG$205^A69,IF(A69='Données projet'!$A$192,'Données projet'!$B$192,EJ68+EI69-ER68)))</f>
        <v>264.96000000000015</v>
      </c>
      <c r="EK69" s="18">
        <f>EJ69*VLOOKUP('Données projet'!$B$15,Paramètres!$A$1:$I$89,3,0)*VLOOKUP('Données projet'!$B$15,Paramètres!$A$1:$I$89,5,0)</f>
        <v>239.73580800000011</v>
      </c>
      <c r="EL69" s="14">
        <f t="shared" ref="EL69:EL132" si="99">EXP(-1.0587+0.8836*LN(EK69)+0.284)</f>
        <v>58.38268464325516</v>
      </c>
      <c r="EM69" s="22">
        <f t="shared" si="73"/>
        <v>519.22304135366949</v>
      </c>
      <c r="EN69" s="62">
        <f t="shared" si="74"/>
        <v>812.55637468700274</v>
      </c>
      <c r="EO69" s="62">
        <f ca="1">AVERAGE(OFFSET($EN$3,0,0,'Données projet'!$E$15+1,1))-AVERAGE(OFFSET($H$3,0,0,'Données projet'!$E$15+1,1))</f>
        <v>581.88778927327667</v>
      </c>
      <c r="EP69" s="62">
        <f t="shared" ref="EP69:EP132" si="100">$EP$3</f>
        <v>269.67340993773422</v>
      </c>
      <c r="EQ69" s="16">
        <f>IF(ISNA(VLOOKUP(A69,'Données projet'!$A$191:$I$211,3,0)),0,VLOOKUP(A69,'Données projet'!$A$191:$I$211,3,0))</f>
        <v>4</v>
      </c>
      <c r="ER69" s="16">
        <f>IF(ISNA(VLOOKUP(A69,'Données projet'!$A$191:$I$211,4,0)),0,VLOOKUP(A69,'Données projet'!$A$191:$I$211,4,0))</f>
        <v>49.91</v>
      </c>
      <c r="ES69" s="17">
        <f>IF(ISNA(VLOOKUP(A69,'Données projet'!$A$191:$I$211,5,0)),0%,VLOOKUP(A69,'Données projet'!$A$191:$I$211,5,0)*VLOOKUP('Données projet'!$B$15,Paramètres!$A$1:$I$89,7,0))</f>
        <v>0.129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14.278663085383233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14.278663085383233</v>
      </c>
      <c r="EZ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>
        <f>VLOOKUP(A69,'Données projet'!$A$217:$I$237,2,0)</f>
        <v>264.95999999999998</v>
      </c>
      <c r="FC69" s="13">
        <f>VLOOKUP(A69,'Données projet'!$A$217:$I$237,9,0)</f>
        <v>9.2524999999999977</v>
      </c>
      <c r="FD69" s="13">
        <f t="array" ref="FD69">INDEX(FC:FC,MIN(IF(ISNUMBER(FC69:FC265),ROW(FC69:FC265),"")))</f>
        <v>9.2524999999999977</v>
      </c>
      <c r="FE69" s="13">
        <f>IF('Données projet'!$A$218&gt;35,FE68+FD69-FM68,IF(A69&lt;'Données projet'!$A$218,$FB$205^A69,IF(A69='Données projet'!$A$218,'Données projet'!$B$218,FE68+FD69-FM68)))</f>
        <v>264.96000000000015</v>
      </c>
      <c r="FF69" s="18">
        <f>FE69*VLOOKUP('Données projet'!$B$16,Paramètres!$A$1:$I$89,3,0)*VLOOKUP('Données projet'!$B$16,Paramètres!$A$1:$I$89,5,0)</f>
        <v>268.66944000000018</v>
      </c>
      <c r="FG69" s="14">
        <f t="shared" ref="FG69:FG132" si="101">EXP(-1.0587+0.8836*LN(FF69)+0.284)</f>
        <v>64.566809737006352</v>
      </c>
      <c r="FH69" s="22">
        <f t="shared" si="76"/>
        <v>580.38646829195295</v>
      </c>
      <c r="FI69" s="62">
        <f t="shared" si="77"/>
        <v>873.71980162528621</v>
      </c>
      <c r="FJ69" s="62">
        <f ca="1">AVERAGE(OFFSET($FI$3,0,0,'Données projet'!$E$16+1,1))-AVERAGE(OFFSET($H$3,0,0,'Données projet'!$E$16+1,1))</f>
        <v>646.50767193970182</v>
      </c>
      <c r="FK69" s="62">
        <f t="shared" ref="FK69:FK132" si="102">$FK$3</f>
        <v>297.06786598620607</v>
      </c>
      <c r="FL69" s="16">
        <f>IF(ISNA(VLOOKUP(A69,'Données projet'!$A$217:$I$237,3,0)),0,VLOOKUP(A69,'Données projet'!$A$217:$I$237,3,0))</f>
        <v>4</v>
      </c>
      <c r="FM69" s="16">
        <f>IF(ISNA(VLOOKUP(A69,'Données projet'!$A$217:$I$237,4,0)),0,VLOOKUP(A69,'Données projet'!$A$217:$I$237,4,0))</f>
        <v>49.91</v>
      </c>
      <c r="FN69" s="17">
        <f>IF(ISNA(VLOOKUP(A69,'Données projet'!$A$217:$I$237,5,0)),0%,VLOOKUP(A69,'Données projet'!$A$217:$I$237,5,0)*VLOOKUP('Données projet'!$B$16,Paramètres!$A$1:$I$89,7,0))</f>
        <v>0.129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16.001950009481206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16.001950009481206</v>
      </c>
      <c r="FU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>
        <f>VLOOKUP(A69,'Données projet'!$A$243:$I$263,2,0)</f>
        <v>264.95999999999998</v>
      </c>
      <c r="FX69" s="13">
        <f>VLOOKUP(A69,'Données projet'!$A$243:$I$263,9,0)</f>
        <v>9.2524999999999977</v>
      </c>
      <c r="FY69" s="13">
        <f t="array" ref="FY69">INDEX(FX:FX,MIN(IF(ISNUMBER(FX69:FX265),ROW(FX69:FX265),"")))</f>
        <v>9.2524999999999977</v>
      </c>
      <c r="FZ69" s="13">
        <f>IF('Données projet'!$A$244&gt;35,FZ68+FY69-GH68,IF(A69&lt;'Données projet'!$A$244,$FW$205^A69,IF(A69='Données projet'!$A$244,'Données projet'!$B$244,FZ68+FY69-GH68)))</f>
        <v>264.96000000000015</v>
      </c>
      <c r="GA69" s="18">
        <f>FZ69*VLOOKUP('Données projet'!$B$17,Paramètres!$A$1:$I$89,3,0)*VLOOKUP('Données projet'!$B$17,Paramètres!$A$1:$I$89,5,0)</f>
        <v>177.7351680000001</v>
      </c>
      <c r="GB69" s="14">
        <f t="shared" ref="GB69:GB132" si="103">EXP(-1.0587+0.8836*LN(GA69)+0.284)</f>
        <v>44.817932042651918</v>
      </c>
      <c r="GC69" s="22">
        <f t="shared" si="79"/>
        <v>387.61331590761893</v>
      </c>
      <c r="GD69" s="62">
        <f t="shared" si="80"/>
        <v>680.94664924095218</v>
      </c>
      <c r="GE69" s="62">
        <f ca="1">AVERAGE(OFFSET($GD$3,0,0,'Données projet'!$E$17+1,1))-AVERAGE(OFFSET($H$3,0,0,'Données projet'!$E$17+1,1))</f>
        <v>442.85175349826028</v>
      </c>
      <c r="GF69" s="62">
        <f t="shared" ref="GF69:GF132" si="104">$GF$3</f>
        <v>210.70697808232501</v>
      </c>
      <c r="GG69" s="16">
        <f>IF(ISNA(VLOOKUP(A69,'Données projet'!$A$243:$I$263,3,0)),0,VLOOKUP(A69,'Données projet'!$A$243:$I$263,3,0))</f>
        <v>4</v>
      </c>
      <c r="GH69" s="16">
        <f>IF(ISNA(VLOOKUP(A69,'Données projet'!$A$243:$I$263,4,0)),0,VLOOKUP(A69,'Données projet'!$A$243:$I$263,4,0))</f>
        <v>49.91</v>
      </c>
      <c r="GI69" s="17">
        <f>IF(ISNA(VLOOKUP(A69,'Données projet'!$A$243:$I$263,5,0)),0%,VLOOKUP(A69,'Données projet'!$A$243:$I$263,5,0)*VLOOKUP('Données projet'!$B$17,Paramètres!$A$1:$I$89,7,0))</f>
        <v>0.159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13.047743853884676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13.047743853884676</v>
      </c>
      <c r="GP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7</v>
      </c>
      <c r="GU69" s="13">
        <f>IF('Données projet'!$A$270&gt;35,GU68+GT69-HC68,IF(A69&lt;'Données projet'!$A$270,$GR$205^A69,IF(A69='Données projet'!$A$270,'Données projet'!$B$270,GU68+GT69-HC68)))</f>
        <v>234</v>
      </c>
      <c r="GV69" s="18">
        <f>GU69*VLOOKUP('Données projet'!$B$18,Paramètres!$A$1:$I$89,3,0)*VLOOKUP('Données projet'!$B$18,Paramètres!$A$1:$I$89,5,0)</f>
        <v>222.67440000000002</v>
      </c>
      <c r="GW69" s="14">
        <f t="shared" ref="GW69:GW132" si="105">EXP(-1.0587+0.8836*LN(GV69)+0.284)</f>
        <v>54.695743948366477</v>
      </c>
      <c r="GX69" s="22">
        <f t="shared" si="82"/>
        <v>483.08633404340497</v>
      </c>
      <c r="GY69" s="62">
        <f t="shared" si="83"/>
        <v>776.41966737673829</v>
      </c>
      <c r="GZ69" s="62">
        <f ca="1">AVERAGE(OFFSET($GY$3,0,0,'Données projet'!$E$18+1,1))-AVERAGE(OFFSET($H$3,0,0,'Données projet'!$E$18+1,1))</f>
        <v>420.2510366318939</v>
      </c>
      <c r="HA69" s="62">
        <f t="shared" ref="HA69:HA132" si="106">$HA$3</f>
        <v>220.59884411514116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21.620795224530706</v>
      </c>
      <c r="HH69" s="23">
        <f>EXP(-LN(2)/25)*HH68+(1-EXP(-LN(2)/25))/(LN(2)/25)*Calculateur!HC69*Calculateur!HE69*VLOOKUP('Données projet'!$B$18,Paramètres!$A$1:$I$89,3,0)*0.475*44/12</f>
        <v>0</v>
      </c>
      <c r="HI69" s="23">
        <f>EXP(-LN(2)/2)*HI68+(1-EXP(-LN(2)/2))/(LN(2)/2)*HC69*HF69*VLOOKUP('Données projet'!$B$18,Paramètres!$A$1:$I$89,3,0)*0.475*44/12</f>
        <v>0</v>
      </c>
      <c r="HJ69" s="24">
        <f t="shared" si="84"/>
        <v>21.620795224530706</v>
      </c>
    </row>
    <row r="70" spans="1:218" s="5" customFormat="1" x14ac:dyDescent="0.2">
      <c r="A70" s="11">
        <f t="shared" si="85"/>
        <v>67</v>
      </c>
      <c r="B70" s="74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11.25925925925926</v>
      </c>
      <c r="N70" s="14">
        <f>IF('Données projet'!$A$36&gt;35,N69+M70-V69,IF(A70&lt;'Données projet'!$A$36,$K$205^A70,IF(A70='Données projet'!$A$36,'Données projet'!$B$36,N69+M70-V69)))</f>
        <v>446.03703703703707</v>
      </c>
      <c r="O70" s="14">
        <f>N70*VLOOKUP('Données projet'!$B$9,Paramètres!$A$1:$I$89,3,0)*VLOOKUP('Données projet'!$B$9,Paramètres!$A$1:$I$89,5,0)</f>
        <v>382.69977777777785</v>
      </c>
      <c r="P70" s="14">
        <f t="shared" si="87"/>
        <v>88.260336574104286</v>
      </c>
      <c r="Q70" s="22">
        <f t="shared" si="54"/>
        <v>820.25553249619463</v>
      </c>
      <c r="R70" s="62">
        <f t="shared" si="55"/>
        <v>1113.588865829528</v>
      </c>
      <c r="S70" s="62">
        <f ca="1">AVERAGE(OFFSET($R$3,0,0,'Données projet'!$E$9+1,1))-AVERAGE(OFFSET($H$3,0,0,'Données projet'!$E$9+1,1))</f>
        <v>623.31285537237943</v>
      </c>
      <c r="T70" s="62">
        <f t="shared" si="88"/>
        <v>462.33909258902241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93.735787900043846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93.735787900043846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4.5999999999999996</v>
      </c>
      <c r="AI70" s="14">
        <f>IF('Données projet'!$A$62&gt;35,AI69+AH70-AQ69,IF(A70&lt;'Données projet'!$A$62,$AF$205^A70,IF(A70='Données projet'!$A$62,'Données projet'!$B$62,AI69+AH70-AQ69)))</f>
        <v>302.19999999999993</v>
      </c>
      <c r="AJ70" s="14">
        <f>AI70*VLOOKUP('Données projet'!$B$10,Paramètres!$A$1:$I$89,3,0)*VLOOKUP('Données projet'!$B$10,Paramètres!$A$1:$I$89,5,0)</f>
        <v>264.00191999999998</v>
      </c>
      <c r="AK70" s="14">
        <f t="shared" si="89"/>
        <v>63.574665748345318</v>
      </c>
      <c r="AL70" s="22">
        <f t="shared" si="58"/>
        <v>570.52922017836806</v>
      </c>
      <c r="AM70" s="62">
        <f t="shared" si="59"/>
        <v>863.86255351170144</v>
      </c>
      <c r="AN70" s="62">
        <f ca="1">AVERAGE(OFFSET($AM$3,0,0,'Données projet'!$E$10+1,1))-AVERAGE(OFFSET($H$3,0,0,'Données projet'!$E$10+1,1))</f>
        <v>390.70479111593545</v>
      </c>
      <c r="AO70" s="62">
        <f t="shared" si="90"/>
        <v>374.99493809709708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27.539636782743464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27.539636782743464</v>
      </c>
      <c r="AY70" s="7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4.5999999999999996</v>
      </c>
      <c r="BD70" s="13">
        <f>IF('Données projet'!$A$88&gt;35,BD69+BC70-BL69,IF(A70&lt;'Données projet'!$A$88,$BA$205^A70,IF(A70='Données projet'!$A$88,'Données projet'!$B$88,BD69+BC70-BL69)))</f>
        <v>302.19999999999993</v>
      </c>
      <c r="BE70" s="14">
        <f>BD70*VLOOKUP('Données projet'!$B$11,Paramètres!$A$1:$I$89,3,0)*VLOOKUP('Données projet'!$B$11,Paramètres!$A$1:$I$89,5,0)</f>
        <v>240.43031999999994</v>
      </c>
      <c r="BF70" s="14">
        <f t="shared" si="91"/>
        <v>58.532106271380506</v>
      </c>
      <c r="BG70" s="22">
        <f t="shared" si="61"/>
        <v>520.69289242265415</v>
      </c>
      <c r="BH70" s="62">
        <f t="shared" si="62"/>
        <v>814.02622575598753</v>
      </c>
      <c r="BI70" s="62">
        <f ca="1">AVERAGE(OFFSET($BH$3,0,0,'Données projet'!$E$11+1,1))-AVERAGE(OFFSET($H$3,0,0,'Données projet'!$E$11+1,1))</f>
        <v>359.18294335011535</v>
      </c>
      <c r="BJ70" s="62">
        <f t="shared" si="92"/>
        <v>345.47508134331241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25.080740641427084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25.080740641427084</v>
      </c>
      <c r="BT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4.5999999999999996</v>
      </c>
      <c r="BY70" s="13">
        <f>IF('Données projet'!$A$114&gt;35,BY69+BX70-CG69,IF(A70&lt;'Données projet'!$A$114,$BV$205^A70,IF(A70='Données projet'!$A$114,'Données projet'!$B$114,BY69+BX70-CG69)))</f>
        <v>302.19999999999993</v>
      </c>
      <c r="BZ70" s="14">
        <f>BY70*VLOOKUP('Données projet'!$B$12,Paramètres!$A$1:$I$89,3,0)*VLOOKUP('Données projet'!$B$12,Paramètres!$A$1:$I$89,5,0)</f>
        <v>221.57303999999996</v>
      </c>
      <c r="CA70" s="14">
        <f t="shared" si="93"/>
        <v>54.456636294321989</v>
      </c>
      <c r="CB70" s="22">
        <f t="shared" si="64"/>
        <v>480.75168621261076</v>
      </c>
      <c r="CC70" s="62">
        <f t="shared" si="65"/>
        <v>774.08501954594408</v>
      </c>
      <c r="CD70" s="62">
        <f ca="1">AVERAGE(OFFSET($CC$3,0,0,'Données projet'!$E$12+1,1))-AVERAGE(OFFSET($H$3,0,0,'Données projet'!$E$12+1,1))</f>
        <v>333.9187211440219</v>
      </c>
      <c r="CE70" s="62">
        <f t="shared" si="94"/>
        <v>321.81422611044997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18.7525626475487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18.7525626475487</v>
      </c>
      <c r="CO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4.5999999999999996</v>
      </c>
      <c r="CT70" s="13">
        <f>IF('Données projet'!$A$140&gt;35,CT69+CS70-DB69,IF(A70&lt;'Données projet'!$A$140,$CQ$205^A70,IF(A70='Données projet'!$A$140,'Données projet'!$B$140,CT69+CS70-DB69)))</f>
        <v>302.19999999999993</v>
      </c>
      <c r="CU70" s="18">
        <f>CT70*VLOOKUP('Données projet'!$B$13,Paramètres!$A$1:$I$89,3,0)*VLOOKUP('Données projet'!$B$13,Paramètres!$A$1:$I$89,5,0)</f>
        <v>245.14463999999998</v>
      </c>
      <c r="CV70" s="14">
        <f t="shared" si="95"/>
        <v>59.545054798309039</v>
      </c>
      <c r="CW70" s="22">
        <f t="shared" si="67"/>
        <v>530.66788510705487</v>
      </c>
      <c r="CX70" s="62">
        <f t="shared" si="68"/>
        <v>824.00121844038813</v>
      </c>
      <c r="CY70" s="62">
        <f ca="1">AVERAGE(OFFSET($CX$3,0,0,'Données projet'!$E$13+1,1))-AVERAGE(OFFSET($H$3,0,0,'Données projet'!$E$13+1,1))</f>
        <v>365.492319515595</v>
      </c>
      <c r="CZ70" s="62">
        <f t="shared" si="96"/>
        <v>351.38386928091433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20.747516120692175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20.747516120692175</v>
      </c>
      <c r="DJ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8.8662500000000044</v>
      </c>
      <c r="DO70" s="13">
        <f>IF('Données projet'!$A$166&gt;35,DO69+DN70-DW69,IF(A70&lt;'Données projet'!$A$166,$DL$205^A70,IF(A70='Données projet'!$A$166,'Données projet'!$B$166,DO69+DN70-DW69)))</f>
        <v>223.91625000000013</v>
      </c>
      <c r="DP70" s="18">
        <f>DO70*VLOOKUP('Données projet'!$B$14,Paramètres!$A$1:$I$89,3,0)*VLOOKUP('Données projet'!$B$14,Paramètres!$A$1:$I$89,5,0)</f>
        <v>188.62704900000011</v>
      </c>
      <c r="DQ70" s="14">
        <f t="shared" si="97"/>
        <v>47.236284878258623</v>
      </c>
      <c r="DR70" s="22">
        <f t="shared" si="70"/>
        <v>410.79530650463397</v>
      </c>
      <c r="DS70" s="62">
        <f t="shared" si="71"/>
        <v>704.12863983796728</v>
      </c>
      <c r="DT70" s="62">
        <f ca="1">AVERAGE(OFFSET($DS$3,0,0,'Données projet'!$E$14+1,1))-AVERAGE(OFFSET($H$3,0,0,'Données projet'!$E$14+1,1))</f>
        <v>544.89250424794909</v>
      </c>
      <c r="DU70" s="62">
        <f t="shared" si="98"/>
        <v>253.98688498110715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13.033241886479024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13.033241886479024</v>
      </c>
      <c r="EE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8.8662500000000044</v>
      </c>
      <c r="EJ70" s="13">
        <f>IF('Données projet'!$A$192&gt;35,EJ69+EI70-ER69,IF(A70&lt;'Données projet'!$A$192,$EG$205^A70,IF(A70='Données projet'!$A$192,'Données projet'!$B$192,EJ69+EI70-ER69)))</f>
        <v>223.91625000000013</v>
      </c>
      <c r="EK70" s="18">
        <f>EJ70*VLOOKUP('Données projet'!$B$15,Paramètres!$A$1:$I$89,3,0)*VLOOKUP('Données projet'!$B$15,Paramètres!$A$1:$I$89,5,0)</f>
        <v>202.59942300000012</v>
      </c>
      <c r="EL70" s="14">
        <f t="shared" si="99"/>
        <v>50.315012169520465</v>
      </c>
      <c r="EM70" s="22">
        <f t="shared" si="73"/>
        <v>440.49264125358167</v>
      </c>
      <c r="EN70" s="62">
        <f t="shared" si="74"/>
        <v>733.82597458691498</v>
      </c>
      <c r="EO70" s="62">
        <f ca="1">AVERAGE(OFFSET($EN$3,0,0,'Données projet'!$E$15+1,1))-AVERAGE(OFFSET($H$3,0,0,'Données projet'!$E$15+1,1))</f>
        <v>581.88778927327667</v>
      </c>
      <c r="EP70" s="62">
        <f t="shared" si="100"/>
        <v>269.67340993773422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13.998667211403395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13.998667211403395</v>
      </c>
      <c r="EZ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8.8662500000000044</v>
      </c>
      <c r="FE70" s="13">
        <f>IF('Données projet'!$A$218&gt;35,FE69+FD70-FM69,IF(A70&lt;'Données projet'!$A$218,$FB$205^A70,IF(A70='Données projet'!$A$218,'Données projet'!$B$218,FE69+FD70-FM69)))</f>
        <v>223.91625000000013</v>
      </c>
      <c r="FF70" s="18">
        <f>FE70*VLOOKUP('Données projet'!$B$16,Paramètres!$A$1:$I$89,3,0)*VLOOKUP('Données projet'!$B$16,Paramètres!$A$1:$I$89,5,0)</f>
        <v>227.05107750000016</v>
      </c>
      <c r="FG70" s="14">
        <f t="shared" si="101"/>
        <v>55.644577455036639</v>
      </c>
      <c r="FH70" s="22">
        <f t="shared" si="76"/>
        <v>492.36159904668904</v>
      </c>
      <c r="FI70" s="62">
        <f t="shared" si="77"/>
        <v>785.69493238002235</v>
      </c>
      <c r="FJ70" s="62">
        <f ca="1">AVERAGE(OFFSET($FI$3,0,0,'Données projet'!$E$16+1,1))-AVERAGE(OFFSET($H$3,0,0,'Données projet'!$E$16+1,1))</f>
        <v>646.50767193970182</v>
      </c>
      <c r="FK70" s="62">
        <f t="shared" si="102"/>
        <v>297.06786598620607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15.688161530021043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15.688161530021043</v>
      </c>
      <c r="FU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8.8662500000000044</v>
      </c>
      <c r="FZ70" s="13">
        <f>IF('Données projet'!$A$244&gt;35,FZ69+FY70-GH69,IF(A70&lt;'Données projet'!$A$244,$FW$205^A70,IF(A70='Données projet'!$A$244,'Données projet'!$B$244,FZ69+FY70-GH69)))</f>
        <v>223.91625000000013</v>
      </c>
      <c r="GA70" s="18">
        <f>FZ70*VLOOKUP('Données projet'!$B$17,Paramètres!$A$1:$I$89,3,0)*VLOOKUP('Données projet'!$B$17,Paramètres!$A$1:$I$89,5,0)</f>
        <v>150.20302050000009</v>
      </c>
      <c r="GB70" s="14">
        <f t="shared" si="103"/>
        <v>38.624719125506878</v>
      </c>
      <c r="GC70" s="22">
        <f t="shared" si="79"/>
        <v>328.87497984775797</v>
      </c>
      <c r="GD70" s="62">
        <f t="shared" si="80"/>
        <v>622.20831318109128</v>
      </c>
      <c r="GE70" s="62">
        <f ca="1">AVERAGE(OFFSET($GD$3,0,0,'Données projet'!$E$17+1,1))-AVERAGE(OFFSET($H$3,0,0,'Données projet'!$E$17+1,1))</f>
        <v>442.85175349826028</v>
      </c>
      <c r="GF70" s="62">
        <f t="shared" si="104"/>
        <v>210.70697808232501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12.791885555247926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12.791885555247926</v>
      </c>
      <c r="GP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7</v>
      </c>
      <c r="GU70" s="13">
        <f>IF('Données projet'!$A$270&gt;35,GU69+GT70-HC69,IF(A70&lt;'Données projet'!$A$270,$GR$205^A70,IF(A70='Données projet'!$A$270,'Données projet'!$B$270,GU69+GT70-HC69)))</f>
        <v>241</v>
      </c>
      <c r="GV70" s="18">
        <f>GU70*VLOOKUP('Données projet'!$B$18,Paramètres!$A$1:$I$89,3,0)*VLOOKUP('Données projet'!$B$18,Paramètres!$A$1:$I$89,5,0)</f>
        <v>229.3356</v>
      </c>
      <c r="GW70" s="14">
        <f t="shared" si="105"/>
        <v>56.138998539243907</v>
      </c>
      <c r="GX70" s="22">
        <f t="shared" si="82"/>
        <v>497.20159245584978</v>
      </c>
      <c r="GY70" s="62">
        <f t="shared" si="83"/>
        <v>790.53492578918303</v>
      </c>
      <c r="GZ70" s="62">
        <f ca="1">AVERAGE(OFFSET($GY$3,0,0,'Données projet'!$E$18+1,1))-AVERAGE(OFFSET($H$3,0,0,'Données projet'!$E$18+1,1))</f>
        <v>420.2510366318939</v>
      </c>
      <c r="HA70" s="62">
        <f t="shared" si="106"/>
        <v>220.59884411514116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21.196824617560601</v>
      </c>
      <c r="HH70" s="23">
        <f>EXP(-LN(2)/25)*HH69+(1-EXP(-LN(2)/25))/(LN(2)/25)*Calculateur!HC70*Calculateur!HE70*VLOOKUP('Données projet'!$B$18,Paramètres!$A$1:$I$89,3,0)*0.475*44/12</f>
        <v>0</v>
      </c>
      <c r="HI70" s="23">
        <f>EXP(-LN(2)/2)*HI69+(1-EXP(-LN(2)/2))/(LN(2)/2)*HC70*HF70*VLOOKUP('Données projet'!$B$18,Paramètres!$A$1:$I$89,3,0)*0.475*44/12</f>
        <v>0</v>
      </c>
      <c r="HJ70" s="24">
        <f t="shared" si="84"/>
        <v>21.196824617560601</v>
      </c>
    </row>
    <row r="71" spans="1:218" s="5" customFormat="1" x14ac:dyDescent="0.2">
      <c r="A71" s="11">
        <f t="shared" si="85"/>
        <v>68</v>
      </c>
      <c r="B71" s="74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11.25925925925926</v>
      </c>
      <c r="N71" s="14">
        <f>IF('Données projet'!$A$36&gt;35,N70+M71-V70,IF(A71&lt;'Données projet'!$A$36,$K$205^A71,IF(A71='Données projet'!$A$36,'Données projet'!$B$36,N70+M71-V70)))</f>
        <v>457.2962962962963</v>
      </c>
      <c r="O71" s="14">
        <f>N71*VLOOKUP('Données projet'!$B$9,Paramètres!$A$1:$I$89,3,0)*VLOOKUP('Données projet'!$B$9,Paramètres!$A$1:$I$89,5,0)</f>
        <v>392.36022222222232</v>
      </c>
      <c r="P71" s="14">
        <f t="shared" si="87"/>
        <v>90.226083478788951</v>
      </c>
      <c r="Q71" s="22">
        <f t="shared" si="54"/>
        <v>840.5044824292612</v>
      </c>
      <c r="R71" s="62">
        <f t="shared" si="55"/>
        <v>1133.8378157625946</v>
      </c>
      <c r="S71" s="62">
        <f ca="1">AVERAGE(OFFSET($R$3,0,0,'Données projet'!$E$9+1,1))-AVERAGE(OFFSET($H$3,0,0,'Données projet'!$E$9+1,1))</f>
        <v>623.31285537237943</v>
      </c>
      <c r="T71" s="62">
        <f t="shared" si="88"/>
        <v>462.33909258902241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91.897686272509219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91.897686272509219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4.5999999999999996</v>
      </c>
      <c r="AI71" s="14">
        <f>IF('Données projet'!$A$62&gt;35,AI70+AH71-AQ70,IF(A71&lt;'Données projet'!$A$62,$AF$205^A71,IF(A71='Données projet'!$A$62,'Données projet'!$B$62,AI70+AH71-AQ70)))</f>
        <v>306.79999999999995</v>
      </c>
      <c r="AJ71" s="14">
        <f>AI71*VLOOKUP('Données projet'!$B$10,Paramètres!$A$1:$I$89,3,0)*VLOOKUP('Données projet'!$B$10,Paramètres!$A$1:$I$89,5,0)</f>
        <v>268.02048000000002</v>
      </c>
      <c r="AK71" s="14">
        <f t="shared" si="89"/>
        <v>64.42898543616613</v>
      </c>
      <c r="AL71" s="22">
        <f t="shared" si="58"/>
        <v>579.01615230132279</v>
      </c>
      <c r="AM71" s="62">
        <f t="shared" si="59"/>
        <v>872.34948563465605</v>
      </c>
      <c r="AN71" s="62">
        <f ca="1">AVERAGE(OFFSET($AM$3,0,0,'Données projet'!$E$10+1,1))-AVERAGE(OFFSET($H$3,0,0,'Données projet'!$E$10+1,1))</f>
        <v>390.70479111593545</v>
      </c>
      <c r="AO71" s="62">
        <f t="shared" si="90"/>
        <v>374.99493809709708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26.999601302953685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26.999601302953685</v>
      </c>
      <c r="AY71" s="7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4.5999999999999996</v>
      </c>
      <c r="BD71" s="13">
        <f>IF('Données projet'!$A$88&gt;35,BD70+BC71-BL70,IF(A71&lt;'Données projet'!$A$88,$BA$205^A71,IF(A71='Données projet'!$A$88,'Données projet'!$B$88,BD70+BC71-BL70)))</f>
        <v>306.79999999999995</v>
      </c>
      <c r="BE71" s="14">
        <f>BD71*VLOOKUP('Données projet'!$B$11,Paramètres!$A$1:$I$89,3,0)*VLOOKUP('Données projet'!$B$11,Paramètres!$A$1:$I$89,5,0)</f>
        <v>244.09008</v>
      </c>
      <c r="BF71" s="14">
        <f t="shared" si="91"/>
        <v>59.318663780863943</v>
      </c>
      <c r="BG71" s="22">
        <f t="shared" si="61"/>
        <v>528.43689541833794</v>
      </c>
      <c r="BH71" s="62">
        <f t="shared" si="62"/>
        <v>821.77022875167131</v>
      </c>
      <c r="BI71" s="62">
        <f ca="1">AVERAGE(OFFSET($BH$3,0,0,'Données projet'!$E$11+1,1))-AVERAGE(OFFSET($H$3,0,0,'Données projet'!$E$11+1,1))</f>
        <v>359.18294335011535</v>
      </c>
      <c r="BJ71" s="62">
        <f t="shared" si="92"/>
        <v>345.47508134331241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24.588922615189965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24.588922615189965</v>
      </c>
      <c r="BT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4.5999999999999996</v>
      </c>
      <c r="BY71" s="13">
        <f>IF('Données projet'!$A$114&gt;35,BY70+BX71-CG70,IF(A71&lt;'Données projet'!$A$114,$BV$205^A71,IF(A71='Données projet'!$A$114,'Données projet'!$B$114,BY70+BX71-CG70)))</f>
        <v>306.79999999999995</v>
      </c>
      <c r="BZ71" s="14">
        <f>BY71*VLOOKUP('Données projet'!$B$12,Paramètres!$A$1:$I$89,3,0)*VLOOKUP('Données projet'!$B$12,Paramètres!$A$1:$I$89,5,0)</f>
        <v>224.94575999999995</v>
      </c>
      <c r="CA71" s="14">
        <f t="shared" si="93"/>
        <v>55.188427424815572</v>
      </c>
      <c r="CB71" s="22">
        <f t="shared" si="64"/>
        <v>487.9003764315537</v>
      </c>
      <c r="CC71" s="62">
        <f t="shared" si="65"/>
        <v>781.23370976488695</v>
      </c>
      <c r="CD71" s="62">
        <f ca="1">AVERAGE(OFFSET($CC$3,0,0,'Données projet'!$E$12+1,1))-AVERAGE(OFFSET($H$3,0,0,'Données projet'!$E$12+1,1))</f>
        <v>333.9187211440219</v>
      </c>
      <c r="CE71" s="62">
        <f t="shared" si="94"/>
        <v>321.81422611044997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18.384836331964085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18.384836331964085</v>
      </c>
      <c r="CO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4.5999999999999996</v>
      </c>
      <c r="CT71" s="13">
        <f>IF('Données projet'!$A$140&gt;35,CT70+CS71-DB70,IF(A71&lt;'Données projet'!$A$140,$CQ$205^A71,IF(A71='Données projet'!$A$140,'Données projet'!$B$140,CT70+CS71-DB70)))</f>
        <v>306.79999999999995</v>
      </c>
      <c r="CU71" s="18">
        <f>CT71*VLOOKUP('Données projet'!$B$13,Paramètres!$A$1:$I$89,3,0)*VLOOKUP('Données projet'!$B$13,Paramètres!$A$1:$I$89,5,0)</f>
        <v>248.87615999999997</v>
      </c>
      <c r="CV71" s="14">
        <f t="shared" si="95"/>
        <v>60.345224363146883</v>
      </c>
      <c r="CW71" s="22">
        <f t="shared" si="67"/>
        <v>538.56057776581406</v>
      </c>
      <c r="CX71" s="62">
        <f t="shared" si="68"/>
        <v>831.89391109914732</v>
      </c>
      <c r="CY71" s="62">
        <f ca="1">AVERAGE(OFFSET($CX$3,0,0,'Données projet'!$E$13+1,1))-AVERAGE(OFFSET($H$3,0,0,'Données projet'!$E$13+1,1))</f>
        <v>365.492319515595</v>
      </c>
      <c r="CZ71" s="62">
        <f t="shared" si="96"/>
        <v>351.38386928091433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20.340669984300686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20.340669984300686</v>
      </c>
      <c r="DJ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8.8662500000000044</v>
      </c>
      <c r="DO71" s="13">
        <f>IF('Données projet'!$A$166&gt;35,DO70+DN71-DW70,IF(A71&lt;'Données projet'!$A$166,$DL$205^A71,IF(A71='Données projet'!$A$166,'Données projet'!$B$166,DO70+DN71-DW70)))</f>
        <v>232.78250000000014</v>
      </c>
      <c r="DP71" s="18">
        <f>DO71*VLOOKUP('Données projet'!$B$14,Paramètres!$A$1:$I$89,3,0)*VLOOKUP('Données projet'!$B$14,Paramètres!$A$1:$I$89,5,0)</f>
        <v>196.09597800000014</v>
      </c>
      <c r="DQ71" s="14">
        <f t="shared" si="97"/>
        <v>48.885199965852387</v>
      </c>
      <c r="DR71" s="22">
        <f t="shared" si="70"/>
        <v>426.6755516238598</v>
      </c>
      <c r="DS71" s="62">
        <f t="shared" si="71"/>
        <v>720.00888495719312</v>
      </c>
      <c r="DT71" s="62">
        <f ca="1">AVERAGE(OFFSET($DS$3,0,0,'Données projet'!$E$14+1,1))-AVERAGE(OFFSET($H$3,0,0,'Données projet'!$E$14+1,1))</f>
        <v>544.89250424794909</v>
      </c>
      <c r="DU71" s="62">
        <f t="shared" si="98"/>
        <v>253.98688498110715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12.777667962577773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12.777667962577773</v>
      </c>
      <c r="EE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8.8662500000000044</v>
      </c>
      <c r="EJ71" s="13">
        <f>IF('Données projet'!$A$192&gt;35,EJ70+EI71-ER70,IF(A71&lt;'Données projet'!$A$192,$EG$205^A71,IF(A71='Données projet'!$A$192,'Données projet'!$B$192,EJ70+EI71-ER70)))</f>
        <v>232.78250000000014</v>
      </c>
      <c r="EK71" s="18">
        <f>EJ71*VLOOKUP('Données projet'!$B$15,Paramètres!$A$1:$I$89,3,0)*VLOOKUP('Données projet'!$B$15,Paramètres!$A$1:$I$89,5,0)</f>
        <v>210.62160600000013</v>
      </c>
      <c r="EL71" s="14">
        <f t="shared" si="99"/>
        <v>52.071398873356536</v>
      </c>
      <c r="EM71" s="22">
        <f t="shared" si="73"/>
        <v>457.5236501544295</v>
      </c>
      <c r="EN71" s="62">
        <f t="shared" si="74"/>
        <v>750.85698348776282</v>
      </c>
      <c r="EO71" s="62">
        <f ca="1">AVERAGE(OFFSET($EN$3,0,0,'Données projet'!$E$15+1,1))-AVERAGE(OFFSET($H$3,0,0,'Données projet'!$E$15+1,1))</f>
        <v>581.88778927327667</v>
      </c>
      <c r="EP71" s="62">
        <f t="shared" si="100"/>
        <v>269.67340993773422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13.724161885731682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13.724161885731682</v>
      </c>
      <c r="EZ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8.8662500000000044</v>
      </c>
      <c r="FE71" s="13">
        <f>IF('Données projet'!$A$218&gt;35,FE70+FD71-FM70,IF(A71&lt;'Données projet'!$A$218,$FB$205^A71,IF(A71='Données projet'!$A$218,'Données projet'!$B$218,FE70+FD71-FM70)))</f>
        <v>232.78250000000014</v>
      </c>
      <c r="FF71" s="18">
        <f>FE71*VLOOKUP('Données projet'!$B$16,Paramètres!$A$1:$I$89,3,0)*VLOOKUP('Données projet'!$B$16,Paramètres!$A$1:$I$89,5,0)</f>
        <v>236.04145500000016</v>
      </c>
      <c r="FG71" s="14">
        <f t="shared" si="101"/>
        <v>57.587007592056594</v>
      </c>
      <c r="FH71" s="22">
        <f t="shared" si="76"/>
        <v>511.40290568116535</v>
      </c>
      <c r="FI71" s="62">
        <f t="shared" si="77"/>
        <v>804.73623901449866</v>
      </c>
      <c r="FJ71" s="62">
        <f ca="1">AVERAGE(OFFSET($FI$3,0,0,'Données projet'!$E$16+1,1))-AVERAGE(OFFSET($H$3,0,0,'Données projet'!$E$16+1,1))</f>
        <v>646.50767193970182</v>
      </c>
      <c r="FK71" s="62">
        <f t="shared" si="102"/>
        <v>297.06786598620607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15.38052625125102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15.38052625125102</v>
      </c>
      <c r="FU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8.8662500000000044</v>
      </c>
      <c r="FZ71" s="13">
        <f>IF('Données projet'!$A$244&gt;35,FZ70+FY71-GH70,IF(A71&lt;'Données projet'!$A$244,$FW$205^A71,IF(A71='Données projet'!$A$244,'Données projet'!$B$244,FZ70+FY71-GH70)))</f>
        <v>232.78250000000014</v>
      </c>
      <c r="GA71" s="18">
        <f>FZ71*VLOOKUP('Données projet'!$B$17,Paramètres!$A$1:$I$89,3,0)*VLOOKUP('Données projet'!$B$17,Paramètres!$A$1:$I$89,5,0)</f>
        <v>156.15050100000011</v>
      </c>
      <c r="GB71" s="14">
        <f t="shared" si="103"/>
        <v>39.973023343001209</v>
      </c>
      <c r="GC71" s="22">
        <f t="shared" si="79"/>
        <v>341.58180489739397</v>
      </c>
      <c r="GD71" s="62">
        <f t="shared" si="80"/>
        <v>634.91513823072728</v>
      </c>
      <c r="GE71" s="62">
        <f ca="1">AVERAGE(OFFSET($GD$3,0,0,'Données projet'!$E$17+1,1))-AVERAGE(OFFSET($H$3,0,0,'Données projet'!$E$17+1,1))</f>
        <v>442.85175349826028</v>
      </c>
      <c r="GF71" s="62">
        <f t="shared" si="104"/>
        <v>210.70697808232501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12.541044481789292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12.541044481789292</v>
      </c>
      <c r="GP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7</v>
      </c>
      <c r="GU71" s="13">
        <f>IF('Données projet'!$A$270&gt;35,GU70+GT71-HC70,IF(A71&lt;'Données projet'!$A$270,$GR$205^A71,IF(A71='Données projet'!$A$270,'Données projet'!$B$270,GU70+GT71-HC70)))</f>
        <v>248</v>
      </c>
      <c r="GV71" s="18">
        <f>GU71*VLOOKUP('Données projet'!$B$18,Paramètres!$A$1:$I$89,3,0)*VLOOKUP('Données projet'!$B$18,Paramètres!$A$1:$I$89,5,0)</f>
        <v>235.99680000000001</v>
      </c>
      <c r="GW71" s="14">
        <f t="shared" si="105"/>
        <v>57.577381127598372</v>
      </c>
      <c r="GX71" s="22">
        <f t="shared" si="82"/>
        <v>511.30836546390043</v>
      </c>
      <c r="GY71" s="62">
        <f t="shared" si="83"/>
        <v>804.64169879723374</v>
      </c>
      <c r="GZ71" s="62">
        <f ca="1">AVERAGE(OFFSET($GY$3,0,0,'Données projet'!$E$18+1,1))-AVERAGE(OFFSET($H$3,0,0,'Données projet'!$E$18+1,1))</f>
        <v>420.2510366318939</v>
      </c>
      <c r="HA71" s="62">
        <f t="shared" si="106"/>
        <v>220.59884411514116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20.781167815596643</v>
      </c>
      <c r="HH71" s="23">
        <f>EXP(-LN(2)/25)*HH70+(1-EXP(-LN(2)/25))/(LN(2)/25)*Calculateur!HC71*Calculateur!HE71*VLOOKUP('Données projet'!$B$18,Paramètres!$A$1:$I$89,3,0)*0.475*44/12</f>
        <v>0</v>
      </c>
      <c r="HI71" s="23">
        <f>EXP(-LN(2)/2)*HI70+(1-EXP(-LN(2)/2))/(LN(2)/2)*HC71*HF71*VLOOKUP('Données projet'!$B$18,Paramètres!$A$1:$I$89,3,0)*0.475*44/12</f>
        <v>0</v>
      </c>
      <c r="HJ71" s="24">
        <f t="shared" si="84"/>
        <v>20.781167815596643</v>
      </c>
    </row>
    <row r="72" spans="1:218" s="5" customFormat="1" x14ac:dyDescent="0.2">
      <c r="A72" s="11">
        <f t="shared" si="85"/>
        <v>69</v>
      </c>
      <c r="B72" s="74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11.25925925925926</v>
      </c>
      <c r="N72" s="14">
        <f>IF('Données projet'!$A$36&gt;35,N71+M72-V71,IF(A72&lt;'Données projet'!$A$36,$K$205^A72,IF(A72='Données projet'!$A$36,'Données projet'!$B$36,N71+M72-V71)))</f>
        <v>468.55555555555554</v>
      </c>
      <c r="O72" s="14">
        <f>N72*VLOOKUP('Données projet'!$B$9,Paramètres!$A$1:$I$89,3,0)*VLOOKUP('Données projet'!$B$9,Paramètres!$A$1:$I$89,5,0)</f>
        <v>402.02066666666673</v>
      </c>
      <c r="P72" s="14">
        <f t="shared" si="87"/>
        <v>92.186204160854714</v>
      </c>
      <c r="Q72" s="22">
        <f t="shared" si="54"/>
        <v>860.74363335793316</v>
      </c>
      <c r="R72" s="62">
        <f t="shared" si="55"/>
        <v>1154.0769666912665</v>
      </c>
      <c r="S72" s="62">
        <f ca="1">AVERAGE(OFFSET($R$3,0,0,'Données projet'!$E$9+1,1))-AVERAGE(OFFSET($H$3,0,0,'Données projet'!$E$9+1,1))</f>
        <v>623.31285537237943</v>
      </c>
      <c r="T72" s="62">
        <f t="shared" si="88"/>
        <v>462.33909258902241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90.095628696759263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90.095628696759263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4.5999999999999996</v>
      </c>
      <c r="AI72" s="14">
        <f>IF('Données projet'!$A$62&gt;35,AI71+AH72-AQ71,IF(A72&lt;'Données projet'!$A$62,$AF$205^A72,IF(A72='Données projet'!$A$62,'Données projet'!$B$62,AI71+AH72-AQ71)))</f>
        <v>311.39999999999998</v>
      </c>
      <c r="AJ72" s="14">
        <f>AI72*VLOOKUP('Données projet'!$B$10,Paramètres!$A$1:$I$89,3,0)*VLOOKUP('Données projet'!$B$10,Paramètres!$A$1:$I$89,5,0)</f>
        <v>272.03904000000006</v>
      </c>
      <c r="AK72" s="14">
        <f t="shared" si="89"/>
        <v>65.281815371368268</v>
      </c>
      <c r="AL72" s="22">
        <f t="shared" si="58"/>
        <v>587.50048977179983</v>
      </c>
      <c r="AM72" s="62">
        <f t="shared" si="59"/>
        <v>880.83382310513321</v>
      </c>
      <c r="AN72" s="62">
        <f ca="1">AVERAGE(OFFSET($AM$3,0,0,'Données projet'!$E$10+1,1))-AVERAGE(OFFSET($H$3,0,0,'Données projet'!$E$10+1,1))</f>
        <v>390.70479111593545</v>
      </c>
      <c r="AO72" s="62">
        <f t="shared" si="90"/>
        <v>374.99493809709708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26.470155589533466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26.470155589533466</v>
      </c>
      <c r="AY72" s="7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4.5999999999999996</v>
      </c>
      <c r="BD72" s="13">
        <f>IF('Données projet'!$A$88&gt;35,BD71+BC72-BL71,IF(A72&lt;'Données projet'!$A$88,$BA$205^A72,IF(A72='Données projet'!$A$88,'Données projet'!$B$88,BD71+BC72-BL71)))</f>
        <v>311.39999999999998</v>
      </c>
      <c r="BE72" s="14">
        <f>BD72*VLOOKUP('Données projet'!$B$11,Paramètres!$A$1:$I$89,3,0)*VLOOKUP('Données projet'!$B$11,Paramètres!$A$1:$I$89,5,0)</f>
        <v>247.74984000000001</v>
      </c>
      <c r="BF72" s="14">
        <f t="shared" si="91"/>
        <v>60.103849700617928</v>
      </c>
      <c r="BG72" s="22">
        <f t="shared" si="61"/>
        <v>536.17850956190955</v>
      </c>
      <c r="BH72" s="62">
        <f t="shared" si="62"/>
        <v>829.51184289524281</v>
      </c>
      <c r="BI72" s="62">
        <f ca="1">AVERAGE(OFFSET($BH$3,0,0,'Données projet'!$E$11+1,1))-AVERAGE(OFFSET($H$3,0,0,'Données projet'!$E$11+1,1))</f>
        <v>359.18294335011535</v>
      </c>
      <c r="BJ72" s="62">
        <f t="shared" si="92"/>
        <v>345.47508134331241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24.106748840467979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24.106748840467979</v>
      </c>
      <c r="BT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4.5999999999999996</v>
      </c>
      <c r="BY72" s="13">
        <f>IF('Données projet'!$A$114&gt;35,BY71+BX72-CG71,IF(A72&lt;'Données projet'!$A$114,$BV$205^A72,IF(A72='Données projet'!$A$114,'Données projet'!$B$114,BY71+BX72-CG71)))</f>
        <v>311.39999999999998</v>
      </c>
      <c r="BZ72" s="14">
        <f>BY72*VLOOKUP('Données projet'!$B$12,Paramètres!$A$1:$I$89,3,0)*VLOOKUP('Données projet'!$B$12,Paramètres!$A$1:$I$89,5,0)</f>
        <v>228.31847999999997</v>
      </c>
      <c r="CA72" s="14">
        <f t="shared" si="93"/>
        <v>55.918942466546987</v>
      </c>
      <c r="CB72" s="22">
        <f t="shared" si="64"/>
        <v>495.04684412923598</v>
      </c>
      <c r="CC72" s="62">
        <f t="shared" si="65"/>
        <v>788.38017746256924</v>
      </c>
      <c r="CD72" s="62">
        <f ca="1">AVERAGE(OFFSET($CC$3,0,0,'Données projet'!$E$12+1,1))-AVERAGE(OFFSET($H$3,0,0,'Données projet'!$E$12+1,1))</f>
        <v>333.9187211440219</v>
      </c>
      <c r="CE72" s="62">
        <f t="shared" si="94"/>
        <v>321.81422611044997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18.024320905137177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18.024320905137177</v>
      </c>
      <c r="CO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4.5999999999999996</v>
      </c>
      <c r="CT72" s="13">
        <f>IF('Données projet'!$A$140&gt;35,CT71+CS72-DB71,IF(A72&lt;'Données projet'!$A$140,$CQ$205^A72,IF(A72='Données projet'!$A$140,'Données projet'!$B$140,CT71+CS72-DB71)))</f>
        <v>311.39999999999998</v>
      </c>
      <c r="CU72" s="18">
        <f>CT72*VLOOKUP('Données projet'!$B$13,Paramètres!$A$1:$I$89,3,0)*VLOOKUP('Données projet'!$B$13,Paramètres!$A$1:$I$89,5,0)</f>
        <v>252.60768000000002</v>
      </c>
      <c r="CV72" s="14">
        <f t="shared" si="95"/>
        <v>61.143998601713257</v>
      </c>
      <c r="CW72" s="22">
        <f t="shared" si="67"/>
        <v>546.45084023131722</v>
      </c>
      <c r="CX72" s="62">
        <f t="shared" si="68"/>
        <v>839.78417356465047</v>
      </c>
      <c r="CY72" s="62">
        <f ca="1">AVERAGE(OFFSET($CX$3,0,0,'Données projet'!$E$13+1,1))-AVERAGE(OFFSET($H$3,0,0,'Données projet'!$E$13+1,1))</f>
        <v>365.492319515595</v>
      </c>
      <c r="CZ72" s="62">
        <f t="shared" si="96"/>
        <v>351.38386928091433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19.941801852492191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19.941801852492191</v>
      </c>
      <c r="DJ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8.8662500000000044</v>
      </c>
      <c r="DO72" s="13">
        <f>IF('Données projet'!$A$166&gt;35,DO71+DN72-DW71,IF(A72&lt;'Données projet'!$A$166,$DL$205^A72,IF(A72='Données projet'!$A$166,'Données projet'!$B$166,DO71+DN72-DW71)))</f>
        <v>241.64875000000015</v>
      </c>
      <c r="DP72" s="18">
        <f>DO72*VLOOKUP('Données projet'!$B$14,Paramètres!$A$1:$I$89,3,0)*VLOOKUP('Données projet'!$B$14,Paramètres!$A$1:$I$89,5,0)</f>
        <v>203.56490700000015</v>
      </c>
      <c r="DQ72" s="14">
        <f t="shared" si="97"/>
        <v>50.526818975192569</v>
      </c>
      <c r="DR72" s="22">
        <f t="shared" si="70"/>
        <v>442.54308940679402</v>
      </c>
      <c r="DS72" s="62">
        <f t="shared" si="71"/>
        <v>735.87642274012728</v>
      </c>
      <c r="DT72" s="62">
        <f ca="1">AVERAGE(OFFSET($DS$3,0,0,'Données projet'!$E$14+1,1))-AVERAGE(OFFSET($H$3,0,0,'Données projet'!$E$14+1,1))</f>
        <v>544.89250424794909</v>
      </c>
      <c r="DU72" s="62">
        <f t="shared" si="98"/>
        <v>253.98688498110715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12.527105687439525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12.527105687439525</v>
      </c>
      <c r="EE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8.8662500000000044</v>
      </c>
      <c r="EJ72" s="13">
        <f>IF('Données projet'!$A$192&gt;35,EJ71+EI72-ER71,IF(A72&lt;'Données projet'!$A$192,$EG$205^A72,IF(A72='Données projet'!$A$192,'Données projet'!$B$192,EJ71+EI72-ER71)))</f>
        <v>241.64875000000015</v>
      </c>
      <c r="EK72" s="18">
        <f>EJ72*VLOOKUP('Données projet'!$B$15,Paramètres!$A$1:$I$89,3,0)*VLOOKUP('Données projet'!$B$15,Paramètres!$A$1:$I$89,5,0)</f>
        <v>218.64378900000014</v>
      </c>
      <c r="EL72" s="14">
        <f t="shared" si="99"/>
        <v>53.820013961218514</v>
      </c>
      <c r="EM72" s="22">
        <f t="shared" si="73"/>
        <v>474.54112349078923</v>
      </c>
      <c r="EN72" s="62">
        <f t="shared" si="74"/>
        <v>767.87445682412249</v>
      </c>
      <c r="EO72" s="62">
        <f ca="1">AVERAGE(OFFSET($EN$3,0,0,'Données projet'!$E$15+1,1))-AVERAGE(OFFSET($H$3,0,0,'Données projet'!$E$15+1,1))</f>
        <v>581.88778927327667</v>
      </c>
      <c r="EP72" s="62">
        <f t="shared" si="100"/>
        <v>269.67340993773422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13.455039442064676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13.455039442064676</v>
      </c>
      <c r="EZ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8.8662500000000044</v>
      </c>
      <c r="FE72" s="13">
        <f>IF('Données projet'!$A$218&gt;35,FE71+FD72-FM71,IF(A72&lt;'Données projet'!$A$218,$FB$205^A72,IF(A72='Données projet'!$A$218,'Données projet'!$B$218,FE71+FD72-FM71)))</f>
        <v>241.64875000000015</v>
      </c>
      <c r="FF72" s="18">
        <f>FE72*VLOOKUP('Données projet'!$B$16,Paramètres!$A$1:$I$89,3,0)*VLOOKUP('Données projet'!$B$16,Paramètres!$A$1:$I$89,5,0)</f>
        <v>245.03183250000018</v>
      </c>
      <c r="FG72" s="14">
        <f t="shared" si="101"/>
        <v>59.520842912770703</v>
      </c>
      <c r="FH72" s="22">
        <f t="shared" si="76"/>
        <v>530.42924301057599</v>
      </c>
      <c r="FI72" s="62">
        <f t="shared" si="77"/>
        <v>823.76257634390936</v>
      </c>
      <c r="FJ72" s="62">
        <f ca="1">AVERAGE(OFFSET($FI$3,0,0,'Données projet'!$E$16+1,1))-AVERAGE(OFFSET($H$3,0,0,'Données projet'!$E$16+1,1))</f>
        <v>646.50767193970182</v>
      </c>
      <c r="FK72" s="62">
        <f t="shared" si="102"/>
        <v>297.06786598620607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15.078923512658685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15.078923512658685</v>
      </c>
      <c r="FU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8.8662500000000044</v>
      </c>
      <c r="FZ72" s="13">
        <f>IF('Données projet'!$A$244&gt;35,FZ71+FY72-GH71,IF(A72&lt;'Données projet'!$A$244,$FW$205^A72,IF(A72='Données projet'!$A$244,'Données projet'!$B$244,FZ71+FY72-GH71)))</f>
        <v>241.64875000000015</v>
      </c>
      <c r="GA72" s="18">
        <f>FZ72*VLOOKUP('Données projet'!$B$17,Paramètres!$A$1:$I$89,3,0)*VLOOKUP('Données projet'!$B$17,Paramètres!$A$1:$I$89,5,0)</f>
        <v>162.09798150000009</v>
      </c>
      <c r="GB72" s="14">
        <f t="shared" si="103"/>
        <v>41.31536161770417</v>
      </c>
      <c r="GC72" s="22">
        <f t="shared" si="79"/>
        <v>354.27823926333485</v>
      </c>
      <c r="GD72" s="62">
        <f t="shared" si="80"/>
        <v>647.61157259666811</v>
      </c>
      <c r="GE72" s="62">
        <f ca="1">AVERAGE(OFFSET($GD$3,0,0,'Données projet'!$E$17+1,1))-AVERAGE(OFFSET($H$3,0,0,'Données projet'!$E$17+1,1))</f>
        <v>442.85175349826028</v>
      </c>
      <c r="GF72" s="62">
        <f t="shared" si="104"/>
        <v>210.70697808232501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12.295122248783235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12.295122248783235</v>
      </c>
      <c r="GP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7</v>
      </c>
      <c r="GU72" s="13">
        <f>IF('Données projet'!$A$270&gt;35,GU71+GT72-HC71,IF(A72&lt;'Données projet'!$A$270,$GR$205^A72,IF(A72='Données projet'!$A$270,'Données projet'!$B$270,GU71+GT72-HC71)))</f>
        <v>255</v>
      </c>
      <c r="GV72" s="18">
        <f>GU72*VLOOKUP('Données projet'!$B$18,Paramètres!$A$1:$I$89,3,0)*VLOOKUP('Données projet'!$B$18,Paramètres!$A$1:$I$89,5,0)</f>
        <v>242.65799999999999</v>
      </c>
      <c r="GW72" s="14">
        <f t="shared" si="105"/>
        <v>59.011045025839607</v>
      </c>
      <c r="GX72" s="22">
        <f t="shared" si="82"/>
        <v>525.40692008667054</v>
      </c>
      <c r="GY72" s="62">
        <f t="shared" si="83"/>
        <v>818.74025342000391</v>
      </c>
      <c r="GZ72" s="62">
        <f ca="1">AVERAGE(OFFSET($GY$3,0,0,'Données projet'!$E$18+1,1))-AVERAGE(OFFSET($H$3,0,0,'Données projet'!$E$18+1,1))</f>
        <v>420.2510366318939</v>
      </c>
      <c r="HA72" s="62">
        <f t="shared" si="106"/>
        <v>220.59884411514116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20.373661789993584</v>
      </c>
      <c r="HH72" s="23">
        <f>EXP(-LN(2)/25)*HH71+(1-EXP(-LN(2)/25))/(LN(2)/25)*Calculateur!HC72*Calculateur!HE72*VLOOKUP('Données projet'!$B$18,Paramètres!$A$1:$I$89,3,0)*0.475*44/12</f>
        <v>0</v>
      </c>
      <c r="HI72" s="23">
        <f>EXP(-LN(2)/2)*HI71+(1-EXP(-LN(2)/2))/(LN(2)/2)*HC72*HF72*VLOOKUP('Données projet'!$B$18,Paramètres!$A$1:$I$89,3,0)*0.475*44/12</f>
        <v>0</v>
      </c>
      <c r="HJ72" s="24">
        <f t="shared" si="84"/>
        <v>20.373661789993584</v>
      </c>
    </row>
    <row r="73" spans="1:218" s="5" customFormat="1" x14ac:dyDescent="0.2">
      <c r="A73" s="11">
        <f t="shared" si="85"/>
        <v>70</v>
      </c>
      <c r="B73" s="74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11.25925925925926</v>
      </c>
      <c r="N73" s="14">
        <f>IF('Données projet'!$A$36&gt;35,N72+M73-V72,IF(A73&lt;'Données projet'!$A$36,$K$205^A73,IF(A73='Données projet'!$A$36,'Données projet'!$B$36,N72+M73-V72)))</f>
        <v>479.81481481481478</v>
      </c>
      <c r="O73" s="14">
        <f>N73*VLOOKUP('Données projet'!$B$9,Paramètres!$A$1:$I$89,3,0)*VLOOKUP('Données projet'!$B$9,Paramètres!$A$1:$I$89,5,0)</f>
        <v>411.68111111111114</v>
      </c>
      <c r="P73" s="14">
        <f t="shared" si="87"/>
        <v>94.14084937218901</v>
      </c>
      <c r="Q73" s="22">
        <f t="shared" si="54"/>
        <v>880.97324784174771</v>
      </c>
      <c r="R73" s="62">
        <f t="shared" si="55"/>
        <v>1174.306581175081</v>
      </c>
      <c r="S73" s="62">
        <f ca="1">AVERAGE(OFFSET($R$3,0,0,'Données projet'!$E$9+1,1))-AVERAGE(OFFSET($H$3,0,0,'Données projet'!$E$9+1,1))</f>
        <v>623.31285537237943</v>
      </c>
      <c r="T73" s="62">
        <f t="shared" si="88"/>
        <v>462.33909258902241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88.328908370923173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88.328908370923173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316</v>
      </c>
      <c r="AG73" s="13">
        <f>VLOOKUP(A73,'Données projet'!$A$61:$I$81,9,0)</f>
        <v>4.5999999999999996</v>
      </c>
      <c r="AH73" s="13">
        <f t="array" ref="AH73">INDEX(AG:AG,MIN(IF(ISNUMBER(AG73:AG269),ROW(AG73:AG269),"")))</f>
        <v>4.5999999999999996</v>
      </c>
      <c r="AI73" s="14">
        <f>IF('Données projet'!$A$62&gt;35,AI72+AH73-AQ72,IF(A73&lt;'Données projet'!$A$62,$AF$205^A73,IF(A73='Données projet'!$A$62,'Données projet'!$B$62,AI72+AH73-AQ72)))</f>
        <v>316</v>
      </c>
      <c r="AJ73" s="14">
        <f>AI73*VLOOKUP('Données projet'!$B$10,Paramètres!$A$1:$I$89,3,0)*VLOOKUP('Données projet'!$B$10,Paramètres!$A$1:$I$89,5,0)</f>
        <v>276.05760000000004</v>
      </c>
      <c r="AK73" s="14">
        <f t="shared" si="89"/>
        <v>66.133180102831929</v>
      </c>
      <c r="AL73" s="22">
        <f t="shared" si="58"/>
        <v>595.98227534576563</v>
      </c>
      <c r="AM73" s="62">
        <f t="shared" si="59"/>
        <v>889.31560867909889</v>
      </c>
      <c r="AN73" s="62">
        <f ca="1">AVERAGE(OFFSET($AM$3,0,0,'Données projet'!$E$10+1,1))-AVERAGE(OFFSET($H$3,0,0,'Données projet'!$E$10+1,1))</f>
        <v>390.70479111593545</v>
      </c>
      <c r="AO73" s="62">
        <f t="shared" si="90"/>
        <v>374.99493809709708</v>
      </c>
      <c r="AP73" s="16">
        <f>IF(ISNA(VLOOKUP(A73,'Données projet'!$A$61:$I$81,3,0)),0,VLOOKUP(A73,'Données projet'!$A$61:$I$81,3,0))</f>
        <v>13</v>
      </c>
      <c r="AQ73" s="16">
        <f>IF(ISNA(VLOOKUP(A73,'Données projet'!$A$61:$I$81,4,0)),0,VLOOKUP(A73,'Données projet'!$A$61:$I$81,4,0))</f>
        <v>13</v>
      </c>
      <c r="AR73" s="17">
        <f>IF(ISNA(VLOOKUP(A73,'Données projet'!$A$61:$I$81,5,0)),0%,VLOOKUP(A73,'Données projet'!$A$61:$I$81,5,0)*VLOOKUP('Données projet'!$B$10,Paramètres!$A$1:$I$89,7,0))</f>
        <v>0.371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30.608850811953225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30.608850811953225</v>
      </c>
      <c r="AY73" s="7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316</v>
      </c>
      <c r="BB73" s="13">
        <f>VLOOKUP(A73,'Données projet'!$A$87:$I$107,9,0)</f>
        <v>4.5999999999999996</v>
      </c>
      <c r="BC73" s="13">
        <f t="array" ref="BC73">INDEX(BB:BB,MIN(IF(ISNUMBER(BB73:BB269),ROW(BB73:BB269),"")))</f>
        <v>4.5999999999999996</v>
      </c>
      <c r="BD73" s="13">
        <f>IF('Données projet'!$A$88&gt;35,BD72+BC73-BL72,IF(A73&lt;'Données projet'!$A$88,$BA$205^A73,IF(A73='Données projet'!$A$88,'Données projet'!$B$88,BD72+BC73-BL72)))</f>
        <v>316</v>
      </c>
      <c r="BE73" s="14">
        <f>BD73*VLOOKUP('Données projet'!$B$11,Paramètres!$A$1:$I$89,3,0)*VLOOKUP('Données projet'!$B$11,Paramètres!$A$1:$I$89,5,0)</f>
        <v>251.40960000000001</v>
      </c>
      <c r="BF73" s="14">
        <f t="shared" si="91"/>
        <v>60.887686632376123</v>
      </c>
      <c r="BG73" s="22">
        <f t="shared" si="61"/>
        <v>543.91777421805511</v>
      </c>
      <c r="BH73" s="62">
        <f t="shared" si="62"/>
        <v>837.25110755138849</v>
      </c>
      <c r="BI73" s="62">
        <f ca="1">AVERAGE(OFFSET($BH$3,0,0,'Données projet'!$E$11+1,1))-AVERAGE(OFFSET($H$3,0,0,'Données projet'!$E$11+1,1))</f>
        <v>359.18294335011535</v>
      </c>
      <c r="BJ73" s="62">
        <f t="shared" si="92"/>
        <v>345.47508134331241</v>
      </c>
      <c r="BK73" s="16">
        <f>IF(ISNA(VLOOKUP(A73,'Données projet'!$A$87:$I$107,3,0)),0,VLOOKUP(A73,'Données projet'!$A$87:$I$107,3,0))</f>
        <v>13</v>
      </c>
      <c r="BL73" s="16">
        <f>IF(ISNA(VLOOKUP(A73,'Données projet'!$A$87:$I$107,4,0)),0,VLOOKUP(A73,'Données projet'!$A$87:$I$107,4,0))</f>
        <v>13</v>
      </c>
      <c r="BM73" s="17">
        <f>IF(ISNA(VLOOKUP(A73,'Données projet'!$A$87:$I$107,5,0)),0%,VLOOKUP(A73,'Données projet'!$A$87:$I$107,5,0)*VLOOKUP('Données projet'!$B$11,Paramètres!$A$1:$I$89,7,0))</f>
        <v>0.371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27.87591770374312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27.87591770374312</v>
      </c>
      <c r="BT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316</v>
      </c>
      <c r="BW73" s="13">
        <f>VLOOKUP(A73,'Données projet'!$A$113:$I$133,9,0)</f>
        <v>4.5999999999999996</v>
      </c>
      <c r="BX73" s="13">
        <f t="array" ref="BX73">INDEX(BW:BW,MIN(IF(ISNUMBER(BW73:BW269),ROW(BW73:BW269),"")))</f>
        <v>4.5999999999999996</v>
      </c>
      <c r="BY73" s="13">
        <f>IF('Données projet'!$A$114&gt;35,BY72+BX73-CG72,IF(A73&lt;'Données projet'!$A$114,$BV$205^A73,IF(A73='Données projet'!$A$114,'Données projet'!$B$114,BY72+BX73-CG72)))</f>
        <v>316</v>
      </c>
      <c r="BZ73" s="14">
        <f>BY73*VLOOKUP('Données projet'!$B$12,Paramètres!$A$1:$I$89,3,0)*VLOOKUP('Données projet'!$B$12,Paramètres!$A$1:$I$89,5,0)</f>
        <v>231.69119999999998</v>
      </c>
      <c r="CA73" s="14">
        <f t="shared" si="93"/>
        <v>56.648202447537749</v>
      </c>
      <c r="CB73" s="22">
        <f t="shared" si="64"/>
        <v>502.19112592946158</v>
      </c>
      <c r="CC73" s="62">
        <f t="shared" si="65"/>
        <v>795.52445926279484</v>
      </c>
      <c r="CD73" s="62">
        <f ca="1">AVERAGE(OFFSET($CC$3,0,0,'Données projet'!$E$12+1,1))-AVERAGE(OFFSET($H$3,0,0,'Données projet'!$E$12+1,1))</f>
        <v>333.9187211440219</v>
      </c>
      <c r="CE73" s="62">
        <f t="shared" si="94"/>
        <v>321.81422611044997</v>
      </c>
      <c r="CF73" s="16">
        <f>IF(ISNA(VLOOKUP(A73,'Données projet'!$A$113:$I$133,3,0)),0,VLOOKUP(A73,'Données projet'!$A$113:$I$133,3,0))</f>
        <v>13</v>
      </c>
      <c r="CG73" s="16">
        <f>IF(ISNA(VLOOKUP(A73,'Données projet'!$A$113:$I$133,4,0)),0,VLOOKUP(A73,'Données projet'!$A$113:$I$133,4,0))</f>
        <v>13</v>
      </c>
      <c r="CH73" s="17">
        <f>IF(ISNA(VLOOKUP(A73,'Données projet'!$A$113:$I$133,5,0)),0%,VLOOKUP(A73,'Données projet'!$A$113:$I$133,5,0)*VLOOKUP('Données projet'!$B$12,Paramètres!$A$1:$I$89,7,0))</f>
        <v>0.30099999999999999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20.842482308274082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20.842482308274082</v>
      </c>
      <c r="CO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316</v>
      </c>
      <c r="CR73" s="13">
        <f>VLOOKUP(A73,'Données projet'!$A$139:$I$159,9,0)</f>
        <v>4.5999999999999996</v>
      </c>
      <c r="CS73" s="13">
        <f t="array" ref="CS73">INDEX(CR:CR,MIN(IF(ISNUMBER(CR73:CR269),ROW(CR73:CR269),"")))</f>
        <v>4.5999999999999996</v>
      </c>
      <c r="CT73" s="13">
        <f>IF('Données projet'!$A$140&gt;35,CT72+CS73-DB72,IF(A73&lt;'Données projet'!$A$140,$CQ$205^A73,IF(A73='Données projet'!$A$140,'Données projet'!$B$140,CT72+CS73-DB72)))</f>
        <v>316</v>
      </c>
      <c r="CU73" s="18">
        <f>CT73*VLOOKUP('Données projet'!$B$13,Paramètres!$A$1:$I$89,3,0)*VLOOKUP('Données projet'!$B$13,Paramètres!$A$1:$I$89,5,0)</f>
        <v>256.33920000000001</v>
      </c>
      <c r="CV73" s="14">
        <f t="shared" si="95"/>
        <v>61.941400506884484</v>
      </c>
      <c r="CW73" s="22">
        <f t="shared" si="67"/>
        <v>554.33871254949042</v>
      </c>
      <c r="CX73" s="62">
        <f t="shared" si="68"/>
        <v>847.6720458828238</v>
      </c>
      <c r="CY73" s="62">
        <f ca="1">AVERAGE(OFFSET($CX$3,0,0,'Données projet'!$E$13+1,1))-AVERAGE(OFFSET($H$3,0,0,'Données projet'!$E$13+1,1))</f>
        <v>365.492319515595</v>
      </c>
      <c r="CZ73" s="62">
        <f t="shared" si="96"/>
        <v>351.38386928091433</v>
      </c>
      <c r="DA73" s="16">
        <f>IF(ISNA(VLOOKUP(A73,'Données projet'!$A$139:$I$159,3,0)),0,VLOOKUP(A73,'Données projet'!$A$139:$I$159,3,0))</f>
        <v>13</v>
      </c>
      <c r="DB73" s="16">
        <f>IF(ISNA(VLOOKUP(A73,'Données projet'!$A$139:$I$159,4,0)),0,VLOOKUP(A73,'Données projet'!$A$139:$I$159,4,0))</f>
        <v>13</v>
      </c>
      <c r="DC73" s="17">
        <f>IF(ISNA(VLOOKUP(A73,'Données projet'!$A$139:$I$159,5,0)),0%,VLOOKUP(A73,'Données projet'!$A$139:$I$159,5,0)*VLOOKUP('Données projet'!$B$13,Paramètres!$A$1:$I$89,7,0))</f>
        <v>0.30099999999999999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23.059767660218128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23.059767660218128</v>
      </c>
      <c r="DJ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8.8662500000000044</v>
      </c>
      <c r="DO73" s="13">
        <f>IF('Données projet'!$A$166&gt;35,DO72+DN73-DW72,IF(A73&lt;'Données projet'!$A$166,$DL$205^A73,IF(A73='Données projet'!$A$166,'Données projet'!$B$166,DO72+DN73-DW72)))</f>
        <v>250.51500000000016</v>
      </c>
      <c r="DP73" s="18">
        <f>DO73*VLOOKUP('Données projet'!$B$14,Paramètres!$A$1:$I$89,3,0)*VLOOKUP('Données projet'!$B$14,Paramètres!$A$1:$I$89,5,0)</f>
        <v>211.03383600000012</v>
      </c>
      <c r="DQ73" s="14">
        <f t="shared" si="97"/>
        <v>52.161440263093453</v>
      </c>
      <c r="DR73" s="22">
        <f t="shared" si="70"/>
        <v>458.3984394915546</v>
      </c>
      <c r="DS73" s="62">
        <f t="shared" si="71"/>
        <v>751.73177282488791</v>
      </c>
      <c r="DT73" s="62">
        <f ca="1">AVERAGE(OFFSET($DS$3,0,0,'Données projet'!$E$14+1,1))-AVERAGE(OFFSET($H$3,0,0,'Données projet'!$E$14+1,1))</f>
        <v>544.89250424794909</v>
      </c>
      <c r="DU73" s="62">
        <f t="shared" si="98"/>
        <v>253.98688498110715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12.281456785688841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12.281456785688841</v>
      </c>
      <c r="EE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8.8662500000000044</v>
      </c>
      <c r="EJ73" s="13">
        <f>IF('Données projet'!$A$192&gt;35,EJ72+EI73-ER72,IF(A73&lt;'Données projet'!$A$192,$EG$205^A73,IF(A73='Données projet'!$A$192,'Données projet'!$B$192,EJ72+EI73-ER72)))</f>
        <v>250.51500000000016</v>
      </c>
      <c r="EK73" s="18">
        <f>EJ73*VLOOKUP('Données projet'!$B$15,Paramètres!$A$1:$I$89,3,0)*VLOOKUP('Données projet'!$B$15,Paramètres!$A$1:$I$89,5,0)</f>
        <v>226.66597200000012</v>
      </c>
      <c r="EL73" s="14">
        <f t="shared" si="99"/>
        <v>55.561175235972904</v>
      </c>
      <c r="EM73" s="22">
        <f t="shared" si="73"/>
        <v>491.54561476931968</v>
      </c>
      <c r="EN73" s="62">
        <f t="shared" si="74"/>
        <v>784.878948102653</v>
      </c>
      <c r="EO73" s="62">
        <f ca="1">AVERAGE(OFFSET($EN$3,0,0,'Données projet'!$E$15+1,1))-AVERAGE(OFFSET($H$3,0,0,'Données projet'!$E$15+1,1))</f>
        <v>581.88778927327667</v>
      </c>
      <c r="EP73" s="62">
        <f t="shared" si="100"/>
        <v>269.67340993773422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13.191194325369496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13.191194325369496</v>
      </c>
      <c r="EZ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8.8662500000000044</v>
      </c>
      <c r="FE73" s="13">
        <f>IF('Données projet'!$A$218&gt;35,FE72+FD73-FM72,IF(A73&lt;'Données projet'!$A$218,$FB$205^A73,IF(A73='Données projet'!$A$218,'Données projet'!$B$218,FE72+FD73-FM72)))</f>
        <v>250.51500000000016</v>
      </c>
      <c r="FF73" s="18">
        <f>FE73*VLOOKUP('Données projet'!$B$16,Paramètres!$A$1:$I$89,3,0)*VLOOKUP('Données projet'!$B$16,Paramètres!$A$1:$I$89,5,0)</f>
        <v>254.02221000000017</v>
      </c>
      <c r="FG73" s="14">
        <f t="shared" si="101"/>
        <v>61.446434882983361</v>
      </c>
      <c r="FH73" s="22">
        <f t="shared" si="76"/>
        <v>549.44122317119627</v>
      </c>
      <c r="FI73" s="62">
        <f t="shared" si="77"/>
        <v>842.77455650452953</v>
      </c>
      <c r="FJ73" s="62">
        <f ca="1">AVERAGE(OFFSET($FI$3,0,0,'Données projet'!$E$16+1,1))-AVERAGE(OFFSET($H$3,0,0,'Données projet'!$E$16+1,1))</f>
        <v>646.50767193970182</v>
      </c>
      <c r="FK73" s="62">
        <f t="shared" si="102"/>
        <v>297.06786598620607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14.78323501981064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14.78323501981064</v>
      </c>
      <c r="FU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8.8662500000000044</v>
      </c>
      <c r="FZ73" s="13">
        <f>IF('Données projet'!$A$244&gt;35,FZ72+FY73-GH72,IF(A73&lt;'Données projet'!$A$244,$FW$205^A73,IF(A73='Données projet'!$A$244,'Données projet'!$B$244,FZ72+FY73-GH72)))</f>
        <v>250.51500000000016</v>
      </c>
      <c r="GA73" s="18">
        <f>FZ73*VLOOKUP('Données projet'!$B$17,Paramètres!$A$1:$I$89,3,0)*VLOOKUP('Données projet'!$B$17,Paramètres!$A$1:$I$89,5,0)</f>
        <v>168.0454620000001</v>
      </c>
      <c r="GB73" s="14">
        <f t="shared" si="103"/>
        <v>42.651977913512944</v>
      </c>
      <c r="GC73" s="22">
        <f t="shared" si="79"/>
        <v>366.96470784936855</v>
      </c>
      <c r="GD73" s="62">
        <f t="shared" si="80"/>
        <v>660.29804118270181</v>
      </c>
      <c r="GE73" s="62">
        <f ca="1">AVERAGE(OFFSET($GD$3,0,0,'Données projet'!$E$17+1,1))-AVERAGE(OFFSET($H$3,0,0,'Données projet'!$E$17+1,1))</f>
        <v>442.85175349826028</v>
      </c>
      <c r="GF73" s="62">
        <f t="shared" si="104"/>
        <v>210.70697808232501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12.054022400768675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12.054022400768675</v>
      </c>
      <c r="GP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>
        <f>VLOOKUP(A73,'Données projet'!$A$269:$I$289,2,0)</f>
        <v>262</v>
      </c>
      <c r="GS73" s="13">
        <f>VLOOKUP(A73,'Données projet'!$A$269:$I$289,9,0)</f>
        <v>7</v>
      </c>
      <c r="GT73" s="13">
        <f t="array" ref="GT73">INDEX(GS:GS,MIN(IF(ISNUMBER(GS73:GS269),ROW(GS73:GS269),"")))</f>
        <v>7</v>
      </c>
      <c r="GU73" s="13">
        <f>IF('Données projet'!$A$270&gt;35,GU72+GT73-HC72,IF(A73&lt;'Données projet'!$A$270,$GR$205^A73,IF(A73='Données projet'!$A$270,'Données projet'!$B$270,GU72+GT73-HC72)))</f>
        <v>262</v>
      </c>
      <c r="GV73" s="18">
        <f>GU73*VLOOKUP('Données projet'!$B$18,Paramètres!$A$1:$I$89,3,0)*VLOOKUP('Données projet'!$B$18,Paramètres!$A$1:$I$89,5,0)</f>
        <v>249.3192</v>
      </c>
      <c r="GW73" s="14">
        <f t="shared" si="105"/>
        <v>60.440134650185499</v>
      </c>
      <c r="GX73" s="22">
        <f t="shared" si="82"/>
        <v>539.49750784907303</v>
      </c>
      <c r="GY73" s="62">
        <f t="shared" si="83"/>
        <v>832.8308411824064</v>
      </c>
      <c r="GZ73" s="62">
        <f ca="1">AVERAGE(OFFSET($GY$3,0,0,'Données projet'!$E$18+1,1))-AVERAGE(OFFSET($H$3,0,0,'Données projet'!$E$18+1,1))</f>
        <v>420.2510366318939</v>
      </c>
      <c r="HA73" s="62">
        <f t="shared" si="106"/>
        <v>220.59884411514116</v>
      </c>
      <c r="HB73" s="16">
        <f>IF(ISNA(VLOOKUP(A73,'Données projet'!$A$269:$I$289,3,0)),0,VLOOKUP(A73,'Données projet'!$A$269:$I$289,3,0))</f>
        <v>10</v>
      </c>
      <c r="HC73" s="16">
        <f>IF(ISNA(VLOOKUP(A73,'Données projet'!$A$269:$I$289,4,0)),0,VLOOKUP(A73,'Données projet'!$A$269:$I$289,4,0))</f>
        <v>27</v>
      </c>
      <c r="HD73" s="17">
        <f>IF(ISNA(VLOOKUP(A73,'Données projet'!$A$269:$I$289,5,0)),0%,VLOOKUP(A73,'Données projet'!$A$269:$I$289,5,0)*VLOOKUP('Données projet'!$B$18,Paramètres!$A$1:$I$89,7,0))</f>
        <v>0.215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26.080807093412904</v>
      </c>
      <c r="HH73" s="23">
        <f>EXP(-LN(2)/25)*HH72+(1-EXP(-LN(2)/25))/(LN(2)/25)*Calculateur!HC73*Calculateur!HE73*VLOOKUP('Données projet'!$B$18,Paramètres!$A$1:$I$89,3,0)*0.475*44/12</f>
        <v>0</v>
      </c>
      <c r="HI73" s="23">
        <f>EXP(-LN(2)/2)*HI72+(1-EXP(-LN(2)/2))/(LN(2)/2)*HC73*HF73*VLOOKUP('Données projet'!$B$18,Paramètres!$A$1:$I$89,3,0)*0.475*44/12</f>
        <v>0</v>
      </c>
      <c r="HJ73" s="24">
        <f t="shared" si="84"/>
        <v>26.080807093412904</v>
      </c>
    </row>
    <row r="74" spans="1:218" s="5" customFormat="1" x14ac:dyDescent="0.2">
      <c r="A74" s="11">
        <f t="shared" si="85"/>
        <v>71</v>
      </c>
      <c r="B74" s="74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11.25925925925926</v>
      </c>
      <c r="N74" s="14">
        <f>IF('Données projet'!$A$36&gt;35,N73+M74-V73,IF(A74&lt;'Données projet'!$A$36,$K$205^A74,IF(A74='Données projet'!$A$36,'Données projet'!$B$36,N73+M74-V73)))</f>
        <v>491.07407407407402</v>
      </c>
      <c r="O74" s="14">
        <f>N74*VLOOKUP('Données projet'!$B$9,Paramètres!$A$1:$I$89,3,0)*VLOOKUP('Données projet'!$B$9,Paramètres!$A$1:$I$89,5,0)</f>
        <v>421.34155555555554</v>
      </c>
      <c r="P74" s="14">
        <f t="shared" si="87"/>
        <v>96.090162386021305</v>
      </c>
      <c r="Q74" s="22">
        <f t="shared" si="54"/>
        <v>901.19357541491297</v>
      </c>
      <c r="R74" s="62">
        <f t="shared" si="55"/>
        <v>1194.5269087482463</v>
      </c>
      <c r="S74" s="62">
        <f ca="1">AVERAGE(OFFSET($R$3,0,0,'Données projet'!$E$9+1,1))-AVERAGE(OFFSET($H$3,0,0,'Données projet'!$E$9+1,1))</f>
        <v>623.31285537237943</v>
      </c>
      <c r="T74" s="62">
        <f t="shared" si="88"/>
        <v>462.33909258902241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86.596832353083727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86.596832353083727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4.2</v>
      </c>
      <c r="AI74" s="14">
        <f>IF('Données projet'!$A$62&gt;35,AI73+AH74-AQ73,IF(A74&lt;'Données projet'!$A$62,$AF$205^A74,IF(A74='Données projet'!$A$62,'Données projet'!$B$62,AI73+AH74-AQ73)))</f>
        <v>307.2</v>
      </c>
      <c r="AJ74" s="14">
        <f>AI74*VLOOKUP('Données projet'!$B$10,Paramètres!$A$1:$I$89,3,0)*VLOOKUP('Données projet'!$B$10,Paramètres!$A$1:$I$89,5,0)</f>
        <v>268.36992000000004</v>
      </c>
      <c r="AK74" s="14">
        <f t="shared" si="89"/>
        <v>64.503203342054164</v>
      </c>
      <c r="AL74" s="22">
        <f t="shared" si="58"/>
        <v>579.75402315407769</v>
      </c>
      <c r="AM74" s="62">
        <f t="shared" si="59"/>
        <v>873.08735648741094</v>
      </c>
      <c r="AN74" s="62">
        <f ca="1">AVERAGE(OFFSET($AM$3,0,0,'Données projet'!$E$10+1,1))-AVERAGE(OFFSET($H$3,0,0,'Données projet'!$E$10+1,1))</f>
        <v>390.70479111593545</v>
      </c>
      <c r="AO74" s="62">
        <f t="shared" si="90"/>
        <v>374.99493809709708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30.008629917086353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30.008629917086353</v>
      </c>
      <c r="AY74" s="7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4.2</v>
      </c>
      <c r="BD74" s="13">
        <f>IF('Données projet'!$A$88&gt;35,BD73+BC74-BL73,IF(A74&lt;'Données projet'!$A$88,$BA$205^A74,IF(A74='Données projet'!$A$88,'Données projet'!$B$88,BD73+BC74-BL73)))</f>
        <v>307.2</v>
      </c>
      <c r="BE74" s="14">
        <f>BD74*VLOOKUP('Données projet'!$B$11,Paramètres!$A$1:$I$89,3,0)*VLOOKUP('Données projet'!$B$11,Paramètres!$A$1:$I$89,5,0)</f>
        <v>244.40832</v>
      </c>
      <c r="BF74" s="14">
        <f t="shared" si="91"/>
        <v>59.38699493610541</v>
      </c>
      <c r="BG74" s="22">
        <f t="shared" si="61"/>
        <v>529.11017351371686</v>
      </c>
      <c r="BH74" s="62">
        <f t="shared" si="62"/>
        <v>822.44350684705023</v>
      </c>
      <c r="BI74" s="62">
        <f ca="1">AVERAGE(OFFSET($BH$3,0,0,'Données projet'!$E$11+1,1))-AVERAGE(OFFSET($H$3,0,0,'Données projet'!$E$11+1,1))</f>
        <v>359.18294335011535</v>
      </c>
      <c r="BJ74" s="62">
        <f t="shared" si="92"/>
        <v>345.47508134331241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27.329287960203647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27.329287960203647</v>
      </c>
      <c r="BT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4.2</v>
      </c>
      <c r="BY74" s="13">
        <f>IF('Données projet'!$A$114&gt;35,BY73+BX74-CG73,IF(A74&lt;'Données projet'!$A$114,$BV$205^A74,IF(A74='Données projet'!$A$114,'Données projet'!$B$114,BY73+BX74-CG73)))</f>
        <v>307.2</v>
      </c>
      <c r="BZ74" s="14">
        <f>BY74*VLOOKUP('Données projet'!$B$12,Paramètres!$A$1:$I$89,3,0)*VLOOKUP('Données projet'!$B$12,Paramètres!$A$1:$I$89,5,0)</f>
        <v>225.23903999999999</v>
      </c>
      <c r="CA74" s="14">
        <f t="shared" si="93"/>
        <v>55.252000822487368</v>
      </c>
      <c r="CB74" s="22">
        <f t="shared" si="64"/>
        <v>488.52189609916553</v>
      </c>
      <c r="CC74" s="62">
        <f t="shared" si="65"/>
        <v>781.85522943249885</v>
      </c>
      <c r="CD74" s="62">
        <f ca="1">AVERAGE(OFFSET($CC$3,0,0,'Données projet'!$E$12+1,1))-AVERAGE(OFFSET($H$3,0,0,'Données projet'!$E$12+1,1))</f>
        <v>333.9187211440219</v>
      </c>
      <c r="CE74" s="62">
        <f t="shared" si="94"/>
        <v>321.81422611044997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20.433773942867763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20.433773942867763</v>
      </c>
      <c r="CO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4.2</v>
      </c>
      <c r="CT74" s="13">
        <f>IF('Données projet'!$A$140&gt;35,CT73+CS74-DB73,IF(A74&lt;'Données projet'!$A$140,$CQ$205^A74,IF(A74='Données projet'!$A$140,'Données projet'!$B$140,CT73+CS74-DB73)))</f>
        <v>307.2</v>
      </c>
      <c r="CU74" s="18">
        <f>CT74*VLOOKUP('Données projet'!$B$13,Paramètres!$A$1:$I$89,3,0)*VLOOKUP('Données projet'!$B$13,Paramètres!$A$1:$I$89,5,0)</f>
        <v>249.20064000000002</v>
      </c>
      <c r="CV74" s="14">
        <f t="shared" si="95"/>
        <v>60.414738047899995</v>
      </c>
      <c r="CW74" s="22">
        <f t="shared" si="67"/>
        <v>539.24678343342578</v>
      </c>
      <c r="CX74" s="62">
        <f t="shared" si="68"/>
        <v>832.58011676675915</v>
      </c>
      <c r="CY74" s="62">
        <f ca="1">AVERAGE(OFFSET($CX$3,0,0,'Données projet'!$E$13+1,1))-AVERAGE(OFFSET($H$3,0,0,'Données projet'!$E$13+1,1))</f>
        <v>365.492319515595</v>
      </c>
      <c r="CZ74" s="62">
        <f t="shared" si="96"/>
        <v>351.38386928091433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22.607579681470714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22.607579681470714</v>
      </c>
      <c r="DJ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8.8662500000000044</v>
      </c>
      <c r="DO74" s="13">
        <f>IF('Données projet'!$A$166&gt;35,DO73+DN74-DW73,IF(A74&lt;'Données projet'!$A$166,$DL$205^A74,IF(A74='Données projet'!$A$166,'Données projet'!$B$166,DO73+DN74-DW73)))</f>
        <v>259.38125000000014</v>
      </c>
      <c r="DP74" s="18">
        <f>DO74*VLOOKUP('Données projet'!$B$14,Paramètres!$A$1:$I$89,3,0)*VLOOKUP('Données projet'!$B$14,Paramètres!$A$1:$I$89,5,0)</f>
        <v>218.50276500000015</v>
      </c>
      <c r="DQ74" s="14">
        <f t="shared" si="97"/>
        <v>53.789339870075203</v>
      </c>
      <c r="DR74" s="22">
        <f t="shared" si="70"/>
        <v>474.24208264871459</v>
      </c>
      <c r="DS74" s="62">
        <f t="shared" si="71"/>
        <v>767.57541598204784</v>
      </c>
      <c r="DT74" s="62">
        <f ca="1">AVERAGE(OFFSET($DS$3,0,0,'Données projet'!$E$14+1,1))-AVERAGE(OFFSET($H$3,0,0,'Données projet'!$E$14+1,1))</f>
        <v>544.89250424794909</v>
      </c>
      <c r="DU74" s="62">
        <f t="shared" si="98"/>
        <v>253.98688498110715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12.040624909070452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12.040624909070452</v>
      </c>
      <c r="EE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8.8662500000000044</v>
      </c>
      <c r="EJ74" s="13">
        <f>IF('Données projet'!$A$192&gt;35,EJ73+EI74-ER73,IF(A74&lt;'Données projet'!$A$192,$EG$205^A74,IF(A74='Données projet'!$A$192,'Données projet'!$B$192,EJ73+EI74-ER73)))</f>
        <v>259.38125000000014</v>
      </c>
      <c r="EK74" s="18">
        <f>EJ74*VLOOKUP('Données projet'!$B$15,Paramètres!$A$1:$I$89,3,0)*VLOOKUP('Données projet'!$B$15,Paramètres!$A$1:$I$89,5,0)</f>
        <v>234.68815500000011</v>
      </c>
      <c r="EL74" s="14">
        <f t="shared" si="99"/>
        <v>57.295176729679312</v>
      </c>
      <c r="EM74" s="22">
        <f t="shared" si="73"/>
        <v>508.53763609585832</v>
      </c>
      <c r="EN74" s="62">
        <f t="shared" si="74"/>
        <v>801.87096942919163</v>
      </c>
      <c r="EO74" s="62">
        <f ca="1">AVERAGE(OFFSET($EN$3,0,0,'Données projet'!$E$15+1,1))-AVERAGE(OFFSET($H$3,0,0,'Données projet'!$E$15+1,1))</f>
        <v>581.88778927327667</v>
      </c>
      <c r="EP74" s="62">
        <f t="shared" si="100"/>
        <v>269.67340993773422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12.932523050483079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12.932523050483079</v>
      </c>
      <c r="EZ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8.8662500000000044</v>
      </c>
      <c r="FE74" s="13">
        <f>IF('Données projet'!$A$218&gt;35,FE73+FD74-FM73,IF(A74&lt;'Données projet'!$A$218,$FB$205^A74,IF(A74='Données projet'!$A$218,'Données projet'!$B$218,FE73+FD74-FM73)))</f>
        <v>259.38125000000014</v>
      </c>
      <c r="FF74" s="18">
        <f>FE74*VLOOKUP('Données projet'!$B$16,Paramètres!$A$1:$I$89,3,0)*VLOOKUP('Données projet'!$B$16,Paramètres!$A$1:$I$89,5,0)</f>
        <v>263.01258750000017</v>
      </c>
      <c r="FG74" s="14">
        <f t="shared" si="101"/>
        <v>63.364108679793951</v>
      </c>
      <c r="FH74" s="22">
        <f t="shared" si="76"/>
        <v>568.43941251314141</v>
      </c>
      <c r="FI74" s="62">
        <f t="shared" si="77"/>
        <v>861.77274584647466</v>
      </c>
      <c r="FJ74" s="62">
        <f ca="1">AVERAGE(OFFSET($FI$3,0,0,'Données projet'!$E$16+1,1))-AVERAGE(OFFSET($H$3,0,0,'Données projet'!$E$16+1,1))</f>
        <v>646.50767193970182</v>
      </c>
      <c r="FK74" s="62">
        <f t="shared" si="102"/>
        <v>297.06786598620607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14.493344797955173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14.493344797955173</v>
      </c>
      <c r="FU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8.8662500000000044</v>
      </c>
      <c r="FZ74" s="13">
        <f>IF('Données projet'!$A$244&gt;35,FZ73+FY74-GH73,IF(A74&lt;'Données projet'!$A$244,$FW$205^A74,IF(A74='Données projet'!$A$244,'Données projet'!$B$244,FZ73+FY74-GH73)))</f>
        <v>259.38125000000014</v>
      </c>
      <c r="GA74" s="18">
        <f>FZ74*VLOOKUP('Données projet'!$B$17,Paramètres!$A$1:$I$89,3,0)*VLOOKUP('Données projet'!$B$17,Paramètres!$A$1:$I$89,5,0)</f>
        <v>173.99294250000008</v>
      </c>
      <c r="GB74" s="14">
        <f t="shared" si="103"/>
        <v>43.983097946475816</v>
      </c>
      <c r="GC74" s="22">
        <f t="shared" si="79"/>
        <v>379.64160377761226</v>
      </c>
      <c r="GD74" s="62">
        <f t="shared" si="80"/>
        <v>672.97493711094558</v>
      </c>
      <c r="GE74" s="62">
        <f ca="1">AVERAGE(OFFSET($GD$3,0,0,'Données projet'!$E$17+1,1))-AVERAGE(OFFSET($H$3,0,0,'Données projet'!$E$17+1,1))</f>
        <v>442.85175349826028</v>
      </c>
      <c r="GF74" s="62">
        <f t="shared" si="104"/>
        <v>210.70697808232501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11.817650373717294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11.817650373717294</v>
      </c>
      <c r="GP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6.8</v>
      </c>
      <c r="GU74" s="13">
        <f>IF('Données projet'!$A$270&gt;35,GU73+GT74-HC73,IF(A74&lt;'Données projet'!$A$270,$GR$205^A74,IF(A74='Données projet'!$A$270,'Données projet'!$B$270,GU73+GT74-HC73)))</f>
        <v>241.8</v>
      </c>
      <c r="GV74" s="18">
        <f>GU74*VLOOKUP('Données projet'!$B$18,Paramètres!$A$1:$I$89,3,0)*VLOOKUP('Données projet'!$B$18,Paramètres!$A$1:$I$89,5,0)</f>
        <v>230.09688</v>
      </c>
      <c r="GW74" s="14">
        <f t="shared" si="105"/>
        <v>56.303628738745964</v>
      </c>
      <c r="GX74" s="22">
        <f t="shared" si="82"/>
        <v>498.81421938664909</v>
      </c>
      <c r="GY74" s="62">
        <f t="shared" si="83"/>
        <v>792.1475527199824</v>
      </c>
      <c r="GZ74" s="62">
        <f ca="1">AVERAGE(OFFSET($GY$3,0,0,'Données projet'!$E$18+1,1))-AVERAGE(OFFSET($H$3,0,0,'Données projet'!$E$18+1,1))</f>
        <v>420.2510366318939</v>
      </c>
      <c r="HA74" s="62">
        <f t="shared" si="106"/>
        <v>220.59884411514116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25.569378374032649</v>
      </c>
      <c r="HH74" s="23">
        <f>EXP(-LN(2)/25)*HH73+(1-EXP(-LN(2)/25))/(LN(2)/25)*Calculateur!HC74*Calculateur!HE74*VLOOKUP('Données projet'!$B$18,Paramètres!$A$1:$I$89,3,0)*0.475*44/12</f>
        <v>0</v>
      </c>
      <c r="HI74" s="23">
        <f>EXP(-LN(2)/2)*HI73+(1-EXP(-LN(2)/2))/(LN(2)/2)*HC74*HF74*VLOOKUP('Données projet'!$B$18,Paramètres!$A$1:$I$89,3,0)*0.475*44/12</f>
        <v>0</v>
      </c>
      <c r="HJ74" s="24">
        <f t="shared" si="84"/>
        <v>25.569378374032649</v>
      </c>
    </row>
    <row r="75" spans="1:218" s="5" customFormat="1" x14ac:dyDescent="0.2">
      <c r="A75" s="11">
        <f t="shared" si="85"/>
        <v>72</v>
      </c>
      <c r="B75" s="74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11.25925925925926</v>
      </c>
      <c r="N75" s="14">
        <f>IF('Données projet'!$A$36&gt;35,N74+M75-V74,IF(A75&lt;'Données projet'!$A$36,$K$205^A75,IF(A75='Données projet'!$A$36,'Données projet'!$B$36,N74+M75-V74)))</f>
        <v>502.33333333333326</v>
      </c>
      <c r="O75" s="14">
        <f>N75*VLOOKUP('Données projet'!$B$9,Paramètres!$A$1:$I$89,3,0)*VLOOKUP('Données projet'!$B$9,Paramètres!$A$1:$I$89,5,0)</f>
        <v>431.00199999999995</v>
      </c>
      <c r="P75" s="14">
        <f t="shared" si="87"/>
        <v>98.034279530765474</v>
      </c>
      <c r="Q75" s="22">
        <f t="shared" si="54"/>
        <v>921.40485351608311</v>
      </c>
      <c r="R75" s="62">
        <f t="shared" si="55"/>
        <v>1214.7381868494165</v>
      </c>
      <c r="S75" s="62">
        <f ca="1">AVERAGE(OFFSET($R$3,0,0,'Données projet'!$E$9+1,1))-AVERAGE(OFFSET($H$3,0,0,'Données projet'!$E$9+1,1))</f>
        <v>623.31285537237943</v>
      </c>
      <c r="T75" s="62">
        <f t="shared" si="88"/>
        <v>462.33909258902241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84.898721289492059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84.898721289492059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4.2</v>
      </c>
      <c r="AI75" s="14">
        <f>IF('Données projet'!$A$62&gt;35,AI74+AH75-AQ74,IF(A75&lt;'Données projet'!$A$62,$AF$205^A75,IF(A75='Données projet'!$A$62,'Données projet'!$B$62,AI74+AH75-AQ74)))</f>
        <v>311.39999999999998</v>
      </c>
      <c r="AJ75" s="14">
        <f>AI75*VLOOKUP('Données projet'!$B$10,Paramètres!$A$1:$I$89,3,0)*VLOOKUP('Données projet'!$B$10,Paramètres!$A$1:$I$89,5,0)</f>
        <v>272.03904000000006</v>
      </c>
      <c r="AK75" s="14">
        <f t="shared" si="89"/>
        <v>65.281815371368268</v>
      </c>
      <c r="AL75" s="22">
        <f t="shared" si="58"/>
        <v>587.50048977179983</v>
      </c>
      <c r="AM75" s="62">
        <f t="shared" si="59"/>
        <v>880.83382310513321</v>
      </c>
      <c r="AN75" s="62">
        <f ca="1">AVERAGE(OFFSET($AM$3,0,0,'Données projet'!$E$10+1,1))-AVERAGE(OFFSET($H$3,0,0,'Données projet'!$E$10+1,1))</f>
        <v>390.70479111593545</v>
      </c>
      <c r="AO75" s="62">
        <f t="shared" si="90"/>
        <v>374.99493809709708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29.420178987869221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29.420178987869221</v>
      </c>
      <c r="AY75" s="7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4.2</v>
      </c>
      <c r="BD75" s="13">
        <f>IF('Données projet'!$A$88&gt;35,BD74+BC75-BL74,IF(A75&lt;'Données projet'!$A$88,$BA$205^A75,IF(A75='Données projet'!$A$88,'Données projet'!$B$88,BD74+BC75-BL74)))</f>
        <v>311.39999999999998</v>
      </c>
      <c r="BE75" s="14">
        <f>BD75*VLOOKUP('Données projet'!$B$11,Paramètres!$A$1:$I$89,3,0)*VLOOKUP('Données projet'!$B$11,Paramètres!$A$1:$I$89,5,0)</f>
        <v>247.74984000000001</v>
      </c>
      <c r="BF75" s="14">
        <f t="shared" si="91"/>
        <v>60.103849700617928</v>
      </c>
      <c r="BG75" s="22">
        <f t="shared" si="61"/>
        <v>536.17850956190955</v>
      </c>
      <c r="BH75" s="62">
        <f t="shared" si="62"/>
        <v>829.51184289524281</v>
      </c>
      <c r="BI75" s="62">
        <f ca="1">AVERAGE(OFFSET($BH$3,0,0,'Données projet'!$E$11+1,1))-AVERAGE(OFFSET($H$3,0,0,'Données projet'!$E$11+1,1))</f>
        <v>359.18294335011535</v>
      </c>
      <c r="BJ75" s="62">
        <f t="shared" si="92"/>
        <v>345.47508134331241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26.793377292523761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26.793377292523761</v>
      </c>
      <c r="BT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4.2</v>
      </c>
      <c r="BY75" s="13">
        <f>IF('Données projet'!$A$114&gt;35,BY74+BX75-CG74,IF(A75&lt;'Données projet'!$A$114,$BV$205^A75,IF(A75='Données projet'!$A$114,'Données projet'!$B$114,BY74+BX75-CG74)))</f>
        <v>311.39999999999998</v>
      </c>
      <c r="BZ75" s="14">
        <f>BY75*VLOOKUP('Données projet'!$B$12,Paramètres!$A$1:$I$89,3,0)*VLOOKUP('Données projet'!$B$12,Paramètres!$A$1:$I$89,5,0)</f>
        <v>228.31847999999997</v>
      </c>
      <c r="CA75" s="14">
        <f t="shared" si="93"/>
        <v>55.918942466546987</v>
      </c>
      <c r="CB75" s="22">
        <f t="shared" si="64"/>
        <v>495.04684412923598</v>
      </c>
      <c r="CC75" s="62">
        <f t="shared" si="65"/>
        <v>788.38017746256924</v>
      </c>
      <c r="CD75" s="62">
        <f ca="1">AVERAGE(OFFSET($CC$3,0,0,'Données projet'!$E$12+1,1))-AVERAGE(OFFSET($H$3,0,0,'Données projet'!$E$12+1,1))</f>
        <v>333.9187211440219</v>
      </c>
      <c r="CE75" s="62">
        <f t="shared" si="94"/>
        <v>321.81422611044997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20.033080099219575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20.033080099219575</v>
      </c>
      <c r="CO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4.2</v>
      </c>
      <c r="CT75" s="13">
        <f>IF('Données projet'!$A$140&gt;35,CT74+CS75-DB74,IF(A75&lt;'Données projet'!$A$140,$CQ$205^A75,IF(A75='Données projet'!$A$140,'Données projet'!$B$140,CT74+CS75-DB74)))</f>
        <v>311.39999999999998</v>
      </c>
      <c r="CU75" s="18">
        <f>CT75*VLOOKUP('Données projet'!$B$13,Paramètres!$A$1:$I$89,3,0)*VLOOKUP('Données projet'!$B$13,Paramètres!$A$1:$I$89,5,0)</f>
        <v>252.60768000000002</v>
      </c>
      <c r="CV75" s="14">
        <f t="shared" si="95"/>
        <v>61.143998601713257</v>
      </c>
      <c r="CW75" s="22">
        <f t="shared" si="67"/>
        <v>546.45084023131722</v>
      </c>
      <c r="CX75" s="62">
        <f t="shared" si="68"/>
        <v>839.78417356465047</v>
      </c>
      <c r="CY75" s="62">
        <f ca="1">AVERAGE(OFFSET($CX$3,0,0,'Données projet'!$E$13+1,1))-AVERAGE(OFFSET($H$3,0,0,'Données projet'!$E$13+1,1))</f>
        <v>365.492319515595</v>
      </c>
      <c r="CZ75" s="62">
        <f t="shared" si="96"/>
        <v>351.38386928091433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22.164258833179101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22.164258833179101</v>
      </c>
      <c r="DJ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8.8662500000000044</v>
      </c>
      <c r="DO75" s="13">
        <f>IF('Données projet'!$A$166&gt;35,DO74+DN75-DW74,IF(A75&lt;'Données projet'!$A$166,$DL$205^A75,IF(A75='Données projet'!$A$166,'Données projet'!$B$166,DO74+DN75-DW74)))</f>
        <v>268.24750000000012</v>
      </c>
      <c r="DP75" s="18">
        <f>DO75*VLOOKUP('Données projet'!$B$14,Paramètres!$A$1:$I$89,3,0)*VLOOKUP('Données projet'!$B$14,Paramètres!$A$1:$I$89,5,0)</f>
        <v>225.97169400000013</v>
      </c>
      <c r="DQ75" s="14">
        <f t="shared" si="97"/>
        <v>55.410773894793586</v>
      </c>
      <c r="DR75" s="22">
        <f t="shared" si="70"/>
        <v>490.07446491676569</v>
      </c>
      <c r="DS75" s="62">
        <f t="shared" si="71"/>
        <v>783.40779825009895</v>
      </c>
      <c r="DT75" s="62">
        <f ca="1">AVERAGE(OFFSET($DS$3,0,0,'Données projet'!$E$14+1,1))-AVERAGE(OFFSET($H$3,0,0,'Données projet'!$E$14+1,1))</f>
        <v>544.89250424794909</v>
      </c>
      <c r="DU75" s="62">
        <f t="shared" si="98"/>
        <v>253.98688498110715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11.804515598659609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11.804515598659609</v>
      </c>
      <c r="EE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8.8662500000000044</v>
      </c>
      <c r="EJ75" s="13">
        <f>IF('Données projet'!$A$192&gt;35,EJ74+EI75-ER74,IF(A75&lt;'Données projet'!$A$192,$EG$205^A75,IF(A75='Données projet'!$A$192,'Données projet'!$B$192,EJ74+EI75-ER74)))</f>
        <v>268.24750000000012</v>
      </c>
      <c r="EK75" s="18">
        <f>EJ75*VLOOKUP('Données projet'!$B$15,Paramètres!$A$1:$I$89,3,0)*VLOOKUP('Données projet'!$B$15,Paramètres!$A$1:$I$89,5,0)</f>
        <v>242.71033800000009</v>
      </c>
      <c r="EL75" s="14">
        <f t="shared" si="99"/>
        <v>59.022291232778812</v>
      </c>
      <c r="EM75" s="22">
        <f t="shared" si="73"/>
        <v>525.51766258042323</v>
      </c>
      <c r="EN75" s="62">
        <f t="shared" si="74"/>
        <v>818.85099591375661</v>
      </c>
      <c r="EO75" s="62">
        <f ca="1">AVERAGE(OFFSET($EN$3,0,0,'Données projet'!$E$15+1,1))-AVERAGE(OFFSET($H$3,0,0,'Données projet'!$E$15+1,1))</f>
        <v>581.88778927327667</v>
      </c>
      <c r="EP75" s="62">
        <f t="shared" si="100"/>
        <v>269.67340993773422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12.678924161523286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12.678924161523286</v>
      </c>
      <c r="EZ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8.8662500000000044</v>
      </c>
      <c r="FE75" s="13">
        <f>IF('Données projet'!$A$218&gt;35,FE74+FD75-FM74,IF(A75&lt;'Données projet'!$A$218,$FB$205^A75,IF(A75='Données projet'!$A$218,'Données projet'!$B$218,FE74+FD75-FM74)))</f>
        <v>268.24750000000012</v>
      </c>
      <c r="FF75" s="18">
        <f>FE75*VLOOKUP('Données projet'!$B$16,Paramètres!$A$1:$I$89,3,0)*VLOOKUP('Données projet'!$B$16,Paramètres!$A$1:$I$89,5,0)</f>
        <v>272.00296500000013</v>
      </c>
      <c r="FG75" s="14">
        <f t="shared" si="101"/>
        <v>65.274165988687102</v>
      </c>
      <c r="FH75" s="22">
        <f t="shared" si="76"/>
        <v>587.42433647196356</v>
      </c>
      <c r="FI75" s="62">
        <f t="shared" si="77"/>
        <v>880.75766980529693</v>
      </c>
      <c r="FJ75" s="62">
        <f ca="1">AVERAGE(OFFSET($FI$3,0,0,'Données projet'!$E$16+1,1))-AVERAGE(OFFSET($H$3,0,0,'Données projet'!$E$16+1,1))</f>
        <v>646.50767193970182</v>
      </c>
      <c r="FK75" s="62">
        <f t="shared" si="102"/>
        <v>297.06786598620607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14.209139146534714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14.209139146534714</v>
      </c>
      <c r="FU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8.8662500000000044</v>
      </c>
      <c r="FZ75" s="13">
        <f>IF('Données projet'!$A$244&gt;35,FZ74+FY75-GH74,IF(A75&lt;'Données projet'!$A$244,$FW$205^A75,IF(A75='Données projet'!$A$244,'Données projet'!$B$244,FZ74+FY75-GH74)))</f>
        <v>268.24750000000012</v>
      </c>
      <c r="GA75" s="18">
        <f>FZ75*VLOOKUP('Données projet'!$B$17,Paramètres!$A$1:$I$89,3,0)*VLOOKUP('Données projet'!$B$17,Paramètres!$A$1:$I$89,5,0)</f>
        <v>179.9404230000001</v>
      </c>
      <c r="GB75" s="14">
        <f t="shared" si="103"/>
        <v>45.308931126343715</v>
      </c>
      <c r="GC75" s="22">
        <f t="shared" si="79"/>
        <v>392.30929177004873</v>
      </c>
      <c r="GD75" s="62">
        <f t="shared" si="80"/>
        <v>685.64262510338199</v>
      </c>
      <c r="GE75" s="62">
        <f ca="1">AVERAGE(OFFSET($GD$3,0,0,'Données projet'!$E$17+1,1))-AVERAGE(OFFSET($H$3,0,0,'Données projet'!$E$17+1,1))</f>
        <v>442.85175349826028</v>
      </c>
      <c r="GF75" s="62">
        <f t="shared" si="104"/>
        <v>210.70697808232501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11.58591345794369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11.58591345794369</v>
      </c>
      <c r="GP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6.8</v>
      </c>
      <c r="GU75" s="13">
        <f>IF('Données projet'!$A$270&gt;35,GU74+GT75-HC74,IF(A75&lt;'Données projet'!$A$270,$GR$205^A75,IF(A75='Données projet'!$A$270,'Données projet'!$B$270,GU74+GT75-HC74)))</f>
        <v>248.60000000000002</v>
      </c>
      <c r="GV75" s="18">
        <f>GU75*VLOOKUP('Données projet'!$B$18,Paramètres!$A$1:$I$89,3,0)*VLOOKUP('Données projet'!$B$18,Paramètres!$A$1:$I$89,5,0)</f>
        <v>236.56776000000002</v>
      </c>
      <c r="GW75" s="14">
        <f t="shared" si="105"/>
        <v>57.700449394109867</v>
      </c>
      <c r="GX75" s="22">
        <f t="shared" si="82"/>
        <v>512.51713136140813</v>
      </c>
      <c r="GY75" s="62">
        <f t="shared" si="83"/>
        <v>805.8504646947415</v>
      </c>
      <c r="GZ75" s="62">
        <f ca="1">AVERAGE(OFFSET($GY$3,0,0,'Données projet'!$E$18+1,1))-AVERAGE(OFFSET($H$3,0,0,'Données projet'!$E$18+1,1))</f>
        <v>420.2510366318939</v>
      </c>
      <c r="HA75" s="62">
        <f t="shared" si="106"/>
        <v>220.59884411514116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25.067978459898722</v>
      </c>
      <c r="HH75" s="23">
        <f>EXP(-LN(2)/25)*HH74+(1-EXP(-LN(2)/25))/(LN(2)/25)*Calculateur!HC75*Calculateur!HE75*VLOOKUP('Données projet'!$B$18,Paramètres!$A$1:$I$89,3,0)*0.475*44/12</f>
        <v>0</v>
      </c>
      <c r="HI75" s="23">
        <f>EXP(-LN(2)/2)*HI74+(1-EXP(-LN(2)/2))/(LN(2)/2)*HC75*HF75*VLOOKUP('Données projet'!$B$18,Paramètres!$A$1:$I$89,3,0)*0.475*44/12</f>
        <v>0</v>
      </c>
      <c r="HJ75" s="24">
        <f t="shared" si="84"/>
        <v>25.067978459898722</v>
      </c>
    </row>
    <row r="76" spans="1:218" s="5" customFormat="1" x14ac:dyDescent="0.2">
      <c r="A76" s="11">
        <f t="shared" si="85"/>
        <v>73</v>
      </c>
      <c r="B76" s="74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11.25925925925926</v>
      </c>
      <c r="N76" s="14">
        <f>IF('Données projet'!$A$36&gt;35,N75+M76-V75,IF(A76&lt;'Données projet'!$A$36,$K$205^A76,IF(A76='Données projet'!$A$36,'Données projet'!$B$36,N75+M76-V75)))</f>
        <v>513.5925925925925</v>
      </c>
      <c r="O76" s="14">
        <f>N76*VLOOKUP('Données projet'!$B$9,Paramètres!$A$1:$I$89,3,0)*VLOOKUP('Données projet'!$B$9,Paramètres!$A$1:$I$89,5,0)</f>
        <v>440.66244444444436</v>
      </c>
      <c r="P76" s="14">
        <f t="shared" si="87"/>
        <v>99.973330674651464</v>
      </c>
      <c r="Q76" s="22">
        <f t="shared" si="54"/>
        <v>941.60730833242508</v>
      </c>
      <c r="R76" s="62">
        <f t="shared" si="55"/>
        <v>1234.9406416657584</v>
      </c>
      <c r="S76" s="62">
        <f ca="1">AVERAGE(OFFSET($R$3,0,0,'Données projet'!$E$9+1,1))-AVERAGE(OFFSET($H$3,0,0,'Données projet'!$E$9+1,1))</f>
        <v>623.31285537237943</v>
      </c>
      <c r="T76" s="62">
        <f t="shared" si="88"/>
        <v>462.33909258902241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83.233909148111948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83.233909148111948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4.2</v>
      </c>
      <c r="AI76" s="14">
        <f>IF('Données projet'!$A$62&gt;35,AI75+AH76-AQ75,IF(A76&lt;'Données projet'!$A$62,$AF$205^A76,IF(A76='Données projet'!$A$62,'Données projet'!$B$62,AI75+AH76-AQ75)))</f>
        <v>315.59999999999997</v>
      </c>
      <c r="AJ76" s="14">
        <f>AI76*VLOOKUP('Données projet'!$B$10,Paramètres!$A$1:$I$89,3,0)*VLOOKUP('Données projet'!$B$10,Paramètres!$A$1:$I$89,5,0)</f>
        <v>275.70816000000002</v>
      </c>
      <c r="AK76" s="14">
        <f t="shared" si="89"/>
        <v>66.05920594467139</v>
      </c>
      <c r="AL76" s="22">
        <f t="shared" si="58"/>
        <v>595.24482902030275</v>
      </c>
      <c r="AM76" s="62">
        <f t="shared" si="59"/>
        <v>888.57816235363612</v>
      </c>
      <c r="AN76" s="62">
        <f ca="1">AVERAGE(OFFSET($AM$3,0,0,'Données projet'!$E$10+1,1))-AVERAGE(OFFSET($H$3,0,0,'Données projet'!$E$10+1,1))</f>
        <v>390.70479111593545</v>
      </c>
      <c r="AO76" s="62">
        <f t="shared" si="90"/>
        <v>374.99493809709708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28.843267222454411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28.843267222454411</v>
      </c>
      <c r="AY76" s="7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4.2</v>
      </c>
      <c r="BD76" s="13">
        <f>IF('Données projet'!$A$88&gt;35,BD75+BC76-BL75,IF(A76&lt;'Données projet'!$A$88,$BA$205^A76,IF(A76='Données projet'!$A$88,'Données projet'!$B$88,BD75+BC76-BL75)))</f>
        <v>315.59999999999997</v>
      </c>
      <c r="BE76" s="14">
        <f>BD76*VLOOKUP('Données projet'!$B$11,Paramètres!$A$1:$I$89,3,0)*VLOOKUP('Données projet'!$B$11,Paramètres!$A$1:$I$89,5,0)</f>
        <v>251.09135999999998</v>
      </c>
      <c r="BF76" s="14">
        <f t="shared" si="91"/>
        <v>60.81957989149403</v>
      </c>
      <c r="BG76" s="22">
        <f t="shared" si="61"/>
        <v>543.24488697768538</v>
      </c>
      <c r="BH76" s="62">
        <f t="shared" si="62"/>
        <v>836.57822031101864</v>
      </c>
      <c r="BI76" s="62">
        <f ca="1">AVERAGE(OFFSET($BH$3,0,0,'Données projet'!$E$11+1,1))-AVERAGE(OFFSET($H$3,0,0,'Données projet'!$E$11+1,1))</f>
        <v>359.18294335011535</v>
      </c>
      <c r="BJ76" s="62">
        <f t="shared" si="92"/>
        <v>345.47508134331241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26.267975506163847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26.267975506163847</v>
      </c>
      <c r="BT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4.2</v>
      </c>
      <c r="BY76" s="13">
        <f>IF('Données projet'!$A$114&gt;35,BY75+BX76-CG75,IF(A76&lt;'Données projet'!$A$114,$BV$205^A76,IF(A76='Données projet'!$A$114,'Données projet'!$B$114,BY75+BX76-CG75)))</f>
        <v>315.59999999999997</v>
      </c>
      <c r="BZ76" s="14">
        <f>BY76*VLOOKUP('Données projet'!$B$12,Paramètres!$A$1:$I$89,3,0)*VLOOKUP('Données projet'!$B$12,Paramètres!$A$1:$I$89,5,0)</f>
        <v>231.39791999999994</v>
      </c>
      <c r="CA76" s="14">
        <f t="shared" si="93"/>
        <v>56.584837838715806</v>
      </c>
      <c r="CB76" s="22">
        <f t="shared" si="64"/>
        <v>501.56996990242988</v>
      </c>
      <c r="CC76" s="62">
        <f t="shared" si="65"/>
        <v>794.90330323576313</v>
      </c>
      <c r="CD76" s="62">
        <f ca="1">AVERAGE(OFFSET($CC$3,0,0,'Données projet'!$E$12+1,1))-AVERAGE(OFFSET($H$3,0,0,'Données projet'!$E$12+1,1))</f>
        <v>333.9187211440219</v>
      </c>
      <c r="CE76" s="62">
        <f t="shared" si="94"/>
        <v>321.81422611044997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19.640243617446217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19.640243617446217</v>
      </c>
      <c r="CO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4.2</v>
      </c>
      <c r="CT76" s="13">
        <f>IF('Données projet'!$A$140&gt;35,CT75+CS76-DB75,IF(A76&lt;'Données projet'!$A$140,$CQ$205^A76,IF(A76='Données projet'!$A$140,'Données projet'!$B$140,CT75+CS76-DB75)))</f>
        <v>315.59999999999997</v>
      </c>
      <c r="CU76" s="18">
        <f>CT76*VLOOKUP('Données projet'!$B$13,Paramètres!$A$1:$I$89,3,0)*VLOOKUP('Données projet'!$B$13,Paramètres!$A$1:$I$89,5,0)</f>
        <v>256.01472000000001</v>
      </c>
      <c r="CV76" s="14">
        <f t="shared" si="95"/>
        <v>61.872115120174627</v>
      </c>
      <c r="CW76" s="22">
        <f t="shared" si="67"/>
        <v>553.65290450097075</v>
      </c>
      <c r="CX76" s="62">
        <f t="shared" si="68"/>
        <v>846.98623783430412</v>
      </c>
      <c r="CY76" s="62">
        <f ca="1">AVERAGE(OFFSET($CX$3,0,0,'Données projet'!$E$13+1,1))-AVERAGE(OFFSET($H$3,0,0,'Données projet'!$E$13+1,1))</f>
        <v>365.492319515595</v>
      </c>
      <c r="CZ76" s="62">
        <f t="shared" si="96"/>
        <v>351.38386928091433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21.72963123632347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21.72963123632347</v>
      </c>
      <c r="DJ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8.8662500000000044</v>
      </c>
      <c r="DO76" s="13">
        <f>IF('Données projet'!$A$166&gt;35,DO75+DN76-DW75,IF(A76&lt;'Données projet'!$A$166,$DL$205^A76,IF(A76='Données projet'!$A$166,'Données projet'!$B$166,DO75+DN76-DW75)))</f>
        <v>277.1137500000001</v>
      </c>
      <c r="DP76" s="18">
        <f>DO76*VLOOKUP('Données projet'!$B$14,Paramètres!$A$1:$I$89,3,0)*VLOOKUP('Données projet'!$B$14,Paramètres!$A$1:$I$89,5,0)</f>
        <v>233.4406230000001</v>
      </c>
      <c r="DQ76" s="14">
        <f t="shared" si="97"/>
        <v>57.025980545727897</v>
      </c>
      <c r="DR76" s="22">
        <f t="shared" si="70"/>
        <v>505.89600117547621</v>
      </c>
      <c r="DS76" s="62">
        <f t="shared" si="71"/>
        <v>799.22933450880953</v>
      </c>
      <c r="DT76" s="62">
        <f ca="1">AVERAGE(OFFSET($DS$3,0,0,'Données projet'!$E$14+1,1))-AVERAGE(OFFSET($H$3,0,0,'Données projet'!$E$14+1,1))</f>
        <v>544.89250424794909</v>
      </c>
      <c r="DU76" s="62">
        <f t="shared" si="98"/>
        <v>253.98688498110715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11.573036247813464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11.573036247813464</v>
      </c>
      <c r="EE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8.8662500000000044</v>
      </c>
      <c r="EJ76" s="13">
        <f>IF('Données projet'!$A$192&gt;35,EJ75+EI76-ER75,IF(A76&lt;'Données projet'!$A$192,$EG$205^A76,IF(A76='Données projet'!$A$192,'Données projet'!$B$192,EJ75+EI76-ER75)))</f>
        <v>277.1137500000001</v>
      </c>
      <c r="EK76" s="18">
        <f>EJ76*VLOOKUP('Données projet'!$B$15,Paramètres!$A$1:$I$89,3,0)*VLOOKUP('Données projet'!$B$15,Paramètres!$A$1:$I$89,5,0)</f>
        <v>250.73252100000005</v>
      </c>
      <c r="EL76" s="14">
        <f t="shared" si="99"/>
        <v>60.74277247950485</v>
      </c>
      <c r="EM76" s="22">
        <f t="shared" si="73"/>
        <v>542.48613614347107</v>
      </c>
      <c r="EN76" s="62">
        <f t="shared" si="74"/>
        <v>835.81946947680444</v>
      </c>
      <c r="EO76" s="62">
        <f ca="1">AVERAGE(OFFSET($EN$3,0,0,'Données projet'!$E$15+1,1))-AVERAGE(OFFSET($H$3,0,0,'Données projet'!$E$15+1,1))</f>
        <v>581.88778927327667</v>
      </c>
      <c r="EP76" s="62">
        <f t="shared" si="100"/>
        <v>269.67340993773422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12.430298192095945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12.430298192095945</v>
      </c>
      <c r="EZ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8.8662500000000044</v>
      </c>
      <c r="FE76" s="13">
        <f>IF('Données projet'!$A$218&gt;35,FE75+FD76-FM75,IF(A76&lt;'Données projet'!$A$218,$FB$205^A76,IF(A76='Données projet'!$A$218,'Données projet'!$B$218,FE75+FD76-FM75)))</f>
        <v>277.1137500000001</v>
      </c>
      <c r="FF76" s="18">
        <f>FE76*VLOOKUP('Données projet'!$B$16,Paramètres!$A$1:$I$89,3,0)*VLOOKUP('Données projet'!$B$16,Paramètres!$A$1:$I$89,5,0)</f>
        <v>280.9933425000001</v>
      </c>
      <c r="FG76" s="14">
        <f t="shared" si="101"/>
        <v>67.176887420430603</v>
      </c>
      <c r="FH76" s="22">
        <f t="shared" si="76"/>
        <v>606.39648377808339</v>
      </c>
      <c r="FI76" s="62">
        <f t="shared" si="77"/>
        <v>899.72981711141665</v>
      </c>
      <c r="FJ76" s="62">
        <f ca="1">AVERAGE(OFFSET($FI$3,0,0,'Données projet'!$E$16+1,1))-AVERAGE(OFFSET($H$3,0,0,'Données projet'!$E$16+1,1))</f>
        <v>646.50767193970182</v>
      </c>
      <c r="FK76" s="62">
        <f t="shared" si="102"/>
        <v>297.06786598620607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13.93050659459028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13.93050659459028</v>
      </c>
      <c r="FU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8.8662500000000044</v>
      </c>
      <c r="FZ76" s="13">
        <f>IF('Données projet'!$A$244&gt;35,FZ75+FY76-GH75,IF(A76&lt;'Données projet'!$A$244,$FW$205^A76,IF(A76='Données projet'!$A$244,'Données projet'!$B$244,FZ75+FY76-GH75)))</f>
        <v>277.1137500000001</v>
      </c>
      <c r="GA76" s="18">
        <f>FZ76*VLOOKUP('Données projet'!$B$17,Paramètres!$A$1:$I$89,3,0)*VLOOKUP('Données projet'!$B$17,Paramètres!$A$1:$I$89,5,0)</f>
        <v>185.88790350000008</v>
      </c>
      <c r="GB76" s="14">
        <f t="shared" si="103"/>
        <v>46.62967223421829</v>
      </c>
      <c r="GC76" s="22">
        <f t="shared" si="79"/>
        <v>404.96811107043033</v>
      </c>
      <c r="GD76" s="62">
        <f t="shared" si="80"/>
        <v>698.30144440376364</v>
      </c>
      <c r="GE76" s="62">
        <f ca="1">AVERAGE(OFFSET($GD$3,0,0,'Données projet'!$E$17+1,1))-AVERAGE(OFFSET($H$3,0,0,'Données projet'!$E$17+1,1))</f>
        <v>442.85175349826028</v>
      </c>
      <c r="GF76" s="62">
        <f t="shared" si="104"/>
        <v>210.70697808232501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11.358720761742843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11.358720761742843</v>
      </c>
      <c r="GP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6.8</v>
      </c>
      <c r="GU76" s="13">
        <f>IF('Données projet'!$A$270&gt;35,GU75+GT76-HC75,IF(A76&lt;'Données projet'!$A$270,$GR$205^A76,IF(A76='Données projet'!$A$270,'Données projet'!$B$270,GU75+GT76-HC75)))</f>
        <v>255.40000000000003</v>
      </c>
      <c r="GV76" s="18">
        <f>GU76*VLOOKUP('Données projet'!$B$18,Paramètres!$A$1:$I$89,3,0)*VLOOKUP('Données projet'!$B$18,Paramètres!$A$1:$I$89,5,0)</f>
        <v>243.03864000000002</v>
      </c>
      <c r="GW76" s="14">
        <f t="shared" si="105"/>
        <v>59.092829185665224</v>
      </c>
      <c r="GX76" s="22">
        <f t="shared" si="82"/>
        <v>526.2123088317004</v>
      </c>
      <c r="GY76" s="62">
        <f t="shared" si="83"/>
        <v>819.54564216503377</v>
      </c>
      <c r="GZ76" s="62">
        <f ca="1">AVERAGE(OFFSET($GY$3,0,0,'Données projet'!$E$18+1,1))-AVERAGE(OFFSET($H$3,0,0,'Données projet'!$E$18+1,1))</f>
        <v>420.2510366318939</v>
      </c>
      <c r="HA76" s="62">
        <f t="shared" si="106"/>
        <v>220.59884411514116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24.576410692257209</v>
      </c>
      <c r="HH76" s="23">
        <f>EXP(-LN(2)/25)*HH75+(1-EXP(-LN(2)/25))/(LN(2)/25)*Calculateur!HC76*Calculateur!HE76*VLOOKUP('Données projet'!$B$18,Paramètres!$A$1:$I$89,3,0)*0.475*44/12</f>
        <v>0</v>
      </c>
      <c r="HI76" s="23">
        <f>EXP(-LN(2)/2)*HI75+(1-EXP(-LN(2)/2))/(LN(2)/2)*HC76*HF76*VLOOKUP('Données projet'!$B$18,Paramètres!$A$1:$I$89,3,0)*0.475*44/12</f>
        <v>0</v>
      </c>
      <c r="HJ76" s="24">
        <f t="shared" si="84"/>
        <v>24.576410692257209</v>
      </c>
    </row>
    <row r="77" spans="1:218" s="5" customFormat="1" x14ac:dyDescent="0.2">
      <c r="A77" s="11">
        <f t="shared" si="85"/>
        <v>74</v>
      </c>
      <c r="B77" s="74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11.25925925925926</v>
      </c>
      <c r="N77" s="14">
        <f>IF('Données projet'!$A$36&gt;35,N76+M77-V76,IF(A77&lt;'Données projet'!$A$36,$K$205^A77,IF(A77='Données projet'!$A$36,'Données projet'!$B$36,N76+M77-V76)))</f>
        <v>524.85185185185173</v>
      </c>
      <c r="O77" s="14">
        <f>N77*VLOOKUP('Données projet'!$B$9,Paramètres!$A$1:$I$89,3,0)*VLOOKUP('Données projet'!$B$9,Paramètres!$A$1:$I$89,5,0)</f>
        <v>450.32288888888883</v>
      </c>
      <c r="P77" s="14">
        <f t="shared" si="87"/>
        <v>101.90743966666022</v>
      </c>
      <c r="Q77" s="22">
        <f t="shared" si="54"/>
        <v>961.80115556758119</v>
      </c>
      <c r="R77" s="62">
        <f t="shared" si="55"/>
        <v>1255.1344889009144</v>
      </c>
      <c r="S77" s="62">
        <f ca="1">AVERAGE(OFFSET($R$3,0,0,'Données projet'!$E$9+1,1))-AVERAGE(OFFSET($H$3,0,0,'Données projet'!$E$9+1,1))</f>
        <v>623.31285537237943</v>
      </c>
      <c r="T77" s="62">
        <f t="shared" si="88"/>
        <v>462.33909258902241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81.601742957389163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81.601742957389163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4.2</v>
      </c>
      <c r="AI77" s="14">
        <f>IF('Données projet'!$A$62&gt;35,AI76+AH77-AQ76,IF(A77&lt;'Données projet'!$A$62,$AF$205^A77,IF(A77='Données projet'!$A$62,'Données projet'!$B$62,AI76+AH77-AQ76)))</f>
        <v>319.79999999999995</v>
      </c>
      <c r="AJ77" s="14">
        <f>AI77*VLOOKUP('Données projet'!$B$10,Paramètres!$A$1:$I$89,3,0)*VLOOKUP('Données projet'!$B$10,Paramètres!$A$1:$I$89,5,0)</f>
        <v>279.37727999999998</v>
      </c>
      <c r="AK77" s="14">
        <f t="shared" si="89"/>
        <v>66.835393196206113</v>
      </c>
      <c r="AL77" s="22">
        <f t="shared" si="58"/>
        <v>602.98707248339224</v>
      </c>
      <c r="AM77" s="62">
        <f t="shared" si="59"/>
        <v>896.3204058167255</v>
      </c>
      <c r="AN77" s="62">
        <f ca="1">AVERAGE(OFFSET($AM$3,0,0,'Données projet'!$E$10+1,1))-AVERAGE(OFFSET($H$3,0,0,'Données projet'!$E$10+1,1))</f>
        <v>390.70479111593545</v>
      </c>
      <c r="AO77" s="62">
        <f t="shared" si="90"/>
        <v>374.99493809709708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28.277668344877956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28.277668344877956</v>
      </c>
      <c r="AY77" s="7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4.2</v>
      </c>
      <c r="BD77" s="13">
        <f>IF('Données projet'!$A$88&gt;35,BD76+BC77-BL76,IF(A77&lt;'Données projet'!$A$88,$BA$205^A77,IF(A77='Données projet'!$A$88,'Données projet'!$B$88,BD76+BC77-BL76)))</f>
        <v>319.79999999999995</v>
      </c>
      <c r="BE77" s="14">
        <f>BD77*VLOOKUP('Données projet'!$B$11,Paramètres!$A$1:$I$89,3,0)*VLOOKUP('Données projet'!$B$11,Paramètres!$A$1:$I$89,5,0)</f>
        <v>254.43287999999998</v>
      </c>
      <c r="BF77" s="14">
        <f t="shared" si="91"/>
        <v>61.534202204620449</v>
      </c>
      <c r="BG77" s="22">
        <f t="shared" si="61"/>
        <v>550.30933483971387</v>
      </c>
      <c r="BH77" s="62">
        <f t="shared" si="62"/>
        <v>843.64266817304724</v>
      </c>
      <c r="BI77" s="62">
        <f ca="1">AVERAGE(OFFSET($BH$3,0,0,'Données projet'!$E$11+1,1))-AVERAGE(OFFSET($H$3,0,0,'Données projet'!$E$11+1,1))</f>
        <v>359.18294335011535</v>
      </c>
      <c r="BJ77" s="62">
        <f t="shared" si="92"/>
        <v>345.47508134331241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25.752876528371004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25.752876528371004</v>
      </c>
      <c r="BT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4.2</v>
      </c>
      <c r="BY77" s="13">
        <f>IF('Données projet'!$A$114&gt;35,BY76+BX77-CG76,IF(A77&lt;'Données projet'!$A$114,$BV$205^A77,IF(A77='Données projet'!$A$114,'Données projet'!$B$114,BY76+BX77-CG76)))</f>
        <v>319.79999999999995</v>
      </c>
      <c r="BZ77" s="14">
        <f>BY77*VLOOKUP('Données projet'!$B$12,Paramètres!$A$1:$I$89,3,0)*VLOOKUP('Données projet'!$B$12,Paramètres!$A$1:$I$89,5,0)</f>
        <v>234.47735999999998</v>
      </c>
      <c r="CA77" s="14">
        <f t="shared" si="93"/>
        <v>57.249702472380292</v>
      </c>
      <c r="CB77" s="22">
        <f t="shared" si="64"/>
        <v>508.09130047272902</v>
      </c>
      <c r="CC77" s="62">
        <f t="shared" si="65"/>
        <v>801.42463380606227</v>
      </c>
      <c r="CD77" s="62">
        <f ca="1">AVERAGE(OFFSET($CC$3,0,0,'Données projet'!$E$12+1,1))-AVERAGE(OFFSET($H$3,0,0,'Données projet'!$E$12+1,1))</f>
        <v>333.9187211440219</v>
      </c>
      <c r="CE77" s="62">
        <f t="shared" si="94"/>
        <v>321.81422611044997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19.255110419473837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19.255110419473837</v>
      </c>
      <c r="CO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4.2</v>
      </c>
      <c r="CT77" s="13">
        <f>IF('Données projet'!$A$140&gt;35,CT76+CS77-DB76,IF(A77&lt;'Données projet'!$A$140,$CQ$205^A77,IF(A77='Données projet'!$A$140,'Données projet'!$B$140,CT76+CS77-DB76)))</f>
        <v>319.79999999999995</v>
      </c>
      <c r="CU77" s="18">
        <f>CT77*VLOOKUP('Données projet'!$B$13,Paramètres!$A$1:$I$89,3,0)*VLOOKUP('Données projet'!$B$13,Paramètres!$A$1:$I$89,5,0)</f>
        <v>259.42176000000001</v>
      </c>
      <c r="CV77" s="14">
        <f t="shared" si="95"/>
        <v>62.599104588107195</v>
      </c>
      <c r="CW77" s="22">
        <f t="shared" si="67"/>
        <v>560.8530058242867</v>
      </c>
      <c r="CX77" s="62">
        <f t="shared" si="68"/>
        <v>854.18633915762007</v>
      </c>
      <c r="CY77" s="62">
        <f ca="1">AVERAGE(OFFSET($CX$3,0,0,'Données projet'!$E$13+1,1))-AVERAGE(OFFSET($H$3,0,0,'Données projet'!$E$13+1,1))</f>
        <v>365.492319515595</v>
      </c>
      <c r="CZ77" s="62">
        <f t="shared" si="96"/>
        <v>351.38386928091433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21.30352642154552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21.30352642154552</v>
      </c>
      <c r="DJ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>
        <f>VLOOKUP(A77,'Données projet'!$A$165:$I$185,2,0)</f>
        <v>285.98</v>
      </c>
      <c r="DM77" s="13">
        <f>VLOOKUP(A77,'Données projet'!$A$165:$I$185,9,0)</f>
        <v>8.8662500000000044</v>
      </c>
      <c r="DN77" s="13">
        <f t="array" ref="DN77">INDEX(DM:DM,MIN(IF(ISNUMBER(DM77:DM273),ROW(DM77:DM273),"")))</f>
        <v>8.8662500000000044</v>
      </c>
      <c r="DO77" s="13">
        <f>IF('Données projet'!$A$166&gt;35,DO76+DN77-DW76,IF(A77&lt;'Données projet'!$A$166,$DL$205^A77,IF(A77='Données projet'!$A$166,'Données projet'!$B$166,DO76+DN77-DW76)))</f>
        <v>285.98000000000008</v>
      </c>
      <c r="DP77" s="18">
        <f>DO77*VLOOKUP('Données projet'!$B$14,Paramètres!$A$1:$I$89,3,0)*VLOOKUP('Données projet'!$B$14,Paramètres!$A$1:$I$89,5,0)</f>
        <v>240.90955200000008</v>
      </c>
      <c r="DQ77" s="14">
        <f t="shared" si="97"/>
        <v>58.635181922918122</v>
      </c>
      <c r="DR77" s="22">
        <f t="shared" si="70"/>
        <v>521.70707824908243</v>
      </c>
      <c r="DS77" s="62">
        <f t="shared" si="71"/>
        <v>815.0404115824158</v>
      </c>
      <c r="DT77" s="62">
        <f ca="1">AVERAGE(OFFSET($DS$3,0,0,'Données projet'!$E$14+1,1))-AVERAGE(OFFSET($H$3,0,0,'Données projet'!$E$14+1,1))</f>
        <v>544.89250424794909</v>
      </c>
      <c r="DU77" s="62">
        <f t="shared" si="98"/>
        <v>253.98688498110715</v>
      </c>
      <c r="DV77" s="16">
        <f>IF(ISNA(VLOOKUP(A77,'Données projet'!$A$165:$I$185,3,0)),0,VLOOKUP(A77,'Données projet'!$A$165:$I$185,3,0))</f>
        <v>5</v>
      </c>
      <c r="DW77" s="16">
        <f>IF(ISNA(VLOOKUP(A77,'Données projet'!$A$165:$I$185,4,0)),0,VLOOKUP(A77,'Données projet'!$A$165:$I$185,4,0))</f>
        <v>47.4</v>
      </c>
      <c r="DX77" s="17">
        <f>IF(ISNA(VLOOKUP(A77,'Données projet'!$A$165:$I$185,5,0)),0%,VLOOKUP(A77,'Données projet'!$A$165:$I$185,5,0)*VLOOKUP('Données projet'!$B$14,Paramètres!$A$1:$I$89,7,0))</f>
        <v>0.17200000000000001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18.938376779848802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18.938376779848802</v>
      </c>
      <c r="EE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>
        <f>VLOOKUP(A77,'Données projet'!$A$191:$I$211,2,0)</f>
        <v>285.98</v>
      </c>
      <c r="EH77" s="13">
        <f>VLOOKUP(A77,'Données projet'!$A$191:$I$211,9,0)</f>
        <v>8.8662500000000044</v>
      </c>
      <c r="EI77" s="13">
        <f t="array" ref="EI77">INDEX(EH:EH,MIN(IF(ISNUMBER(EH77:EH273),ROW(EH77:EH273),"")))</f>
        <v>8.8662500000000044</v>
      </c>
      <c r="EJ77" s="13">
        <f>IF('Données projet'!$A$192&gt;35,EJ76+EI77-ER76,IF(A77&lt;'Données projet'!$A$192,$EG$205^A77,IF(A77='Données projet'!$A$192,'Données projet'!$B$192,EJ76+EI77-ER76)))</f>
        <v>285.98000000000008</v>
      </c>
      <c r="EK77" s="18">
        <f>EJ77*VLOOKUP('Données projet'!$B$15,Paramètres!$A$1:$I$89,3,0)*VLOOKUP('Données projet'!$B$15,Paramètres!$A$1:$I$89,5,0)</f>
        <v>258.75470400000006</v>
      </c>
      <c r="EL77" s="14">
        <f t="shared" si="99"/>
        <v>62.456857045748947</v>
      </c>
      <c r="EM77" s="22">
        <f t="shared" si="73"/>
        <v>559.4434688213463</v>
      </c>
      <c r="EN77" s="62">
        <f t="shared" si="74"/>
        <v>852.77680215467967</v>
      </c>
      <c r="EO77" s="62">
        <f ca="1">AVERAGE(OFFSET($EN$3,0,0,'Données projet'!$E$15+1,1))-AVERAGE(OFFSET($H$3,0,0,'Données projet'!$E$15+1,1))</f>
        <v>581.88778927327667</v>
      </c>
      <c r="EP77" s="62">
        <f t="shared" si="100"/>
        <v>269.67340993773422</v>
      </c>
      <c r="EQ77" s="16">
        <f>IF(ISNA(VLOOKUP(A77,'Données projet'!$A$191:$I$211,3,0)),0,VLOOKUP(A77,'Données projet'!$A$191:$I$211,3,0))</f>
        <v>5</v>
      </c>
      <c r="ER77" s="16">
        <f>IF(ISNA(VLOOKUP(A77,'Données projet'!$A$191:$I$211,4,0)),0,VLOOKUP(A77,'Données projet'!$A$191:$I$211,4,0))</f>
        <v>47.4</v>
      </c>
      <c r="ES77" s="17">
        <f>IF(ISNA(VLOOKUP(A77,'Données projet'!$A$191:$I$211,5,0)),0%,VLOOKUP(A77,'Données projet'!$A$191:$I$211,5,0)*VLOOKUP('Données projet'!$B$15,Paramètres!$A$1:$I$89,7,0))</f>
        <v>0.17200000000000001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20.341219504282051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20.341219504282051</v>
      </c>
      <c r="EZ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>
        <f>VLOOKUP(A77,'Données projet'!$A$217:$I$237,2,0)</f>
        <v>285.98</v>
      </c>
      <c r="FC77" s="13">
        <f>VLOOKUP(A77,'Données projet'!$A$217:$I$237,9,0)</f>
        <v>8.8662500000000044</v>
      </c>
      <c r="FD77" s="13">
        <f t="array" ref="FD77">INDEX(FC:FC,MIN(IF(ISNUMBER(FC77:FC273),ROW(FC77:FC273),"")))</f>
        <v>8.8662500000000044</v>
      </c>
      <c r="FE77" s="13">
        <f>IF('Données projet'!$A$218&gt;35,FE76+FD77-FM76,IF(A77&lt;'Données projet'!$A$218,$FB$205^A77,IF(A77='Données projet'!$A$218,'Données projet'!$B$218,FE76+FD77-FM76)))</f>
        <v>285.98000000000008</v>
      </c>
      <c r="FF77" s="18">
        <f>FE77*VLOOKUP('Données projet'!$B$16,Paramètres!$A$1:$I$89,3,0)*VLOOKUP('Données projet'!$B$16,Paramètres!$A$1:$I$89,5,0)</f>
        <v>289.98372000000012</v>
      </c>
      <c r="FG77" s="14">
        <f t="shared" si="101"/>
        <v>69.072534609971271</v>
      </c>
      <c r="FH77" s="22">
        <f t="shared" si="76"/>
        <v>625.35631011236683</v>
      </c>
      <c r="FI77" s="62">
        <f t="shared" si="77"/>
        <v>918.68964344570009</v>
      </c>
      <c r="FJ77" s="62">
        <f ca="1">AVERAGE(OFFSET($FI$3,0,0,'Données projet'!$E$16+1,1))-AVERAGE(OFFSET($H$3,0,0,'Données projet'!$E$16+1,1))</f>
        <v>646.50767193970182</v>
      </c>
      <c r="FK77" s="62">
        <f t="shared" si="102"/>
        <v>297.06786598620607</v>
      </c>
      <c r="FL77" s="16">
        <f>IF(ISNA(VLOOKUP(A77,'Données projet'!$A$217:$I$237,3,0)),0,VLOOKUP(A77,'Données projet'!$A$217:$I$237,3,0))</f>
        <v>5</v>
      </c>
      <c r="FM77" s="16">
        <f>IF(ISNA(VLOOKUP(A77,'Données projet'!$A$217:$I$237,4,0)),0,VLOOKUP(A77,'Données projet'!$A$217:$I$237,4,0))</f>
        <v>47.4</v>
      </c>
      <c r="FN77" s="17">
        <f>IF(ISNA(VLOOKUP(A77,'Données projet'!$A$217:$I$237,5,0)),0%,VLOOKUP(A77,'Données projet'!$A$217:$I$237,5,0)*VLOOKUP('Données projet'!$B$16,Paramètres!$A$1:$I$89,7,0))</f>
        <v>0.17200000000000001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22.796194272040225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22.796194272040225</v>
      </c>
      <c r="FU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>
        <f>VLOOKUP(A77,'Données projet'!$A$243:$I$263,2,0)</f>
        <v>285.98</v>
      </c>
      <c r="FX77" s="13">
        <f>VLOOKUP(A77,'Données projet'!$A$243:$I$263,9,0)</f>
        <v>8.8662500000000044</v>
      </c>
      <c r="FY77" s="13">
        <f t="array" ref="FY77">INDEX(FX:FX,MIN(IF(ISNUMBER(FX77:FX273),ROW(FX77:FX273),"")))</f>
        <v>8.8662500000000044</v>
      </c>
      <c r="FZ77" s="13">
        <f>IF('Données projet'!$A$244&gt;35,FZ76+FY77-GH76,IF(A77&lt;'Données projet'!$A$244,$FW$205^A77,IF(A77='Données projet'!$A$244,'Données projet'!$B$244,FZ76+FY77-GH76)))</f>
        <v>285.98000000000008</v>
      </c>
      <c r="GA77" s="18">
        <f>FZ77*VLOOKUP('Données projet'!$B$17,Paramètres!$A$1:$I$89,3,0)*VLOOKUP('Données projet'!$B$17,Paramètres!$A$1:$I$89,5,0)</f>
        <v>191.83538400000006</v>
      </c>
      <c r="GB77" s="14">
        <f t="shared" si="103"/>
        <v>47.945502879463582</v>
      </c>
      <c r="GC77" s="22">
        <f t="shared" si="79"/>
        <v>417.61837798173246</v>
      </c>
      <c r="GD77" s="62">
        <f t="shared" si="80"/>
        <v>710.95171131506572</v>
      </c>
      <c r="GE77" s="62">
        <f ca="1">AVERAGE(OFFSET($GD$3,0,0,'Données projet'!$E$17+1,1))-AVERAGE(OFFSET($H$3,0,0,'Données projet'!$E$17+1,1))</f>
        <v>442.85175349826028</v>
      </c>
      <c r="GF77" s="62">
        <f t="shared" si="104"/>
        <v>210.70697808232501</v>
      </c>
      <c r="GG77" s="16">
        <f>IF(ISNA(VLOOKUP(A77,'Données projet'!$A$243:$I$263,3,0)),0,VLOOKUP(A77,'Données projet'!$A$243:$I$263,3,0))</f>
        <v>5</v>
      </c>
      <c r="GH77" s="16">
        <f>IF(ISNA(VLOOKUP(A77,'Données projet'!$A$243:$I$263,4,0)),0,VLOOKUP(A77,'Données projet'!$A$243:$I$263,4,0))</f>
        <v>47.4</v>
      </c>
      <c r="GI77" s="17">
        <f>IF(ISNA(VLOOKUP(A77,'Données projet'!$A$243:$I$263,5,0)),0%,VLOOKUP(A77,'Données projet'!$A$243:$I$263,5,0)*VLOOKUP('Données projet'!$B$17,Paramètres!$A$1:$I$89,7,0))</f>
        <v>0.21200000000000002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18.587666098740488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18.587666098740488</v>
      </c>
      <c r="GP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6.8</v>
      </c>
      <c r="GU77" s="13">
        <f>IF('Données projet'!$A$270&gt;35,GU76+GT77-HC76,IF(A77&lt;'Données projet'!$A$270,$GR$205^A77,IF(A77='Données projet'!$A$270,'Données projet'!$B$270,GU76+GT77-HC76)))</f>
        <v>262.20000000000005</v>
      </c>
      <c r="GV77" s="18">
        <f>GU77*VLOOKUP('Données projet'!$B$18,Paramètres!$A$1:$I$89,3,0)*VLOOKUP('Données projet'!$B$18,Paramètres!$A$1:$I$89,5,0)</f>
        <v>249.50952000000007</v>
      </c>
      <c r="GW77" s="14">
        <f t="shared" si="105"/>
        <v>60.480899941029307</v>
      </c>
      <c r="GX77" s="22">
        <f t="shared" si="82"/>
        <v>539.89998139729278</v>
      </c>
      <c r="GY77" s="62">
        <f t="shared" si="83"/>
        <v>833.23331473062603</v>
      </c>
      <c r="GZ77" s="62">
        <f ca="1">AVERAGE(OFFSET($GY$3,0,0,'Données projet'!$E$18+1,1))-AVERAGE(OFFSET($H$3,0,0,'Données projet'!$E$18+1,1))</f>
        <v>420.2510366318939</v>
      </c>
      <c r="HA77" s="62">
        <f t="shared" si="106"/>
        <v>220.59884411514116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24.094482268712415</v>
      </c>
      <c r="HH77" s="23">
        <f>EXP(-LN(2)/25)*HH76+(1-EXP(-LN(2)/25))/(LN(2)/25)*Calculateur!HC77*Calculateur!HE77*VLOOKUP('Données projet'!$B$18,Paramètres!$A$1:$I$89,3,0)*0.475*44/12</f>
        <v>0</v>
      </c>
      <c r="HI77" s="23">
        <f>EXP(-LN(2)/2)*HI76+(1-EXP(-LN(2)/2))/(LN(2)/2)*HC77*HF77*VLOOKUP('Données projet'!$B$18,Paramètres!$A$1:$I$89,3,0)*0.475*44/12</f>
        <v>0</v>
      </c>
      <c r="HJ77" s="24">
        <f t="shared" si="84"/>
        <v>24.094482268712415</v>
      </c>
    </row>
    <row r="78" spans="1:218" s="5" customFormat="1" x14ac:dyDescent="0.2">
      <c r="A78" s="11">
        <f t="shared" si="85"/>
        <v>75</v>
      </c>
      <c r="B78" s="74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11.25925925925926</v>
      </c>
      <c r="N78" s="14">
        <f>IF('Données projet'!$A$36&gt;35,N77+M78-V77,IF(A78&lt;'Données projet'!$A$36,$K$205^A78,IF(A78='Données projet'!$A$36,'Données projet'!$B$36,N77+M78-V77)))</f>
        <v>536.11111111111097</v>
      </c>
      <c r="O78" s="14">
        <f>N78*VLOOKUP('Données projet'!$B$9,Paramètres!$A$1:$I$89,3,0)*VLOOKUP('Données projet'!$B$9,Paramètres!$A$1:$I$89,5,0)</f>
        <v>459.98333333333329</v>
      </c>
      <c r="P78" s="14">
        <f t="shared" si="87"/>
        <v>103.83672473855513</v>
      </c>
      <c r="Q78" s="22">
        <f t="shared" si="54"/>
        <v>981.98660114187214</v>
      </c>
      <c r="R78" s="62">
        <f t="shared" si="55"/>
        <v>1275.3199344752054</v>
      </c>
      <c r="S78" s="62">
        <f ca="1">AVERAGE(OFFSET($R$3,0,0,'Données projet'!$E$9+1,1))-AVERAGE(OFFSET($H$3,0,0,'Données projet'!$E$9+1,1))</f>
        <v>623.31285537237943</v>
      </c>
      <c r="T78" s="62">
        <f t="shared" si="88"/>
        <v>462.33909258902241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80.001582550143368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80.001582550143368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324</v>
      </c>
      <c r="AG78" s="13">
        <f>VLOOKUP(A78,'Données projet'!$A$61:$I$81,9,0)</f>
        <v>4.2</v>
      </c>
      <c r="AH78" s="13">
        <f t="array" ref="AH78">INDEX(AG:AG,MIN(IF(ISNUMBER(AG78:AG274),ROW(AG78:AG274),"")))</f>
        <v>4.2</v>
      </c>
      <c r="AI78" s="14">
        <f>IF('Données projet'!$A$62&gt;35,AI77+AH78-AQ77,IF(A78&lt;'Données projet'!$A$62,$AF$205^A78,IF(A78='Données projet'!$A$62,'Données projet'!$B$62,AI77+AH78-AQ77)))</f>
        <v>323.99999999999994</v>
      </c>
      <c r="AJ78" s="14">
        <f>AI78*VLOOKUP('Données projet'!$B$10,Paramètres!$A$1:$I$89,3,0)*VLOOKUP('Données projet'!$B$10,Paramètres!$A$1:$I$89,5,0)</f>
        <v>283.04640000000001</v>
      </c>
      <c r="AK78" s="14">
        <f t="shared" si="89"/>
        <v>67.610394756513315</v>
      </c>
      <c r="AL78" s="22">
        <f t="shared" si="58"/>
        <v>610.72725086759408</v>
      </c>
      <c r="AM78" s="62">
        <f t="shared" si="59"/>
        <v>904.06058420092745</v>
      </c>
      <c r="AN78" s="62">
        <f ca="1">AVERAGE(OFFSET($AM$3,0,0,'Données projet'!$E$10+1,1))-AVERAGE(OFFSET($H$3,0,0,'Données projet'!$E$10+1,1))</f>
        <v>390.70479111593545</v>
      </c>
      <c r="AO78" s="62">
        <f t="shared" si="90"/>
        <v>374.99493809709708</v>
      </c>
      <c r="AP78" s="16">
        <f>IF(ISNA(VLOOKUP(A78,'Données projet'!$A$61:$I$81,3,0)),0,VLOOKUP(A78,'Données projet'!$A$61:$I$81,3,0))</f>
        <v>14</v>
      </c>
      <c r="AQ78" s="16">
        <f>IF(ISNA(VLOOKUP(A78,'Données projet'!$A$61:$I$81,4,0)),0,VLOOKUP(A78,'Données projet'!$A$61:$I$81,4,0))</f>
        <v>12</v>
      </c>
      <c r="AR78" s="17">
        <f>IF(ISNA(VLOOKUP(A78,'Données projet'!$A$61:$I$81,5,0)),0%,VLOOKUP(A78,'Données projet'!$A$61:$I$81,5,0)*VLOOKUP('Données projet'!$B$10,Paramètres!$A$1:$I$89,7,0))</f>
        <v>0.42400000000000004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32.636840159382729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32.636840159382729</v>
      </c>
      <c r="AY78" s="7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324</v>
      </c>
      <c r="BB78" s="13">
        <f>VLOOKUP(A78,'Données projet'!$A$87:$I$107,9,0)</f>
        <v>4.2</v>
      </c>
      <c r="BC78" s="13">
        <f t="array" ref="BC78">INDEX(BB:BB,MIN(IF(ISNUMBER(BB78:BB274),ROW(BB78:BB274),"")))</f>
        <v>4.2</v>
      </c>
      <c r="BD78" s="13">
        <f>IF('Données projet'!$A$88&gt;35,BD77+BC78-BL77,IF(A78&lt;'Données projet'!$A$88,$BA$205^A78,IF(A78='Données projet'!$A$88,'Données projet'!$B$88,BD77+BC78-BL77)))</f>
        <v>323.99999999999994</v>
      </c>
      <c r="BE78" s="14">
        <f>BD78*VLOOKUP('Données projet'!$B$11,Paramètres!$A$1:$I$89,3,0)*VLOOKUP('Données projet'!$B$11,Paramètres!$A$1:$I$89,5,0)</f>
        <v>257.77439999999996</v>
      </c>
      <c r="BF78" s="14">
        <f t="shared" si="91"/>
        <v>62.247732872134293</v>
      </c>
      <c r="BG78" s="22">
        <f t="shared" si="61"/>
        <v>557.37188141896718</v>
      </c>
      <c r="BH78" s="62">
        <f t="shared" si="62"/>
        <v>850.70521475230044</v>
      </c>
      <c r="BI78" s="62">
        <f ca="1">AVERAGE(OFFSET($BH$3,0,0,'Données projet'!$E$11+1,1))-AVERAGE(OFFSET($H$3,0,0,'Données projet'!$E$11+1,1))</f>
        <v>359.18294335011535</v>
      </c>
      <c r="BJ78" s="62">
        <f t="shared" si="92"/>
        <v>345.47508134331241</v>
      </c>
      <c r="BK78" s="16">
        <f>IF(ISNA(VLOOKUP(A78,'Données projet'!$A$87:$I$107,3,0)),0,VLOOKUP(A78,'Données projet'!$A$87:$I$107,3,0))</f>
        <v>14</v>
      </c>
      <c r="BL78" s="16">
        <f>IF(ISNA(VLOOKUP(A78,'Données projet'!$A$87:$I$107,4,0)),0,VLOOKUP(A78,'Données projet'!$A$87:$I$107,4,0))</f>
        <v>12</v>
      </c>
      <c r="BM78" s="17">
        <f>IF(ISNA(VLOOKUP(A78,'Données projet'!$A$87:$I$107,5,0)),0%,VLOOKUP(A78,'Données projet'!$A$87:$I$107,5,0)*VLOOKUP('Données projet'!$B$11,Paramètres!$A$1:$I$89,7,0))</f>
        <v>0.42400000000000004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29.722836573723566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29.722836573723566</v>
      </c>
      <c r="BT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324</v>
      </c>
      <c r="BW78" s="13">
        <f>VLOOKUP(A78,'Données projet'!$A$113:$I$133,9,0)</f>
        <v>4.2</v>
      </c>
      <c r="BX78" s="13">
        <f t="array" ref="BX78">INDEX(BW:BW,MIN(IF(ISNUMBER(BW78:BW274),ROW(BW78:BW274),"")))</f>
        <v>4.2</v>
      </c>
      <c r="BY78" s="13">
        <f>IF('Données projet'!$A$114&gt;35,BY77+BX78-CG77,IF(A78&lt;'Données projet'!$A$114,$BV$205^A78,IF(A78='Données projet'!$A$114,'Données projet'!$B$114,BY77+BX78-CG77)))</f>
        <v>323.99999999999994</v>
      </c>
      <c r="BZ78" s="14">
        <f>BY78*VLOOKUP('Données projet'!$B$12,Paramètres!$A$1:$I$89,3,0)*VLOOKUP('Données projet'!$B$12,Paramètres!$A$1:$I$89,5,0)</f>
        <v>237.55679999999995</v>
      </c>
      <c r="CA78" s="14">
        <f t="shared" si="93"/>
        <v>57.913551469467308</v>
      </c>
      <c r="CB78" s="22">
        <f t="shared" si="64"/>
        <v>514.61086214265538</v>
      </c>
      <c r="CC78" s="62">
        <f t="shared" si="65"/>
        <v>807.94419547598864</v>
      </c>
      <c r="CD78" s="62">
        <f ca="1">AVERAGE(OFFSET($CC$3,0,0,'Données projet'!$E$12+1,1))-AVERAGE(OFFSET($H$3,0,0,'Données projet'!$E$12+1,1))</f>
        <v>333.9187211440219</v>
      </c>
      <c r="CE78" s="62">
        <f t="shared" si="94"/>
        <v>321.81422611044997</v>
      </c>
      <c r="CF78" s="16">
        <f>IF(ISNA(VLOOKUP(A78,'Données projet'!$A$113:$I$133,3,0)),0,VLOOKUP(A78,'Données projet'!$A$113:$I$133,3,0))</f>
        <v>14</v>
      </c>
      <c r="CG78" s="16">
        <f>IF(ISNA(VLOOKUP(A78,'Données projet'!$A$113:$I$133,4,0)),0,VLOOKUP(A78,'Données projet'!$A$113:$I$133,4,0))</f>
        <v>12</v>
      </c>
      <c r="CH78" s="17">
        <f>IF(ISNA(VLOOKUP(A78,'Données projet'!$A$113:$I$133,5,0)),0%,VLOOKUP(A78,'Données projet'!$A$113:$I$133,5,0)*VLOOKUP('Données projet'!$B$12,Paramètres!$A$1:$I$89,7,0))</f>
        <v>0.34400000000000003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22.223400930630895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22.223400930630895</v>
      </c>
      <c r="CO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324</v>
      </c>
      <c r="CR78" s="13">
        <f>VLOOKUP(A78,'Données projet'!$A$139:$I$159,9,0)</f>
        <v>4.2</v>
      </c>
      <c r="CS78" s="13">
        <f t="array" ref="CS78">INDEX(CR:CR,MIN(IF(ISNUMBER(CR78:CR274),ROW(CR78:CR274),"")))</f>
        <v>4.2</v>
      </c>
      <c r="CT78" s="13">
        <f>IF('Données projet'!$A$140&gt;35,CT77+CS78-DB77,IF(A78&lt;'Données projet'!$A$140,$CQ$205^A78,IF(A78='Données projet'!$A$140,'Données projet'!$B$140,CT77+CS78-DB77)))</f>
        <v>323.99999999999994</v>
      </c>
      <c r="CU78" s="18">
        <f>CT78*VLOOKUP('Données projet'!$B$13,Paramètres!$A$1:$I$89,3,0)*VLOOKUP('Données projet'!$B$13,Paramètres!$A$1:$I$89,5,0)</f>
        <v>262.8288</v>
      </c>
      <c r="CV78" s="14">
        <f t="shared" si="95"/>
        <v>63.324983518559485</v>
      </c>
      <c r="CW78" s="22">
        <f t="shared" si="67"/>
        <v>568.05117296149103</v>
      </c>
      <c r="CX78" s="62">
        <f t="shared" si="68"/>
        <v>861.3845062948244</v>
      </c>
      <c r="CY78" s="62">
        <f ca="1">AVERAGE(OFFSET($CX$3,0,0,'Données projet'!$E$13+1,1))-AVERAGE(OFFSET($H$3,0,0,'Données projet'!$E$13+1,1))</f>
        <v>365.492319515595</v>
      </c>
      <c r="CZ78" s="62">
        <f t="shared" si="96"/>
        <v>351.38386928091433</v>
      </c>
      <c r="DA78" s="16">
        <f>IF(ISNA(VLOOKUP(A78,'Données projet'!$A$139:$I$159,3,0)),0,VLOOKUP(A78,'Données projet'!$A$139:$I$159,3,0))</f>
        <v>14</v>
      </c>
      <c r="DB78" s="16">
        <f>IF(ISNA(VLOOKUP(A78,'Données projet'!$A$139:$I$159,4,0)),0,VLOOKUP(A78,'Données projet'!$A$139:$I$159,4,0))</f>
        <v>12</v>
      </c>
      <c r="DC78" s="17">
        <f>IF(ISNA(VLOOKUP(A78,'Données projet'!$A$139:$I$159,5,0)),0%,VLOOKUP(A78,'Données projet'!$A$139:$I$159,5,0)*VLOOKUP('Données projet'!$B$13,Paramètres!$A$1:$I$89,7,0))</f>
        <v>0.34400000000000003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24.587592518995883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24.587592518995883</v>
      </c>
      <c r="DJ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8.6770000000000014</v>
      </c>
      <c r="DO78" s="13">
        <f>IF('Données projet'!$A$166&gt;35,DO77+DN78-DW77,IF(A78&lt;'Données projet'!$A$166,$DL$205^A78,IF(A78='Données projet'!$A$166,'Données projet'!$B$166,DO77+DN78-DW77)))</f>
        <v>247.25700000000009</v>
      </c>
      <c r="DP78" s="18">
        <f>DO78*VLOOKUP('Données projet'!$B$14,Paramètres!$A$1:$I$89,3,0)*VLOOKUP('Données projet'!$B$14,Paramètres!$A$1:$I$89,5,0)</f>
        <v>208.28929680000007</v>
      </c>
      <c r="DQ78" s="14">
        <f t="shared" si="97"/>
        <v>51.561576231785182</v>
      </c>
      <c r="DR78" s="22">
        <f t="shared" si="70"/>
        <v>452.5736038636926</v>
      </c>
      <c r="DS78" s="62">
        <f t="shared" si="71"/>
        <v>745.90693719702585</v>
      </c>
      <c r="DT78" s="62">
        <f ca="1">AVERAGE(OFFSET($DS$3,0,0,'Données projet'!$E$14+1,1))-AVERAGE(OFFSET($H$3,0,0,'Données projet'!$E$14+1,1))</f>
        <v>544.89250424794909</v>
      </c>
      <c r="DU78" s="62">
        <f t="shared" si="98"/>
        <v>253.98688498110715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18.567006762465208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18.567006762465208</v>
      </c>
      <c r="EE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8.6770000000000014</v>
      </c>
      <c r="EJ78" s="13">
        <f>IF('Données projet'!$A$192&gt;35,EJ77+EI78-ER77,IF(A78&lt;'Données projet'!$A$192,$EG$205^A78,IF(A78='Données projet'!$A$192,'Données projet'!$B$192,EJ77+EI78-ER77)))</f>
        <v>247.25700000000009</v>
      </c>
      <c r="EK78" s="18">
        <f>EJ78*VLOOKUP('Données projet'!$B$15,Paramètres!$A$1:$I$89,3,0)*VLOOKUP('Données projet'!$B$15,Paramètres!$A$1:$I$89,5,0)</f>
        <v>223.71813360000007</v>
      </c>
      <c r="EL78" s="14">
        <f t="shared" si="99"/>
        <v>54.92221376571495</v>
      </c>
      <c r="EM78" s="22">
        <f t="shared" si="73"/>
        <v>485.29860499528695</v>
      </c>
      <c r="EN78" s="62">
        <f t="shared" si="74"/>
        <v>778.63193832862021</v>
      </c>
      <c r="EO78" s="62">
        <f ca="1">AVERAGE(OFFSET($EN$3,0,0,'Données projet'!$E$15+1,1))-AVERAGE(OFFSET($H$3,0,0,'Données projet'!$E$15+1,1))</f>
        <v>581.88778927327667</v>
      </c>
      <c r="EP78" s="62">
        <f t="shared" si="100"/>
        <v>269.67340993773422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19.942340596721895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19.942340596721895</v>
      </c>
      <c r="EZ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8.6770000000000014</v>
      </c>
      <c r="FE78" s="13">
        <f>IF('Données projet'!$A$218&gt;35,FE77+FD78-FM77,IF(A78&lt;'Données projet'!$A$218,$FB$205^A78,IF(A78='Données projet'!$A$218,'Données projet'!$B$218,FE77+FD78-FM77)))</f>
        <v>247.25700000000009</v>
      </c>
      <c r="FF78" s="18">
        <f>FE78*VLOOKUP('Données projet'!$B$16,Paramètres!$A$1:$I$89,3,0)*VLOOKUP('Données projet'!$B$16,Paramètres!$A$1:$I$89,5,0)</f>
        <v>250.7185980000001</v>
      </c>
      <c r="FG78" s="14">
        <f t="shared" si="101"/>
        <v>60.739792084155006</v>
      </c>
      <c r="FH78" s="22">
        <f t="shared" si="76"/>
        <v>542.45669606323679</v>
      </c>
      <c r="FI78" s="62">
        <f t="shared" si="77"/>
        <v>835.79002939657016</v>
      </c>
      <c r="FJ78" s="62">
        <f ca="1">AVERAGE(OFFSET($FI$3,0,0,'Données projet'!$E$16+1,1))-AVERAGE(OFFSET($H$3,0,0,'Données projet'!$E$16+1,1))</f>
        <v>646.50767193970182</v>
      </c>
      <c r="FK78" s="62">
        <f t="shared" si="102"/>
        <v>297.06786598620607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22.349174806671087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22.349174806671087</v>
      </c>
      <c r="FU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8.6770000000000014</v>
      </c>
      <c r="FZ78" s="13">
        <f>IF('Données projet'!$A$244&gt;35,FZ77+FY78-GH77,IF(A78&lt;'Données projet'!$A$244,$FW$205^A78,IF(A78='Données projet'!$A$244,'Données projet'!$B$244,FZ77+FY78-GH77)))</f>
        <v>247.25700000000009</v>
      </c>
      <c r="GA78" s="18">
        <f>FZ78*VLOOKUP('Données projet'!$B$17,Paramètres!$A$1:$I$89,3,0)*VLOOKUP('Données projet'!$B$17,Paramètres!$A$1:$I$89,5,0)</f>
        <v>165.85999560000008</v>
      </c>
      <c r="GB78" s="14">
        <f t="shared" si="103"/>
        <v>42.161474060754607</v>
      </c>
      <c r="GC78" s="22">
        <f t="shared" si="79"/>
        <v>362.3040596591477</v>
      </c>
      <c r="GD78" s="62">
        <f t="shared" si="80"/>
        <v>655.63739299248095</v>
      </c>
      <c r="GE78" s="62">
        <f ca="1">AVERAGE(OFFSET($GD$3,0,0,'Données projet'!$E$17+1,1))-AVERAGE(OFFSET($H$3,0,0,'Données projet'!$E$17+1,1))</f>
        <v>442.85175349826028</v>
      </c>
      <c r="GF78" s="62">
        <f t="shared" si="104"/>
        <v>210.70697808232501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18.223173303901035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18.223173303901035</v>
      </c>
      <c r="GP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>
        <f>VLOOKUP(A78,'Données projet'!$A$269:$I$289,2,0)</f>
        <v>269</v>
      </c>
      <c r="GS78" s="13">
        <f>VLOOKUP(A78,'Données projet'!$A$269:$I$289,9,0)</f>
        <v>6.8</v>
      </c>
      <c r="GT78" s="13">
        <f t="array" ref="GT78">INDEX(GS:GS,MIN(IF(ISNUMBER(GS78:GS274),ROW(GS78:GS274),"")))</f>
        <v>6.8</v>
      </c>
      <c r="GU78" s="13">
        <f>IF('Données projet'!$A$270&gt;35,GU77+GT78-HC77,IF(A78&lt;'Données projet'!$A$270,$GR$205^A78,IF(A78='Données projet'!$A$270,'Données projet'!$B$270,GU77+GT78-HC77)))</f>
        <v>269.00000000000006</v>
      </c>
      <c r="GV78" s="18">
        <f>GU78*VLOOKUP('Données projet'!$B$18,Paramètres!$A$1:$I$89,3,0)*VLOOKUP('Données projet'!$B$18,Paramètres!$A$1:$I$89,5,0)</f>
        <v>255.98040000000006</v>
      </c>
      <c r="GW78" s="14">
        <f t="shared" si="105"/>
        <v>61.864786260587792</v>
      </c>
      <c r="GX78" s="22">
        <f t="shared" si="82"/>
        <v>553.58036607052384</v>
      </c>
      <c r="GY78" s="62">
        <f t="shared" si="83"/>
        <v>846.91369940385721</v>
      </c>
      <c r="GZ78" s="62">
        <f ca="1">AVERAGE(OFFSET($GY$3,0,0,'Données projet'!$E$18+1,1))-AVERAGE(OFFSET($H$3,0,0,'Données projet'!$E$18+1,1))</f>
        <v>420.2510366318939</v>
      </c>
      <c r="HA78" s="62">
        <f t="shared" si="106"/>
        <v>220.59884411514116</v>
      </c>
      <c r="HB78" s="16">
        <f>IF(ISNA(VLOOKUP(A78,'Données projet'!$A$269:$I$289,3,0)),0,VLOOKUP(A78,'Données projet'!$A$269:$I$289,3,0))</f>
        <v>11</v>
      </c>
      <c r="HC78" s="16">
        <f>IF(ISNA(VLOOKUP(A78,'Données projet'!$A$269:$I$289,4,0)),0,VLOOKUP(A78,'Données projet'!$A$269:$I$289,4,0))</f>
        <v>26</v>
      </c>
      <c r="HD78" s="17">
        <f>IF(ISNA(VLOOKUP(A78,'Données projet'!$A$269:$I$289,5,0)),0%,VLOOKUP(A78,'Données projet'!$A$269:$I$289,5,0)*VLOOKUP('Données projet'!$B$18,Paramètres!$A$1:$I$89,7,0))</f>
        <v>0.25800000000000001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30.678589500707151</v>
      </c>
      <c r="HH78" s="23">
        <f>EXP(-LN(2)/25)*HH77+(1-EXP(-LN(2)/25))/(LN(2)/25)*Calculateur!HC78*Calculateur!HE78*VLOOKUP('Données projet'!$B$18,Paramètres!$A$1:$I$89,3,0)*0.475*44/12</f>
        <v>0</v>
      </c>
      <c r="HI78" s="23">
        <f>EXP(-LN(2)/2)*HI77+(1-EXP(-LN(2)/2))/(LN(2)/2)*HC78*HF78*VLOOKUP('Données projet'!$B$18,Paramètres!$A$1:$I$89,3,0)*0.475*44/12</f>
        <v>0</v>
      </c>
      <c r="HJ78" s="24">
        <f t="shared" si="84"/>
        <v>30.678589500707151</v>
      </c>
    </row>
    <row r="79" spans="1:218" s="5" customFormat="1" x14ac:dyDescent="0.2">
      <c r="A79" s="11">
        <f t="shared" si="85"/>
        <v>76</v>
      </c>
      <c r="B79" s="74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11.25925925925926</v>
      </c>
      <c r="N79" s="14">
        <f>IF('Données projet'!$A$36&gt;35,N78+M79-V78,IF(A79&lt;'Données projet'!$A$36,$K$205^A79,IF(A79='Données projet'!$A$36,'Données projet'!$B$36,N78+M79-V78)))</f>
        <v>547.37037037037021</v>
      </c>
      <c r="O79" s="14">
        <f>N79*VLOOKUP('Données projet'!$B$9,Paramètres!$A$1:$I$89,3,0)*VLOOKUP('Données projet'!$B$9,Paramètres!$A$1:$I$89,5,0)</f>
        <v>469.6437777777777</v>
      </c>
      <c r="P79" s="14">
        <f t="shared" si="87"/>
        <v>105.76129887218715</v>
      </c>
      <c r="Q79" s="22">
        <f t="shared" si="54"/>
        <v>1002.1638418320221</v>
      </c>
      <c r="R79" s="62">
        <f t="shared" si="55"/>
        <v>1295.4971751653554</v>
      </c>
      <c r="S79" s="62">
        <f ca="1">AVERAGE(OFFSET($R$3,0,0,'Données projet'!$E$9+1,1))-AVERAGE(OFFSET($H$3,0,0,'Données projet'!$E$9+1,1))</f>
        <v>623.31285537237943</v>
      </c>
      <c r="T79" s="62">
        <f t="shared" si="88"/>
        <v>462.33909258902241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78.432800312482186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78.432800312482186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3.6</v>
      </c>
      <c r="AI79" s="14">
        <f>IF('Données projet'!$A$62&gt;35,AI78+AH79-AQ78,IF(A79&lt;'Données projet'!$A$62,$AF$205^A79,IF(A79='Données projet'!$A$62,'Données projet'!$B$62,AI78+AH79-AQ78)))</f>
        <v>315.59999999999997</v>
      </c>
      <c r="AJ79" s="14">
        <f>AI79*VLOOKUP('Données projet'!$B$10,Paramètres!$A$1:$I$89,3,0)*VLOOKUP('Données projet'!$B$10,Paramètres!$A$1:$I$89,5,0)</f>
        <v>275.70816000000002</v>
      </c>
      <c r="AK79" s="14">
        <f t="shared" si="89"/>
        <v>66.05920594467139</v>
      </c>
      <c r="AL79" s="22">
        <f t="shared" si="58"/>
        <v>595.24482902030275</v>
      </c>
      <c r="AM79" s="62">
        <f t="shared" si="59"/>
        <v>888.57816235363612</v>
      </c>
      <c r="AN79" s="62">
        <f ca="1">AVERAGE(OFFSET($AM$3,0,0,'Données projet'!$E$10+1,1))-AVERAGE(OFFSET($H$3,0,0,'Données projet'!$E$10+1,1))</f>
        <v>390.70479111593545</v>
      </c>
      <c r="AO79" s="62">
        <f t="shared" si="90"/>
        <v>374.99493809709708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31.996851630364127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31.996851630364127</v>
      </c>
      <c r="AY79" s="7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3.6</v>
      </c>
      <c r="BD79" s="13">
        <f>IF('Données projet'!$A$88&gt;35,BD78+BC79-BL78,IF(A79&lt;'Données projet'!$A$88,$BA$205^A79,IF(A79='Données projet'!$A$88,'Données projet'!$B$88,BD78+BC79-BL78)))</f>
        <v>315.59999999999997</v>
      </c>
      <c r="BE79" s="14">
        <f>BD79*VLOOKUP('Données projet'!$B$11,Paramètres!$A$1:$I$89,3,0)*VLOOKUP('Données projet'!$B$11,Paramètres!$A$1:$I$89,5,0)</f>
        <v>251.09135999999998</v>
      </c>
      <c r="BF79" s="14">
        <f t="shared" si="91"/>
        <v>60.81957989149403</v>
      </c>
      <c r="BG79" s="22">
        <f t="shared" si="61"/>
        <v>543.24488697768538</v>
      </c>
      <c r="BH79" s="62">
        <f t="shared" si="62"/>
        <v>836.57822031101864</v>
      </c>
      <c r="BI79" s="62">
        <f ca="1">AVERAGE(OFFSET($BH$3,0,0,'Données projet'!$E$11+1,1))-AVERAGE(OFFSET($H$3,0,0,'Données projet'!$E$11+1,1))</f>
        <v>359.18294335011535</v>
      </c>
      <c r="BJ79" s="62">
        <f t="shared" si="92"/>
        <v>345.47508134331241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29.139989877653054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29.139989877653054</v>
      </c>
      <c r="BT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3.6</v>
      </c>
      <c r="BY79" s="13">
        <f>IF('Données projet'!$A$114&gt;35,BY78+BX79-CG78,IF(A79&lt;'Données projet'!$A$114,$BV$205^A79,IF(A79='Données projet'!$A$114,'Données projet'!$B$114,BY78+BX79-CG78)))</f>
        <v>315.59999999999997</v>
      </c>
      <c r="BZ79" s="14">
        <f>BY79*VLOOKUP('Données projet'!$B$12,Paramètres!$A$1:$I$89,3,0)*VLOOKUP('Données projet'!$B$12,Paramètres!$A$1:$I$89,5,0)</f>
        <v>231.39791999999994</v>
      </c>
      <c r="CA79" s="14">
        <f t="shared" si="93"/>
        <v>56.584837838715806</v>
      </c>
      <c r="CB79" s="22">
        <f t="shared" si="64"/>
        <v>501.56996990242988</v>
      </c>
      <c r="CC79" s="62">
        <f t="shared" si="65"/>
        <v>794.90330323576313</v>
      </c>
      <c r="CD79" s="62">
        <f ca="1">AVERAGE(OFFSET($CC$3,0,0,'Données projet'!$E$12+1,1))-AVERAGE(OFFSET($H$3,0,0,'Données projet'!$E$12+1,1))</f>
        <v>333.9187211440219</v>
      </c>
      <c r="CE79" s="62">
        <f t="shared" si="94"/>
        <v>321.81422611044997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21.787613593317353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21.787613593317353</v>
      </c>
      <c r="CO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3.6</v>
      </c>
      <c r="CT79" s="13">
        <f>IF('Données projet'!$A$140&gt;35,CT78+CS79-DB78,IF(A79&lt;'Données projet'!$A$140,$CQ$205^A79,IF(A79='Données projet'!$A$140,'Données projet'!$B$140,CT78+CS79-DB78)))</f>
        <v>315.59999999999997</v>
      </c>
      <c r="CU79" s="18">
        <f>CT79*VLOOKUP('Données projet'!$B$13,Paramètres!$A$1:$I$89,3,0)*VLOOKUP('Données projet'!$B$13,Paramètres!$A$1:$I$89,5,0)</f>
        <v>256.01472000000001</v>
      </c>
      <c r="CV79" s="14">
        <f t="shared" si="95"/>
        <v>61.872115120174627</v>
      </c>
      <c r="CW79" s="22">
        <f t="shared" si="67"/>
        <v>553.65290450097075</v>
      </c>
      <c r="CX79" s="62">
        <f t="shared" si="68"/>
        <v>846.98623783430412</v>
      </c>
      <c r="CY79" s="62">
        <f ca="1">AVERAGE(OFFSET($CX$3,0,0,'Données projet'!$E$13+1,1))-AVERAGE(OFFSET($H$3,0,0,'Données projet'!$E$13+1,1))</f>
        <v>365.492319515595</v>
      </c>
      <c r="CZ79" s="62">
        <f t="shared" si="96"/>
        <v>351.38386928091433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24.105444826648984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24.105444826648984</v>
      </c>
      <c r="DJ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8.6770000000000014</v>
      </c>
      <c r="DO79" s="13">
        <f>IF('Données projet'!$A$166&gt;35,DO78+DN79-DW78,IF(A79&lt;'Données projet'!$A$166,$DL$205^A79,IF(A79='Données projet'!$A$166,'Données projet'!$B$166,DO78+DN79-DW78)))</f>
        <v>255.93400000000008</v>
      </c>
      <c r="DP79" s="18">
        <f>DO79*VLOOKUP('Données projet'!$B$14,Paramètres!$A$1:$I$89,3,0)*VLOOKUP('Données projet'!$B$14,Paramètres!$A$1:$I$89,5,0)</f>
        <v>215.59880160000012</v>
      </c>
      <c r="DQ79" s="14">
        <f t="shared" si="97"/>
        <v>53.157184852435201</v>
      </c>
      <c r="DR79" s="22">
        <f t="shared" si="70"/>
        <v>468.0833430713248</v>
      </c>
      <c r="DS79" s="62">
        <f t="shared" si="71"/>
        <v>761.41667640465812</v>
      </c>
      <c r="DT79" s="62">
        <f ca="1">AVERAGE(OFFSET($DS$3,0,0,'Données projet'!$E$14+1,1))-AVERAGE(OFFSET($H$3,0,0,'Données projet'!$E$14+1,1))</f>
        <v>544.89250424794909</v>
      </c>
      <c r="DU79" s="62">
        <f t="shared" si="98"/>
        <v>253.98688498110715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18.202919084609164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18.202919084609164</v>
      </c>
      <c r="EE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8.6770000000000014</v>
      </c>
      <c r="EJ79" s="13">
        <f>IF('Données projet'!$A$192&gt;35,EJ78+EI79-ER78,IF(A79&lt;'Données projet'!$A$192,$EG$205^A79,IF(A79='Données projet'!$A$192,'Données projet'!$B$192,EJ78+EI79-ER78)))</f>
        <v>255.93400000000008</v>
      </c>
      <c r="EK79" s="18">
        <f>EJ79*VLOOKUP('Données projet'!$B$15,Paramètres!$A$1:$I$89,3,0)*VLOOKUP('Données projet'!$B$15,Paramètres!$A$1:$I$89,5,0)</f>
        <v>231.56908320000005</v>
      </c>
      <c r="EL79" s="14">
        <f t="shared" si="99"/>
        <v>56.621819638037671</v>
      </c>
      <c r="EM79" s="22">
        <f t="shared" si="73"/>
        <v>501.93248910958238</v>
      </c>
      <c r="EN79" s="62">
        <f t="shared" si="74"/>
        <v>795.26582244291569</v>
      </c>
      <c r="EO79" s="62">
        <f ca="1">AVERAGE(OFFSET($EN$3,0,0,'Données projet'!$E$15+1,1))-AVERAGE(OFFSET($H$3,0,0,'Données projet'!$E$15+1,1))</f>
        <v>581.88778927327667</v>
      </c>
      <c r="EP79" s="62">
        <f t="shared" si="100"/>
        <v>269.67340993773422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19.551283461246886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19.551283461246886</v>
      </c>
      <c r="EZ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8.6770000000000014</v>
      </c>
      <c r="FE79" s="13">
        <f>IF('Données projet'!$A$218&gt;35,FE78+FD79-FM78,IF(A79&lt;'Données projet'!$A$218,$FB$205^A79,IF(A79='Données projet'!$A$218,'Données projet'!$B$218,FE78+FD79-FM78)))</f>
        <v>255.93400000000008</v>
      </c>
      <c r="FF79" s="18">
        <f>FE79*VLOOKUP('Données projet'!$B$16,Paramètres!$A$1:$I$89,3,0)*VLOOKUP('Données projet'!$B$16,Paramètres!$A$1:$I$89,5,0)</f>
        <v>259.51707600000009</v>
      </c>
      <c r="FG79" s="14">
        <f t="shared" si="101"/>
        <v>62.619426939193161</v>
      </c>
      <c r="FH79" s="22">
        <f t="shared" si="76"/>
        <v>561.05440928576149</v>
      </c>
      <c r="FI79" s="62">
        <f t="shared" si="77"/>
        <v>854.38774261909475</v>
      </c>
      <c r="FJ79" s="62">
        <f ca="1">AVERAGE(OFFSET($FI$3,0,0,'Données projet'!$E$16+1,1))-AVERAGE(OFFSET($H$3,0,0,'Données projet'!$E$16+1,1))</f>
        <v>646.50767193970182</v>
      </c>
      <c r="FK79" s="62">
        <f t="shared" si="102"/>
        <v>297.06786598620607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21.910921120362886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21.910921120362886</v>
      </c>
      <c r="FU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8.6770000000000014</v>
      </c>
      <c r="FZ79" s="13">
        <f>IF('Données projet'!$A$244&gt;35,FZ78+FY79-GH78,IF(A79&lt;'Données projet'!$A$244,$FW$205^A79,IF(A79='Données projet'!$A$244,'Données projet'!$B$244,FZ78+FY79-GH78)))</f>
        <v>255.93400000000008</v>
      </c>
      <c r="GA79" s="18">
        <f>FZ79*VLOOKUP('Données projet'!$B$17,Paramètres!$A$1:$I$89,3,0)*VLOOKUP('Données projet'!$B$17,Paramètres!$A$1:$I$89,5,0)</f>
        <v>171.68052720000006</v>
      </c>
      <c r="GB79" s="14">
        <f t="shared" si="103"/>
        <v>43.46619002149712</v>
      </c>
      <c r="GC79" s="22">
        <f t="shared" si="79"/>
        <v>374.71386582744088</v>
      </c>
      <c r="GD79" s="62">
        <f t="shared" si="80"/>
        <v>668.0471991607742</v>
      </c>
      <c r="GE79" s="62">
        <f ca="1">AVERAGE(OFFSET($GD$3,0,0,'Données projet'!$E$17+1,1))-AVERAGE(OFFSET($H$3,0,0,'Données projet'!$E$17+1,1))</f>
        <v>442.85175349826028</v>
      </c>
      <c r="GF79" s="62">
        <f t="shared" si="104"/>
        <v>210.70697808232501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17.865827990449731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17.865827990449731</v>
      </c>
      <c r="GP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6.4</v>
      </c>
      <c r="GU79" s="13">
        <f>IF('Données projet'!$A$270&gt;35,GU78+GT79-HC78,IF(A79&lt;'Données projet'!$A$270,$GR$205^A79,IF(A79='Données projet'!$A$270,'Données projet'!$B$270,GU78+GT79-HC78)))</f>
        <v>249.40000000000003</v>
      </c>
      <c r="GV79" s="18">
        <f>GU79*VLOOKUP('Données projet'!$B$18,Paramètres!$A$1:$I$89,3,0)*VLOOKUP('Données projet'!$B$18,Paramètres!$A$1:$I$89,5,0)</f>
        <v>237.32904000000002</v>
      </c>
      <c r="GW79" s="14">
        <f t="shared" si="105"/>
        <v>57.864486657972002</v>
      </c>
      <c r="GX79" s="22">
        <f t="shared" si="82"/>
        <v>514.12872559596792</v>
      </c>
      <c r="GY79" s="62">
        <f t="shared" si="83"/>
        <v>807.46205892930129</v>
      </c>
      <c r="GZ79" s="62">
        <f ca="1">AVERAGE(OFFSET($GY$3,0,0,'Données projet'!$E$18+1,1))-AVERAGE(OFFSET($H$3,0,0,'Données projet'!$E$18+1,1))</f>
        <v>420.2510366318939</v>
      </c>
      <c r="HA79" s="62">
        <f t="shared" si="106"/>
        <v>220.59884411514116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30.077001072690212</v>
      </c>
      <c r="HH79" s="23">
        <f>EXP(-LN(2)/25)*HH78+(1-EXP(-LN(2)/25))/(LN(2)/25)*Calculateur!HC79*Calculateur!HE79*VLOOKUP('Données projet'!$B$18,Paramètres!$A$1:$I$89,3,0)*0.475*44/12</f>
        <v>0</v>
      </c>
      <c r="HI79" s="23">
        <f>EXP(-LN(2)/2)*HI78+(1-EXP(-LN(2)/2))/(LN(2)/2)*HC79*HF79*VLOOKUP('Données projet'!$B$18,Paramètres!$A$1:$I$89,3,0)*0.475*44/12</f>
        <v>0</v>
      </c>
      <c r="HJ79" s="24">
        <f t="shared" si="84"/>
        <v>30.077001072690212</v>
      </c>
    </row>
    <row r="80" spans="1:218" s="5" customFormat="1" x14ac:dyDescent="0.2">
      <c r="A80" s="11">
        <f t="shared" si="85"/>
        <v>77</v>
      </c>
      <c r="B80" s="74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11.25925925925926</v>
      </c>
      <c r="N80" s="14">
        <f>IF('Données projet'!$A$36&gt;35,N79+M80-V79,IF(A80&lt;'Données projet'!$A$36,$K$205^A80,IF(A80='Données projet'!$A$36,'Données projet'!$B$36,N79+M80-V79)))</f>
        <v>558.62962962962945</v>
      </c>
      <c r="O80" s="14">
        <f>N80*VLOOKUP('Données projet'!$B$9,Paramètres!$A$1:$I$89,3,0)*VLOOKUP('Données projet'!$B$9,Paramètres!$A$1:$I$89,5,0)</f>
        <v>479.30422222222217</v>
      </c>
      <c r="P80" s="14">
        <f t="shared" si="87"/>
        <v>107.68127013572482</v>
      </c>
      <c r="Q80" s="22">
        <f t="shared" si="54"/>
        <v>1022.3330658567578</v>
      </c>
      <c r="R80" s="62">
        <f t="shared" si="55"/>
        <v>1315.6663991900912</v>
      </c>
      <c r="S80" s="62">
        <f ca="1">AVERAGE(OFFSET($R$3,0,0,'Données projet'!$E$9+1,1))-AVERAGE(OFFSET($H$3,0,0,'Données projet'!$E$9+1,1))</f>
        <v>623.31285537237943</v>
      </c>
      <c r="T80" s="62">
        <f t="shared" si="88"/>
        <v>462.33909258902241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76.89478093763887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76.89478093763887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3.6</v>
      </c>
      <c r="AI80" s="14">
        <f>IF('Données projet'!$A$62&gt;35,AI79+AH80-AQ79,IF(A80&lt;'Données projet'!$A$62,$AF$205^A80,IF(A80='Données projet'!$A$62,'Données projet'!$B$62,AI79+AH80-AQ79)))</f>
        <v>319.2</v>
      </c>
      <c r="AJ80" s="14">
        <f>AI80*VLOOKUP('Données projet'!$B$10,Paramètres!$A$1:$I$89,3,0)*VLOOKUP('Données projet'!$B$10,Paramètres!$A$1:$I$89,5,0)</f>
        <v>278.85312000000005</v>
      </c>
      <c r="AK80" s="14">
        <f t="shared" si="89"/>
        <v>66.724582302351905</v>
      </c>
      <c r="AL80" s="22">
        <f t="shared" si="58"/>
        <v>601.88116484326304</v>
      </c>
      <c r="AM80" s="62">
        <f t="shared" si="59"/>
        <v>895.21449817659641</v>
      </c>
      <c r="AN80" s="62">
        <f ca="1">AVERAGE(OFFSET($AM$3,0,0,'Données projet'!$E$10+1,1))-AVERAGE(OFFSET($H$3,0,0,'Données projet'!$E$10+1,1))</f>
        <v>390.70479111593545</v>
      </c>
      <c r="AO80" s="62">
        <f t="shared" si="90"/>
        <v>374.99493809709708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31.369412886045122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31.369412886045122</v>
      </c>
      <c r="AY80" s="7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3.6</v>
      </c>
      <c r="BD80" s="13">
        <f>IF('Données projet'!$A$88&gt;35,BD79+BC80-BL79,IF(A80&lt;'Données projet'!$A$88,$BA$205^A80,IF(A80='Données projet'!$A$88,'Données projet'!$B$88,BD79+BC80-BL79)))</f>
        <v>319.2</v>
      </c>
      <c r="BE80" s="14">
        <f>BD80*VLOOKUP('Données projet'!$B$11,Paramètres!$A$1:$I$89,3,0)*VLOOKUP('Données projet'!$B$11,Paramètres!$A$1:$I$89,5,0)</f>
        <v>253.95552000000001</v>
      </c>
      <c r="BF80" s="14">
        <f t="shared" si="91"/>
        <v>61.432180511879253</v>
      </c>
      <c r="BG80" s="22">
        <f t="shared" si="61"/>
        <v>549.30024505818972</v>
      </c>
      <c r="BH80" s="62">
        <f t="shared" si="62"/>
        <v>842.63357839152309</v>
      </c>
      <c r="BI80" s="62">
        <f ca="1">AVERAGE(OFFSET($BH$3,0,0,'Données projet'!$E$11+1,1))-AVERAGE(OFFSET($H$3,0,0,'Données projet'!$E$11+1,1))</f>
        <v>359.18294335011535</v>
      </c>
      <c r="BJ80" s="62">
        <f t="shared" si="92"/>
        <v>345.47508134331241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28.568572449791102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28.568572449791102</v>
      </c>
      <c r="BT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3.6</v>
      </c>
      <c r="BY80" s="13">
        <f>IF('Données projet'!$A$114&gt;35,BY79+BX80-CG79,IF(A80&lt;'Données projet'!$A$114,$BV$205^A80,IF(A80='Données projet'!$A$114,'Données projet'!$B$114,BY79+BX80-CG79)))</f>
        <v>319.2</v>
      </c>
      <c r="BZ80" s="14">
        <f>BY80*VLOOKUP('Données projet'!$B$12,Paramètres!$A$1:$I$89,3,0)*VLOOKUP('Données projet'!$B$12,Paramètres!$A$1:$I$89,5,0)</f>
        <v>234.03743999999998</v>
      </c>
      <c r="CA80" s="14">
        <f t="shared" si="93"/>
        <v>57.154784339928739</v>
      </c>
      <c r="CB80" s="22">
        <f t="shared" si="64"/>
        <v>507.15979072537579</v>
      </c>
      <c r="CC80" s="62">
        <f t="shared" si="65"/>
        <v>800.4931240587091</v>
      </c>
      <c r="CD80" s="62">
        <f ca="1">AVERAGE(OFFSET($CC$3,0,0,'Données projet'!$E$12+1,1))-AVERAGE(OFFSET($H$3,0,0,'Données projet'!$E$12+1,1))</f>
        <v>333.9187211440219</v>
      </c>
      <c r="CE80" s="62">
        <f t="shared" si="94"/>
        <v>321.81422611044997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21.360371779884499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21.360371779884499</v>
      </c>
      <c r="CO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3.6</v>
      </c>
      <c r="CT80" s="13">
        <f>IF('Données projet'!$A$140&gt;35,CT79+CS80-DB79,IF(A80&lt;'Données projet'!$A$140,$CQ$205^A80,IF(A80='Données projet'!$A$140,'Données projet'!$B$140,CT79+CS80-DB79)))</f>
        <v>319.2</v>
      </c>
      <c r="CU80" s="18">
        <f>CT80*VLOOKUP('Données projet'!$B$13,Paramètres!$A$1:$I$89,3,0)*VLOOKUP('Données projet'!$B$13,Paramètres!$A$1:$I$89,5,0)</f>
        <v>258.93504000000001</v>
      </c>
      <c r="CV80" s="14">
        <f t="shared" si="95"/>
        <v>62.495317322077135</v>
      </c>
      <c r="CW80" s="22">
        <f t="shared" si="67"/>
        <v>559.82453900261771</v>
      </c>
      <c r="CX80" s="62">
        <f t="shared" si="68"/>
        <v>853.15787233595097</v>
      </c>
      <c r="CY80" s="62">
        <f ca="1">AVERAGE(OFFSET($CX$3,0,0,'Données projet'!$E$13+1,1))-AVERAGE(OFFSET($H$3,0,0,'Données projet'!$E$13+1,1))</f>
        <v>365.492319515595</v>
      </c>
      <c r="CZ80" s="62">
        <f t="shared" si="96"/>
        <v>351.38386928091433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23.632751756467954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23.632751756467954</v>
      </c>
      <c r="DJ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8.6770000000000014</v>
      </c>
      <c r="DO80" s="13">
        <f>IF('Données projet'!$A$166&gt;35,DO79+DN80-DW79,IF(A80&lt;'Données projet'!$A$166,$DL$205^A80,IF(A80='Données projet'!$A$166,'Données projet'!$B$166,DO79+DN80-DW79)))</f>
        <v>264.6110000000001</v>
      </c>
      <c r="DP80" s="18">
        <f>DO80*VLOOKUP('Données projet'!$B$14,Paramètres!$A$1:$I$89,3,0)*VLOOKUP('Données projet'!$B$14,Paramètres!$A$1:$I$89,5,0)</f>
        <v>222.9083064000001</v>
      </c>
      <c r="DQ80" s="14">
        <f t="shared" si="97"/>
        <v>54.746507793877633</v>
      </c>
      <c r="DR80" s="22">
        <f t="shared" si="70"/>
        <v>483.58213472100368</v>
      </c>
      <c r="DS80" s="62">
        <f t="shared" si="71"/>
        <v>776.915468054337</v>
      </c>
      <c r="DT80" s="62">
        <f ca="1">AVERAGE(OFFSET($DS$3,0,0,'Données projet'!$E$14+1,1))-AVERAGE(OFFSET($H$3,0,0,'Données projet'!$E$14+1,1))</f>
        <v>544.89250424794909</v>
      </c>
      <c r="DU80" s="62">
        <f t="shared" si="98"/>
        <v>253.98688498110715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17.845970944044321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17.845970944044321</v>
      </c>
      <c r="EE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8.6770000000000014</v>
      </c>
      <c r="EJ80" s="13">
        <f>IF('Données projet'!$A$192&gt;35,EJ79+EI80-ER79,IF(A80&lt;'Données projet'!$A$192,$EG$205^A80,IF(A80='Données projet'!$A$192,'Données projet'!$B$192,EJ79+EI80-ER79)))</f>
        <v>264.6110000000001</v>
      </c>
      <c r="EK80" s="18">
        <f>EJ80*VLOOKUP('Données projet'!$B$15,Paramètres!$A$1:$I$89,3,0)*VLOOKUP('Données projet'!$B$15,Paramètres!$A$1:$I$89,5,0)</f>
        <v>239.42003280000009</v>
      </c>
      <c r="EL80" s="14">
        <f t="shared" si="99"/>
        <v>58.314730148380967</v>
      </c>
      <c r="EM80" s="22">
        <f t="shared" si="73"/>
        <v>518.55471213509702</v>
      </c>
      <c r="EN80" s="62">
        <f t="shared" si="74"/>
        <v>811.88804546843039</v>
      </c>
      <c r="EO80" s="62">
        <f ca="1">AVERAGE(OFFSET($EN$3,0,0,'Données projet'!$E$15+1,1))-AVERAGE(OFFSET($H$3,0,0,'Données projet'!$E$15+1,1))</f>
        <v>581.88778927327667</v>
      </c>
      <c r="EP80" s="62">
        <f t="shared" si="100"/>
        <v>269.67340993773422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19.167894717677239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19.167894717677239</v>
      </c>
      <c r="EZ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8.6770000000000014</v>
      </c>
      <c r="FE80" s="13">
        <f>IF('Données projet'!$A$218&gt;35,FE79+FD80-FM79,IF(A80&lt;'Données projet'!$A$218,$FB$205^A80,IF(A80='Données projet'!$A$218,'Données projet'!$B$218,FE79+FD80-FM79)))</f>
        <v>264.6110000000001</v>
      </c>
      <c r="FF80" s="18">
        <f>FE80*VLOOKUP('Données projet'!$B$16,Paramètres!$A$1:$I$89,3,0)*VLOOKUP('Données projet'!$B$16,Paramètres!$A$1:$I$89,5,0)</f>
        <v>268.31555400000013</v>
      </c>
      <c r="FG80" s="14">
        <f t="shared" si="101"/>
        <v>64.491657233004062</v>
      </c>
      <c r="FH80" s="22">
        <f t="shared" si="76"/>
        <v>579.63922623081567</v>
      </c>
      <c r="FI80" s="62">
        <f t="shared" si="77"/>
        <v>872.97255956414892</v>
      </c>
      <c r="FJ80" s="62">
        <f ca="1">AVERAGE(OFFSET($FI$3,0,0,'Données projet'!$E$16+1,1))-AVERAGE(OFFSET($H$3,0,0,'Données projet'!$E$16+1,1))</f>
        <v>646.50767193970182</v>
      </c>
      <c r="FK80" s="62">
        <f t="shared" si="102"/>
        <v>297.06786598620607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21.481261321534834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21.481261321534834</v>
      </c>
      <c r="FU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8.6770000000000014</v>
      </c>
      <c r="FZ80" s="13">
        <f>IF('Données projet'!$A$244&gt;35,FZ79+FY80-GH79,IF(A80&lt;'Données projet'!$A$244,$FW$205^A80,IF(A80='Données projet'!$A$244,'Données projet'!$B$244,FZ79+FY80-GH79)))</f>
        <v>264.6110000000001</v>
      </c>
      <c r="GA80" s="18">
        <f>FZ80*VLOOKUP('Données projet'!$B$17,Paramètres!$A$1:$I$89,3,0)*VLOOKUP('Données projet'!$B$17,Paramètres!$A$1:$I$89,5,0)</f>
        <v>177.50105880000007</v>
      </c>
      <c r="GB80" s="14">
        <f t="shared" si="103"/>
        <v>44.765766234384074</v>
      </c>
      <c r="GC80" s="22">
        <f t="shared" si="79"/>
        <v>387.11472026821906</v>
      </c>
      <c r="GD80" s="62">
        <f t="shared" si="80"/>
        <v>680.44805360155237</v>
      </c>
      <c r="GE80" s="62">
        <f ca="1">AVERAGE(OFFSET($GD$3,0,0,'Données projet'!$E$17+1,1))-AVERAGE(OFFSET($H$3,0,0,'Données projet'!$E$17+1,1))</f>
        <v>442.85175349826028</v>
      </c>
      <c r="GF80" s="62">
        <f t="shared" si="104"/>
        <v>210.70697808232501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17.515490000636088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17.515490000636088</v>
      </c>
      <c r="GP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6.4</v>
      </c>
      <c r="GU80" s="13">
        <f>IF('Données projet'!$A$270&gt;35,GU79+GT80-HC79,IF(A80&lt;'Données projet'!$A$270,$GR$205^A80,IF(A80='Données projet'!$A$270,'Données projet'!$B$270,GU79+GT80-HC79)))</f>
        <v>255.80000000000004</v>
      </c>
      <c r="GV80" s="18">
        <f>GU80*VLOOKUP('Données projet'!$B$18,Paramètres!$A$1:$I$89,3,0)*VLOOKUP('Données projet'!$B$18,Paramètres!$A$1:$I$89,5,0)</f>
        <v>243.41928000000001</v>
      </c>
      <c r="GW80" s="14">
        <f t="shared" si="105"/>
        <v>59.174598437405322</v>
      </c>
      <c r="GX80" s="22">
        <f t="shared" si="82"/>
        <v>527.01767161181431</v>
      </c>
      <c r="GY80" s="62">
        <f t="shared" si="83"/>
        <v>820.35100494514768</v>
      </c>
      <c r="GZ80" s="62">
        <f ca="1">AVERAGE(OFFSET($GY$3,0,0,'Données projet'!$E$18+1,1))-AVERAGE(OFFSET($H$3,0,0,'Données projet'!$E$18+1,1))</f>
        <v>420.2510366318939</v>
      </c>
      <c r="HA80" s="62">
        <f t="shared" si="106"/>
        <v>220.59884411514116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29.487209426813976</v>
      </c>
      <c r="HH80" s="23">
        <f>EXP(-LN(2)/25)*HH79+(1-EXP(-LN(2)/25))/(LN(2)/25)*Calculateur!HC80*Calculateur!HE80*VLOOKUP('Données projet'!$B$18,Paramètres!$A$1:$I$89,3,0)*0.475*44/12</f>
        <v>0</v>
      </c>
      <c r="HI80" s="23">
        <f>EXP(-LN(2)/2)*HI79+(1-EXP(-LN(2)/2))/(LN(2)/2)*HC80*HF80*VLOOKUP('Données projet'!$B$18,Paramètres!$A$1:$I$89,3,0)*0.475*44/12</f>
        <v>0</v>
      </c>
      <c r="HJ80" s="24">
        <f t="shared" si="84"/>
        <v>29.487209426813976</v>
      </c>
    </row>
    <row r="81" spans="1:218" s="5" customFormat="1" x14ac:dyDescent="0.2">
      <c r="A81" s="11">
        <f t="shared" si="85"/>
        <v>78</v>
      </c>
      <c r="B81" s="74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11.25925925925926</v>
      </c>
      <c r="N81" s="14">
        <f>IF('Données projet'!$A$36&gt;35,N80+M81-V80,IF(A81&lt;'Données projet'!$A$36,$K$205^A81,IF(A81='Données projet'!$A$36,'Données projet'!$B$36,N80+M81-V80)))</f>
        <v>569.88888888888869</v>
      </c>
      <c r="O81" s="14">
        <f>N81*VLOOKUP('Données projet'!$B$9,Paramètres!$A$1:$I$89,3,0)*VLOOKUP('Données projet'!$B$9,Paramètres!$A$1:$I$89,5,0)</f>
        <v>488.96466666666657</v>
      </c>
      <c r="P81" s="14">
        <f t="shared" si="87"/>
        <v>109.59674199201186</v>
      </c>
      <c r="Q81" s="22">
        <f t="shared" si="54"/>
        <v>1042.4944534138647</v>
      </c>
      <c r="R81" s="62">
        <f t="shared" si="55"/>
        <v>1335.8277867471979</v>
      </c>
      <c r="S81" s="62">
        <f ca="1">AVERAGE(OFFSET($R$3,0,0,'Données projet'!$E$9+1,1))-AVERAGE(OFFSET($H$3,0,0,'Données projet'!$E$9+1,1))</f>
        <v>623.31285537237943</v>
      </c>
      <c r="T81" s="62">
        <f t="shared" si="88"/>
        <v>462.33909258902241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75.386921184637032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75.386921184637032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3.6</v>
      </c>
      <c r="AI81" s="14">
        <f>IF('Données projet'!$A$62&gt;35,AI80+AH81-AQ80,IF(A81&lt;'Données projet'!$A$62,$AF$205^A81,IF(A81='Données projet'!$A$62,'Données projet'!$B$62,AI80+AH81-AQ80)))</f>
        <v>322.8</v>
      </c>
      <c r="AJ81" s="14">
        <f>AI81*VLOOKUP('Données projet'!$B$10,Paramètres!$A$1:$I$89,3,0)*VLOOKUP('Données projet'!$B$10,Paramètres!$A$1:$I$89,5,0)</f>
        <v>281.99808000000007</v>
      </c>
      <c r="AK81" s="14">
        <f t="shared" si="89"/>
        <v>67.389085719488818</v>
      </c>
      <c r="AL81" s="22">
        <f t="shared" si="58"/>
        <v>608.51598029477645</v>
      </c>
      <c r="AM81" s="62">
        <f t="shared" si="59"/>
        <v>901.84931362810971</v>
      </c>
      <c r="AN81" s="62">
        <f ca="1">AVERAGE(OFFSET($AM$3,0,0,'Données projet'!$E$10+1,1))-AVERAGE(OFFSET($H$3,0,0,'Données projet'!$E$10+1,1))</f>
        <v>390.70479111593545</v>
      </c>
      <c r="AO81" s="62">
        <f t="shared" si="90"/>
        <v>374.99493809709708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30.754277832802366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30.754277832802366</v>
      </c>
      <c r="AY81" s="7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3.6</v>
      </c>
      <c r="BD81" s="13">
        <f>IF('Données projet'!$A$88&gt;35,BD80+BC81-BL80,IF(A81&lt;'Données projet'!$A$88,$BA$205^A81,IF(A81='Données projet'!$A$88,'Données projet'!$B$88,BD80+BC81-BL80)))</f>
        <v>322.8</v>
      </c>
      <c r="BE81" s="14">
        <f>BD81*VLOOKUP('Données projet'!$B$11,Paramètres!$A$1:$I$89,3,0)*VLOOKUP('Données projet'!$B$11,Paramètres!$A$1:$I$89,5,0)</f>
        <v>256.81968000000001</v>
      </c>
      <c r="BF81" s="14">
        <f t="shared" si="91"/>
        <v>62.043977430851903</v>
      </c>
      <c r="BG81" s="22">
        <f t="shared" si="61"/>
        <v>555.35420335873368</v>
      </c>
      <c r="BH81" s="62">
        <f t="shared" si="62"/>
        <v>848.68753669206694</v>
      </c>
      <c r="BI81" s="62">
        <f ca="1">AVERAGE(OFFSET($BH$3,0,0,'Données projet'!$E$11+1,1))-AVERAGE(OFFSET($H$3,0,0,'Données projet'!$E$11+1,1))</f>
        <v>359.18294335011535</v>
      </c>
      <c r="BJ81" s="62">
        <f t="shared" si="92"/>
        <v>345.47508134331241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28.008360169159307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28.008360169159307</v>
      </c>
      <c r="BT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3.6</v>
      </c>
      <c r="BY81" s="13">
        <f>IF('Données projet'!$A$114&gt;35,BY80+BX81-CG80,IF(A81&lt;'Données projet'!$A$114,$BV$205^A81,IF(A81='Données projet'!$A$114,'Données projet'!$B$114,BY80+BX81-CG80)))</f>
        <v>322.8</v>
      </c>
      <c r="BZ81" s="14">
        <f>BY81*VLOOKUP('Données projet'!$B$12,Paramètres!$A$1:$I$89,3,0)*VLOOKUP('Données projet'!$B$12,Paramètres!$A$1:$I$89,5,0)</f>
        <v>236.67696000000001</v>
      </c>
      <c r="CA81" s="14">
        <f t="shared" si="93"/>
        <v>57.723983099802702</v>
      </c>
      <c r="CB81" s="22">
        <f t="shared" si="64"/>
        <v>512.74830923215643</v>
      </c>
      <c r="CC81" s="62">
        <f t="shared" si="65"/>
        <v>806.0816425654898</v>
      </c>
      <c r="CD81" s="62">
        <f ca="1">AVERAGE(OFFSET($CC$3,0,0,'Données projet'!$E$12+1,1))-AVERAGE(OFFSET($H$3,0,0,'Données projet'!$E$12+1,1))</f>
        <v>333.9187211440219</v>
      </c>
      <c r="CE81" s="62">
        <f t="shared" si="94"/>
        <v>321.81422611044997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20.941507917821287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20.941507917821287</v>
      </c>
      <c r="CO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3.6</v>
      </c>
      <c r="CT81" s="13">
        <f>IF('Données projet'!$A$140&gt;35,CT80+CS81-DB80,IF(A81&lt;'Données projet'!$A$140,$CQ$205^A81,IF(A81='Données projet'!$A$140,'Données projet'!$B$140,CT80+CS81-DB80)))</f>
        <v>322.8</v>
      </c>
      <c r="CU81" s="18">
        <f>CT81*VLOOKUP('Données projet'!$B$13,Paramètres!$A$1:$I$89,3,0)*VLOOKUP('Données projet'!$B$13,Paramètres!$A$1:$I$89,5,0)</f>
        <v>261.85536000000002</v>
      </c>
      <c r="CV81" s="14">
        <f t="shared" si="95"/>
        <v>63.117701913821712</v>
      </c>
      <c r="CW81" s="22">
        <f t="shared" si="67"/>
        <v>565.99474949990611</v>
      </c>
      <c r="CX81" s="62">
        <f t="shared" si="68"/>
        <v>859.32808283323948</v>
      </c>
      <c r="CY81" s="62">
        <f ca="1">AVERAGE(OFFSET($CX$3,0,0,'Données projet'!$E$13+1,1))-AVERAGE(OFFSET($H$3,0,0,'Données projet'!$E$13+1,1))</f>
        <v>365.492319515595</v>
      </c>
      <c r="CZ81" s="62">
        <f t="shared" si="96"/>
        <v>351.38386928091433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23.16932790907887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23.16932790907887</v>
      </c>
      <c r="DJ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8.6770000000000014</v>
      </c>
      <c r="DO81" s="13">
        <f>IF('Données projet'!$A$166&gt;35,DO80+DN81-DW80,IF(A81&lt;'Données projet'!$A$166,$DL$205^A81,IF(A81='Données projet'!$A$166,'Données projet'!$B$166,DO80+DN81-DW80)))</f>
        <v>273.28800000000012</v>
      </c>
      <c r="DP81" s="18">
        <f>DO81*VLOOKUP('Données projet'!$B$14,Paramètres!$A$1:$I$89,3,0)*VLOOKUP('Données projet'!$B$14,Paramètres!$A$1:$I$89,5,0)</f>
        <v>230.21781120000011</v>
      </c>
      <c r="DQ81" s="14">
        <f t="shared" si="97"/>
        <v>56.329774810199844</v>
      </c>
      <c r="DR81" s="22">
        <f t="shared" si="70"/>
        <v>499.07037896776484</v>
      </c>
      <c r="DS81" s="62">
        <f t="shared" si="71"/>
        <v>792.40371230109815</v>
      </c>
      <c r="DT81" s="62">
        <f ca="1">AVERAGE(OFFSET($DS$3,0,0,'Données projet'!$E$14+1,1))-AVERAGE(OFFSET($H$3,0,0,'Données projet'!$E$14+1,1))</f>
        <v>544.89250424794909</v>
      </c>
      <c r="DU81" s="62">
        <f t="shared" si="98"/>
        <v>253.98688498110715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17.496022338799087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17.496022338799087</v>
      </c>
      <c r="EE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8.6770000000000014</v>
      </c>
      <c r="EJ81" s="13">
        <f>IF('Données projet'!$A$192&gt;35,EJ80+EI81-ER80,IF(A81&lt;'Données projet'!$A$192,$EG$205^A81,IF(A81='Données projet'!$A$192,'Données projet'!$B$192,EJ80+EI81-ER80)))</f>
        <v>273.28800000000012</v>
      </c>
      <c r="EK81" s="18">
        <f>EJ81*VLOOKUP('Données projet'!$B$15,Paramètres!$A$1:$I$89,3,0)*VLOOKUP('Données projet'!$B$15,Paramètres!$A$1:$I$89,5,0)</f>
        <v>247.27098240000012</v>
      </c>
      <c r="EL81" s="14">
        <f t="shared" si="99"/>
        <v>60.001190025553029</v>
      </c>
      <c r="EM81" s="22">
        <f t="shared" si="73"/>
        <v>535.16570030783839</v>
      </c>
      <c r="EN81" s="62">
        <f t="shared" si="74"/>
        <v>828.49903364117176</v>
      </c>
      <c r="EO81" s="62">
        <f ca="1">AVERAGE(OFFSET($EN$3,0,0,'Données projet'!$E$15+1,1))-AVERAGE(OFFSET($H$3,0,0,'Données projet'!$E$15+1,1))</f>
        <v>581.88778927327667</v>
      </c>
      <c r="EP81" s="62">
        <f t="shared" si="100"/>
        <v>269.67340993773422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18.79202399352495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18.79202399352495</v>
      </c>
      <c r="EZ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8.6770000000000014</v>
      </c>
      <c r="FE81" s="13">
        <f>IF('Données projet'!$A$218&gt;35,FE80+FD81-FM80,IF(A81&lt;'Données projet'!$A$218,$FB$205^A81,IF(A81='Données projet'!$A$218,'Données projet'!$B$218,FE80+FD81-FM80)))</f>
        <v>273.28800000000012</v>
      </c>
      <c r="FF81" s="18">
        <f>FE81*VLOOKUP('Données projet'!$B$16,Paramètres!$A$1:$I$89,3,0)*VLOOKUP('Données projet'!$B$16,Paramètres!$A$1:$I$89,5,0)</f>
        <v>277.11403200000018</v>
      </c>
      <c r="FG81" s="14">
        <f t="shared" si="101"/>
        <v>66.356753617040368</v>
      </c>
      <c r="FH81" s="22">
        <f t="shared" si="76"/>
        <v>598.21161828301217</v>
      </c>
      <c r="FI81" s="62">
        <f t="shared" si="77"/>
        <v>891.54495161634554</v>
      </c>
      <c r="FJ81" s="62">
        <f ca="1">AVERAGE(OFFSET($FI$3,0,0,'Données projet'!$E$16+1,1))-AVERAGE(OFFSET($H$3,0,0,'Données projet'!$E$16+1,1))</f>
        <v>646.50767193970182</v>
      </c>
      <c r="FK81" s="62">
        <f t="shared" si="102"/>
        <v>297.06786598620607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21.060026889295202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21.060026889295202</v>
      </c>
      <c r="FU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8.6770000000000014</v>
      </c>
      <c r="FZ81" s="13">
        <f>IF('Données projet'!$A$244&gt;35,FZ80+FY81-GH80,IF(A81&lt;'Données projet'!$A$244,$FW$205^A81,IF(A81='Données projet'!$A$244,'Données projet'!$B$244,FZ80+FY81-GH80)))</f>
        <v>273.28800000000012</v>
      </c>
      <c r="GA81" s="18">
        <f>FZ81*VLOOKUP('Données projet'!$B$17,Paramètres!$A$1:$I$89,3,0)*VLOOKUP('Données projet'!$B$17,Paramètres!$A$1:$I$89,5,0)</f>
        <v>183.3215904000001</v>
      </c>
      <c r="GB81" s="14">
        <f t="shared" si="103"/>
        <v>46.060390567430886</v>
      </c>
      <c r="GC81" s="22">
        <f t="shared" si="79"/>
        <v>399.5069501849423</v>
      </c>
      <c r="GD81" s="62">
        <f t="shared" si="80"/>
        <v>692.84028351827556</v>
      </c>
      <c r="GE81" s="62">
        <f ca="1">AVERAGE(OFFSET($GD$3,0,0,'Données projet'!$E$17+1,1))-AVERAGE(OFFSET($H$3,0,0,'Données projet'!$E$17+1,1))</f>
        <v>442.85175349826028</v>
      </c>
      <c r="GF81" s="62">
        <f t="shared" si="104"/>
        <v>210.70697808232501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17.172021925117619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17.172021925117619</v>
      </c>
      <c r="GP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6.4</v>
      </c>
      <c r="GU81" s="13">
        <f>IF('Données projet'!$A$270&gt;35,GU80+GT81-HC80,IF(A81&lt;'Données projet'!$A$270,$GR$205^A81,IF(A81='Données projet'!$A$270,'Données projet'!$B$270,GU80+GT81-HC80)))</f>
        <v>262.20000000000005</v>
      </c>
      <c r="GV81" s="18">
        <f>GU81*VLOOKUP('Données projet'!$B$18,Paramètres!$A$1:$I$89,3,0)*VLOOKUP('Données projet'!$B$18,Paramètres!$A$1:$I$89,5,0)</f>
        <v>249.50952000000007</v>
      </c>
      <c r="GW81" s="14">
        <f t="shared" si="105"/>
        <v>60.480899941029307</v>
      </c>
      <c r="GX81" s="22">
        <f t="shared" si="82"/>
        <v>539.89998139729278</v>
      </c>
      <c r="GY81" s="62">
        <f t="shared" si="83"/>
        <v>833.23331473062603</v>
      </c>
      <c r="GZ81" s="62">
        <f ca="1">AVERAGE(OFFSET($GY$3,0,0,'Données projet'!$E$18+1,1))-AVERAGE(OFFSET($H$3,0,0,'Données projet'!$E$18+1,1))</f>
        <v>420.2510366318939</v>
      </c>
      <c r="HA81" s="62">
        <f t="shared" si="106"/>
        <v>220.59884411514116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28.908983235375992</v>
      </c>
      <c r="HH81" s="23">
        <f>EXP(-LN(2)/25)*HH80+(1-EXP(-LN(2)/25))/(LN(2)/25)*Calculateur!HC81*Calculateur!HE81*VLOOKUP('Données projet'!$B$18,Paramètres!$A$1:$I$89,3,0)*0.475*44/12</f>
        <v>0</v>
      </c>
      <c r="HI81" s="23">
        <f>EXP(-LN(2)/2)*HI80+(1-EXP(-LN(2)/2))/(LN(2)/2)*HC81*HF81*VLOOKUP('Données projet'!$B$18,Paramètres!$A$1:$I$89,3,0)*0.475*44/12</f>
        <v>0</v>
      </c>
      <c r="HJ81" s="24">
        <f t="shared" si="84"/>
        <v>28.908983235375992</v>
      </c>
    </row>
    <row r="82" spans="1:218" s="5" customFormat="1" x14ac:dyDescent="0.2">
      <c r="A82" s="11">
        <f t="shared" si="85"/>
        <v>79</v>
      </c>
      <c r="B82" s="74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11.25925925925926</v>
      </c>
      <c r="N82" s="14">
        <f>IF('Données projet'!$A$36&gt;35,N81+M82-V81,IF(A82&lt;'Données projet'!$A$36,$K$205^A82,IF(A82='Données projet'!$A$36,'Données projet'!$B$36,N81+M82-V81)))</f>
        <v>581.14814814814792</v>
      </c>
      <c r="O82" s="14">
        <f>N82*VLOOKUP('Données projet'!$B$9,Paramètres!$A$1:$I$89,3,0)*VLOOKUP('Données projet'!$B$9,Paramètres!$A$1:$I$89,5,0)</f>
        <v>498.62511111111098</v>
      </c>
      <c r="P82" s="14">
        <f t="shared" si="87"/>
        <v>111.50781358186703</v>
      </c>
      <c r="Q82" s="22">
        <f t="shared" si="54"/>
        <v>1062.6481771736035</v>
      </c>
      <c r="R82" s="62">
        <f t="shared" si="55"/>
        <v>1355.9815105069367</v>
      </c>
      <c r="S82" s="62">
        <f ca="1">AVERAGE(OFFSET($R$3,0,0,'Données projet'!$E$9+1,1))-AVERAGE(OFFSET($H$3,0,0,'Données projet'!$E$9+1,1))</f>
        <v>623.31285537237943</v>
      </c>
      <c r="T82" s="62">
        <f t="shared" si="88"/>
        <v>462.33909258902241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73.908629641687924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73.908629641687924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3.6</v>
      </c>
      <c r="AI82" s="14">
        <f>IF('Données projet'!$A$62&gt;35,AI81+AH82-AQ81,IF(A82&lt;'Données projet'!$A$62,$AF$205^A82,IF(A82='Données projet'!$A$62,'Données projet'!$B$62,AI81+AH82-AQ81)))</f>
        <v>326.40000000000003</v>
      </c>
      <c r="AJ82" s="14">
        <f>AI82*VLOOKUP('Données projet'!$B$10,Paramètres!$A$1:$I$89,3,0)*VLOOKUP('Données projet'!$B$10,Paramètres!$A$1:$I$89,5,0)</f>
        <v>285.1430400000001</v>
      </c>
      <c r="AK82" s="14">
        <f t="shared" si="89"/>
        <v>68.052727058079924</v>
      </c>
      <c r="AL82" s="22">
        <f t="shared" si="58"/>
        <v>615.14929429282267</v>
      </c>
      <c r="AM82" s="62">
        <f t="shared" si="59"/>
        <v>908.48262762615605</v>
      </c>
      <c r="AN82" s="62">
        <f ca="1">AVERAGE(OFFSET($AM$3,0,0,'Données projet'!$E$10+1,1))-AVERAGE(OFFSET($H$3,0,0,'Données projet'!$E$10+1,1))</f>
        <v>390.70479111593545</v>
      </c>
      <c r="AO82" s="62">
        <f t="shared" si="90"/>
        <v>374.99493809709708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30.151205202758366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30.151205202758366</v>
      </c>
      <c r="AY82" s="7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3.6</v>
      </c>
      <c r="BD82" s="13">
        <f>IF('Données projet'!$A$88&gt;35,BD81+BC82-BL81,IF(A82&lt;'Données projet'!$A$88,$BA$205^A82,IF(A82='Données projet'!$A$88,'Données projet'!$B$88,BD81+BC82-BL81)))</f>
        <v>326.40000000000003</v>
      </c>
      <c r="BE82" s="14">
        <f>BD82*VLOOKUP('Données projet'!$B$11,Paramètres!$A$1:$I$89,3,0)*VLOOKUP('Données projet'!$B$11,Paramètres!$A$1:$I$89,5,0)</f>
        <v>259.68384000000003</v>
      </c>
      <c r="BF82" s="14">
        <f t="shared" si="91"/>
        <v>62.654980648867358</v>
      </c>
      <c r="BG82" s="22">
        <f t="shared" si="61"/>
        <v>561.40677929677736</v>
      </c>
      <c r="BH82" s="62">
        <f t="shared" si="62"/>
        <v>854.74011263011062</v>
      </c>
      <c r="BI82" s="62">
        <f ca="1">AVERAGE(OFFSET($BH$3,0,0,'Données projet'!$E$11+1,1))-AVERAGE(OFFSET($H$3,0,0,'Données projet'!$E$11+1,1))</f>
        <v>359.18294335011535</v>
      </c>
      <c r="BJ82" s="62">
        <f t="shared" si="92"/>
        <v>345.47508134331241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27.459133309654948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27.459133309654948</v>
      </c>
      <c r="BT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3.6</v>
      </c>
      <c r="BY82" s="13">
        <f>IF('Données projet'!$A$114&gt;35,BY81+BX82-CG81,IF(A82&lt;'Données projet'!$A$114,$BV$205^A82,IF(A82='Données projet'!$A$114,'Données projet'!$B$114,BY81+BX82-CG81)))</f>
        <v>326.40000000000003</v>
      </c>
      <c r="BZ82" s="14">
        <f>BY82*VLOOKUP('Données projet'!$B$12,Paramètres!$A$1:$I$89,3,0)*VLOOKUP('Données projet'!$B$12,Paramètres!$A$1:$I$89,5,0)</f>
        <v>239.31648000000004</v>
      </c>
      <c r="CA82" s="14">
        <f t="shared" si="93"/>
        <v>58.292443422481945</v>
      </c>
      <c r="CB82" s="22">
        <f t="shared" si="64"/>
        <v>518.33554162748953</v>
      </c>
      <c r="CC82" s="62">
        <f t="shared" si="65"/>
        <v>811.6688749608229</v>
      </c>
      <c r="CD82" s="62">
        <f ca="1">AVERAGE(OFFSET($CC$3,0,0,'Données projet'!$E$12+1,1))-AVERAGE(OFFSET($H$3,0,0,'Données projet'!$E$12+1,1))</f>
        <v>333.9187211440219</v>
      </c>
      <c r="CE82" s="62">
        <f t="shared" si="94"/>
        <v>321.81422611044997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20.530857720611408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20.530857720611408</v>
      </c>
      <c r="CO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3.6</v>
      </c>
      <c r="CT82" s="13">
        <f>IF('Données projet'!$A$140&gt;35,CT81+CS82-DB81,IF(A82&lt;'Données projet'!$A$140,$CQ$205^A82,IF(A82='Données projet'!$A$140,'Données projet'!$B$140,CT81+CS82-DB81)))</f>
        <v>326.40000000000003</v>
      </c>
      <c r="CU82" s="18">
        <f>CT82*VLOOKUP('Données projet'!$B$13,Paramètres!$A$1:$I$89,3,0)*VLOOKUP('Données projet'!$B$13,Paramètres!$A$1:$I$89,5,0)</f>
        <v>264.77568000000008</v>
      </c>
      <c r="CV82" s="14">
        <f t="shared" si="95"/>
        <v>63.739279068930216</v>
      </c>
      <c r="CW82" s="22">
        <f t="shared" si="67"/>
        <v>572.16355371172028</v>
      </c>
      <c r="CX82" s="62">
        <f t="shared" si="68"/>
        <v>865.49688704505365</v>
      </c>
      <c r="CY82" s="62">
        <f ca="1">AVERAGE(OFFSET($CX$3,0,0,'Données projet'!$E$13+1,1))-AVERAGE(OFFSET($H$3,0,0,'Données projet'!$E$13+1,1))</f>
        <v>365.492319515595</v>
      </c>
      <c r="CZ82" s="62">
        <f t="shared" si="96"/>
        <v>351.38386928091433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22.714991520676449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22.714991520676449</v>
      </c>
      <c r="DJ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8.6770000000000014</v>
      </c>
      <c r="DO82" s="13">
        <f>IF('Données projet'!$A$166&gt;35,DO81+DN82-DW81,IF(A82&lt;'Données projet'!$A$166,$DL$205^A82,IF(A82='Données projet'!$A$166,'Données projet'!$B$166,DO81+DN82-DW81)))</f>
        <v>281.96500000000015</v>
      </c>
      <c r="DP82" s="18">
        <f>DO82*VLOOKUP('Données projet'!$B$14,Paramètres!$A$1:$I$89,3,0)*VLOOKUP('Données projet'!$B$14,Paramètres!$A$1:$I$89,5,0)</f>
        <v>237.52731600000013</v>
      </c>
      <c r="DQ82" s="14">
        <f t="shared" si="97"/>
        <v>57.907200237443583</v>
      </c>
      <c r="DR82" s="22">
        <f t="shared" si="70"/>
        <v>514.54844911354769</v>
      </c>
      <c r="DS82" s="62">
        <f t="shared" si="71"/>
        <v>807.88178244688106</v>
      </c>
      <c r="DT82" s="62">
        <f ca="1">AVERAGE(OFFSET($DS$3,0,0,'Données projet'!$E$14+1,1))-AVERAGE(OFFSET($H$3,0,0,'Données projet'!$E$14+1,1))</f>
        <v>544.89250424794909</v>
      </c>
      <c r="DU82" s="62">
        <f t="shared" si="98"/>
        <v>253.98688498110715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17.15293601225514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17.15293601225514</v>
      </c>
      <c r="EE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8.6770000000000014</v>
      </c>
      <c r="EJ82" s="13">
        <f>IF('Données projet'!$A$192&gt;35,EJ81+EI82-ER81,IF(A82&lt;'Données projet'!$A$192,$EG$205^A82,IF(A82='Données projet'!$A$192,'Données projet'!$B$192,EJ81+EI82-ER81)))</f>
        <v>281.96500000000015</v>
      </c>
      <c r="EK82" s="18">
        <f>EJ82*VLOOKUP('Données projet'!$B$15,Paramètres!$A$1:$I$89,3,0)*VLOOKUP('Données projet'!$B$15,Paramètres!$A$1:$I$89,5,0)</f>
        <v>255.1219320000001</v>
      </c>
      <c r="EL82" s="14">
        <f t="shared" si="99"/>
        <v>61.681427575411924</v>
      </c>
      <c r="EM82" s="22">
        <f t="shared" si="73"/>
        <v>551.76585126050918</v>
      </c>
      <c r="EN82" s="62">
        <f t="shared" si="74"/>
        <v>845.09918459384244</v>
      </c>
      <c r="EO82" s="62">
        <f ca="1">AVERAGE(OFFSET($EN$3,0,0,'Données projet'!$E$15+1,1))-AVERAGE(OFFSET($H$3,0,0,'Données projet'!$E$15+1,1))</f>
        <v>581.88778927327667</v>
      </c>
      <c r="EP82" s="62">
        <f t="shared" si="100"/>
        <v>269.67340993773422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18.423523865014783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18.423523865014783</v>
      </c>
      <c r="EZ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8.6770000000000014</v>
      </c>
      <c r="FE82" s="13">
        <f>IF('Données projet'!$A$218&gt;35,FE81+FD82-FM81,IF(A82&lt;'Données projet'!$A$218,$FB$205^A82,IF(A82='Données projet'!$A$218,'Données projet'!$B$218,FE81+FD82-FM81)))</f>
        <v>281.96500000000015</v>
      </c>
      <c r="FF82" s="18">
        <f>FE82*VLOOKUP('Données projet'!$B$16,Paramètres!$A$1:$I$89,3,0)*VLOOKUP('Données projet'!$B$16,Paramètres!$A$1:$I$89,5,0)</f>
        <v>285.91251000000017</v>
      </c>
      <c r="FG82" s="14">
        <f t="shared" si="101"/>
        <v>68.214968580220258</v>
      </c>
      <c r="FH82" s="22">
        <f t="shared" si="76"/>
        <v>616.77202519388391</v>
      </c>
      <c r="FI82" s="62">
        <f t="shared" si="77"/>
        <v>910.10535852721728</v>
      </c>
      <c r="FJ82" s="62">
        <f ca="1">AVERAGE(OFFSET($FI$3,0,0,'Données projet'!$E$16+1,1))-AVERAGE(OFFSET($H$3,0,0,'Données projet'!$E$16+1,1))</f>
        <v>646.50767193970182</v>
      </c>
      <c r="FK82" s="62">
        <f t="shared" si="102"/>
        <v>297.06786598620607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20.647052607344154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20.647052607344154</v>
      </c>
      <c r="FU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8.6770000000000014</v>
      </c>
      <c r="FZ82" s="13">
        <f>IF('Données projet'!$A$244&gt;35,FZ81+FY82-GH81,IF(A82&lt;'Données projet'!$A$244,$FW$205^A82,IF(A82='Données projet'!$A$244,'Données projet'!$B$244,FZ81+FY82-GH81)))</f>
        <v>281.96500000000015</v>
      </c>
      <c r="GA82" s="18">
        <f>FZ82*VLOOKUP('Données projet'!$B$17,Paramètres!$A$1:$I$89,3,0)*VLOOKUP('Données projet'!$B$17,Paramètres!$A$1:$I$89,5,0)</f>
        <v>189.14212200000009</v>
      </c>
      <c r="GB82" s="14">
        <f t="shared" si="103"/>
        <v>47.350238281444589</v>
      </c>
      <c r="GC82" s="22">
        <f t="shared" si="79"/>
        <v>411.89086082351611</v>
      </c>
      <c r="GD82" s="62">
        <f t="shared" si="80"/>
        <v>705.22419415684942</v>
      </c>
      <c r="GE82" s="62">
        <f ca="1">AVERAGE(OFFSET($GD$3,0,0,'Données projet'!$E$17+1,1))-AVERAGE(OFFSET($H$3,0,0,'Données projet'!$E$17+1,1))</f>
        <v>442.85175349826028</v>
      </c>
      <c r="GF82" s="62">
        <f t="shared" si="104"/>
        <v>210.70697808232501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16.835289049065224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16.835289049065224</v>
      </c>
      <c r="GP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6.4</v>
      </c>
      <c r="GU82" s="13">
        <f>IF('Données projet'!$A$270&gt;35,GU81+GT82-HC81,IF(A82&lt;'Données projet'!$A$270,$GR$205^A82,IF(A82='Données projet'!$A$270,'Données projet'!$B$270,GU81+GT82-HC81)))</f>
        <v>268.60000000000002</v>
      </c>
      <c r="GV82" s="18">
        <f>GU82*VLOOKUP('Données projet'!$B$18,Paramètres!$A$1:$I$89,3,0)*VLOOKUP('Données projet'!$B$18,Paramètres!$A$1:$I$89,5,0)</f>
        <v>255.59976</v>
      </c>
      <c r="GW82" s="14">
        <f t="shared" si="105"/>
        <v>61.78349487247052</v>
      </c>
      <c r="GX82" s="22">
        <f t="shared" si="82"/>
        <v>552.77583556955278</v>
      </c>
      <c r="GY82" s="62">
        <f t="shared" si="83"/>
        <v>846.10916890288604</v>
      </c>
      <c r="GZ82" s="62">
        <f ca="1">AVERAGE(OFFSET($GY$3,0,0,'Données projet'!$E$18+1,1))-AVERAGE(OFFSET($H$3,0,0,'Données projet'!$E$18+1,1))</f>
        <v>420.2510366318939</v>
      </c>
      <c r="HA82" s="62">
        <f t="shared" si="106"/>
        <v>220.59884411514116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28.342095706868953</v>
      </c>
      <c r="HH82" s="23">
        <f>EXP(-LN(2)/25)*HH81+(1-EXP(-LN(2)/25))/(LN(2)/25)*Calculateur!HC82*Calculateur!HE82*VLOOKUP('Données projet'!$B$18,Paramètres!$A$1:$I$89,3,0)*0.475*44/12</f>
        <v>0</v>
      </c>
      <c r="HI82" s="23">
        <f>EXP(-LN(2)/2)*HI81+(1-EXP(-LN(2)/2))/(LN(2)/2)*HC82*HF82*VLOOKUP('Données projet'!$B$18,Paramètres!$A$1:$I$89,3,0)*0.475*44/12</f>
        <v>0</v>
      </c>
      <c r="HJ82" s="24">
        <f t="shared" si="84"/>
        <v>28.342095706868953</v>
      </c>
    </row>
    <row r="83" spans="1:218" s="5" customFormat="1" x14ac:dyDescent="0.2">
      <c r="A83" s="11">
        <f t="shared" si="85"/>
        <v>80</v>
      </c>
      <c r="B83" s="74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11.25925925925926</v>
      </c>
      <c r="N83" s="14">
        <f>IF('Données projet'!$A$36&gt;35,N82+M83-V82,IF(A83&lt;'Données projet'!$A$36,$K$205^A83,IF(A83='Données projet'!$A$36,'Données projet'!$B$36,N82+M83-V82)))</f>
        <v>592.40740740740716</v>
      </c>
      <c r="O83" s="14">
        <f>N83*VLOOKUP('Données projet'!$B$9,Paramètres!$A$1:$I$89,3,0)*VLOOKUP('Données projet'!$B$9,Paramètres!$A$1:$I$89,5,0)</f>
        <v>508.28555555555539</v>
      </c>
      <c r="P83" s="14">
        <f t="shared" si="87"/>
        <v>113.41457998480946</v>
      </c>
      <c r="Q83" s="22">
        <f t="shared" si="54"/>
        <v>1082.7944027328019</v>
      </c>
      <c r="R83" s="62">
        <f t="shared" si="55"/>
        <v>1376.1277360661352</v>
      </c>
      <c r="S83" s="62">
        <f ca="1">AVERAGE(OFFSET($R$3,0,0,'Données projet'!$E$9+1,1))-AVERAGE(OFFSET($H$3,0,0,'Données projet'!$E$9+1,1))</f>
        <v>623.31285537237943</v>
      </c>
      <c r="T83" s="62">
        <f t="shared" si="88"/>
        <v>462.33909258902241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72.459326494227241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72.459326494227241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330</v>
      </c>
      <c r="AG83" s="13">
        <f>VLOOKUP(A83,'Données projet'!$A$61:$I$81,9,0)</f>
        <v>3.6</v>
      </c>
      <c r="AH83" s="13">
        <f t="array" ref="AH83">INDEX(AG:AG,MIN(IF(ISNUMBER(AG83:AG279),ROW(AG83:AG279),"")))</f>
        <v>3.6</v>
      </c>
      <c r="AI83" s="14">
        <f>IF('Données projet'!$A$62&gt;35,AI82+AH83-AQ82,IF(A83&lt;'Données projet'!$A$62,$AF$205^A83,IF(A83='Données projet'!$A$62,'Données projet'!$B$62,AI82+AH83-AQ82)))</f>
        <v>330.00000000000006</v>
      </c>
      <c r="AJ83" s="14">
        <f>AI83*VLOOKUP('Données projet'!$B$10,Paramètres!$A$1:$I$89,3,0)*VLOOKUP('Données projet'!$B$10,Paramètres!$A$1:$I$89,5,0)</f>
        <v>288.28800000000007</v>
      </c>
      <c r="AK83" s="14">
        <f t="shared" si="89"/>
        <v>68.715516926722444</v>
      </c>
      <c r="AL83" s="22">
        <f t="shared" si="58"/>
        <v>621.78112531404167</v>
      </c>
      <c r="AM83" s="62">
        <f t="shared" si="59"/>
        <v>915.11445864737493</v>
      </c>
      <c r="AN83" s="62">
        <f ca="1">AVERAGE(OFFSET($AM$3,0,0,'Données projet'!$E$10+1,1))-AVERAGE(OFFSET($H$3,0,0,'Données projet'!$E$10+1,1))</f>
        <v>390.70479111593545</v>
      </c>
      <c r="AO83" s="62">
        <f t="shared" si="90"/>
        <v>374.99493809709708</v>
      </c>
      <c r="AP83" s="16">
        <f>IF(ISNA(VLOOKUP(A83,'Données projet'!$A$61:$I$81,3,0)),0,VLOOKUP(A83,'Données projet'!$A$61:$I$81,3,0))</f>
        <v>15</v>
      </c>
      <c r="AQ83" s="16">
        <f>IF(ISNA(VLOOKUP(A83,'Données projet'!$A$61:$I$81,4,0)),0,VLOOKUP(A83,'Données projet'!$A$61:$I$81,4,0))</f>
        <v>330</v>
      </c>
      <c r="AR83" s="17">
        <f>IF(ISNA(VLOOKUP(A83,'Données projet'!$A$61:$I$81,5,0)),0%,VLOOKUP(A83,'Données projet'!$A$61:$I$81,5,0)*VLOOKUP('Données projet'!$B$10,Paramètres!$A$1:$I$89,7,0))</f>
        <v>0.42400000000000004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164.68614864366472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164.68614864366472</v>
      </c>
      <c r="AY83" s="7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330</v>
      </c>
      <c r="BB83" s="13">
        <f>VLOOKUP(A83,'Données projet'!$A$87:$I$107,9,0)</f>
        <v>3.6</v>
      </c>
      <c r="BC83" s="13">
        <f t="array" ref="BC83">INDEX(BB:BB,MIN(IF(ISNUMBER(BB83:BB279),ROW(BB83:BB279),"")))</f>
        <v>3.6</v>
      </c>
      <c r="BD83" s="13">
        <f>IF('Données projet'!$A$88&gt;35,BD82+BC83-BL82,IF(A83&lt;'Données projet'!$A$88,$BA$205^A83,IF(A83='Données projet'!$A$88,'Données projet'!$B$88,BD82+BC83-BL82)))</f>
        <v>330.00000000000006</v>
      </c>
      <c r="BE83" s="14">
        <f>BD83*VLOOKUP('Données projet'!$B$11,Paramètres!$A$1:$I$89,3,0)*VLOOKUP('Données projet'!$B$11,Paramètres!$A$1:$I$89,5,0)</f>
        <v>262.54800000000006</v>
      </c>
      <c r="BF83" s="14">
        <f t="shared" si="91"/>
        <v>63.265199933079444</v>
      </c>
      <c r="BG83" s="22">
        <f t="shared" si="61"/>
        <v>567.45798988344677</v>
      </c>
      <c r="BH83" s="62">
        <f t="shared" si="62"/>
        <v>860.79132321678003</v>
      </c>
      <c r="BI83" s="62">
        <f ca="1">AVERAGE(OFFSET($BH$3,0,0,'Données projet'!$E$11+1,1))-AVERAGE(OFFSET($H$3,0,0,'Données projet'!$E$11+1,1))</f>
        <v>359.18294335011535</v>
      </c>
      <c r="BJ83" s="62">
        <f t="shared" si="92"/>
        <v>345.47508134331241</v>
      </c>
      <c r="BK83" s="16">
        <f>IF(ISNA(VLOOKUP(A83,'Données projet'!$A$87:$I$107,3,0)),0,VLOOKUP(A83,'Données projet'!$A$87:$I$107,3,0))</f>
        <v>15</v>
      </c>
      <c r="BL83" s="23">
        <f>IF(ISNA(VLOOKUP(A83,'Données projet'!$A$87:$I$107,4,0)),0,VLOOKUP(A83,'Données projet'!$A$87:$I$107,4,0))</f>
        <v>330</v>
      </c>
      <c r="BM83" s="17">
        <f>IF(ISNA(VLOOKUP(A83,'Données projet'!$A$87:$I$107,5,0)),0%,VLOOKUP(A83,'Données projet'!$A$87:$I$107,5,0)*VLOOKUP('Données projet'!$B$11,Paramètres!$A$1:$I$89,7,0))</f>
        <v>0.42400000000000004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149.98202822905179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149.98202822905179</v>
      </c>
      <c r="BT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330</v>
      </c>
      <c r="BW83" s="13">
        <f>VLOOKUP(A83,'Données projet'!$A$113:$I$133,9,0)</f>
        <v>3.6</v>
      </c>
      <c r="BX83" s="13">
        <f t="array" ref="BX83">INDEX(BW:BW,MIN(IF(ISNUMBER(BW83:BW279),ROW(BW83:BW279),"")))</f>
        <v>3.6</v>
      </c>
      <c r="BY83" s="13">
        <f>IF('Données projet'!$A$114&gt;35,BY82+BX83-CG82,IF(A83&lt;'Données projet'!$A$114,$BV$205^A83,IF(A83='Données projet'!$A$114,'Données projet'!$B$114,BY82+BX83-CG82)))</f>
        <v>330.00000000000006</v>
      </c>
      <c r="BZ83" s="14">
        <f>BY83*VLOOKUP('Données projet'!$B$12,Paramètres!$A$1:$I$89,3,0)*VLOOKUP('Données projet'!$B$12,Paramètres!$A$1:$I$89,5,0)</f>
        <v>241.95600000000005</v>
      </c>
      <c r="CA83" s="14">
        <f t="shared" si="93"/>
        <v>58.860174395053669</v>
      </c>
      <c r="CB83" s="22">
        <f t="shared" si="64"/>
        <v>523.92150373805191</v>
      </c>
      <c r="CC83" s="62">
        <f t="shared" si="65"/>
        <v>817.25483707138528</v>
      </c>
      <c r="CD83" s="62">
        <f ca="1">AVERAGE(OFFSET($CC$3,0,0,'Données projet'!$E$12+1,1))-AVERAGE(OFFSET($H$3,0,0,'Données projet'!$E$12+1,1))</f>
        <v>333.9187211440219</v>
      </c>
      <c r="CE83" s="62">
        <f t="shared" si="94"/>
        <v>321.81422611044997</v>
      </c>
      <c r="CF83" s="16">
        <f>IF(ISNA(VLOOKUP(A83,'Données projet'!$A$113:$I$133,3,0)),0,VLOOKUP(A83,'Données projet'!$A$113:$I$133,3,0))</f>
        <v>15</v>
      </c>
      <c r="CG83" s="16">
        <f>IF(ISNA(VLOOKUP(A83,'Données projet'!$A$113:$I$133,4,0)),0,VLOOKUP(A83,'Données projet'!$A$113:$I$133,4,0))</f>
        <v>330</v>
      </c>
      <c r="CH83" s="17">
        <f>IF(ISNA(VLOOKUP(A83,'Données projet'!$A$113:$I$133,5,0)),0%,VLOOKUP(A83,'Données projet'!$A$113:$I$133,5,0)*VLOOKUP('Données projet'!$B$12,Paramètres!$A$1:$I$89,7,0))</f>
        <v>0.34400000000000003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112.13972587899136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112.13972587899136</v>
      </c>
      <c r="CO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330</v>
      </c>
      <c r="CR83" s="13">
        <f>VLOOKUP(A83,'Données projet'!$A$139:$I$159,9,0)</f>
        <v>3.6</v>
      </c>
      <c r="CS83" s="13">
        <f t="array" ref="CS83">INDEX(CR:CR,MIN(IF(ISNUMBER(CR83:CR279),ROW(CR83:CR279),"")))</f>
        <v>3.6</v>
      </c>
      <c r="CT83" s="13">
        <f>IF('Données projet'!$A$140&gt;35,CT82+CS83-DB82,IF(A83&lt;'Données projet'!$A$140,$CQ$205^A83,IF(A83='Données projet'!$A$140,'Données projet'!$B$140,CT82+CS83-DB82)))</f>
        <v>330.00000000000006</v>
      </c>
      <c r="CU83" s="18">
        <f>CT83*VLOOKUP('Données projet'!$B$13,Paramètres!$A$1:$I$89,3,0)*VLOOKUP('Données projet'!$B$13,Paramètres!$A$1:$I$89,5,0)</f>
        <v>267.69600000000003</v>
      </c>
      <c r="CV83" s="14">
        <f t="shared" si="95"/>
        <v>64.360058723585496</v>
      </c>
      <c r="CW83" s="22">
        <f t="shared" si="67"/>
        <v>578.33096894357811</v>
      </c>
      <c r="CX83" s="62">
        <f t="shared" si="68"/>
        <v>871.66430227691149</v>
      </c>
      <c r="CY83" s="62">
        <f ca="1">AVERAGE(OFFSET($CX$3,0,0,'Données projet'!$E$13+1,1))-AVERAGE(OFFSET($H$3,0,0,'Données projet'!$E$13+1,1))</f>
        <v>365.492319515595</v>
      </c>
      <c r="CZ83" s="62">
        <f t="shared" si="96"/>
        <v>351.38386928091433</v>
      </c>
      <c r="DA83" s="16">
        <f>IF(ISNA(VLOOKUP(A83,'Données projet'!$A$139:$I$159,3,0)),0,VLOOKUP(A83,'Données projet'!$A$139:$I$159,3,0))</f>
        <v>15</v>
      </c>
      <c r="DB83" s="16">
        <f>IF(ISNA(VLOOKUP(A83,'Données projet'!$A$139:$I$159,4,0)),0,VLOOKUP(A83,'Données projet'!$A$139:$I$159,4,0))</f>
        <v>330</v>
      </c>
      <c r="DC83" s="17">
        <f>IF(ISNA(VLOOKUP(A83,'Données projet'!$A$139:$I$159,5,0)),0%,VLOOKUP(A83,'Données projet'!$A$139:$I$159,5,0)*VLOOKUP('Données projet'!$B$13,Paramètres!$A$1:$I$89,7,0))</f>
        <v>0.34400000000000003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124.06948395122447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124.06948395122447</v>
      </c>
      <c r="DJ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8.6770000000000014</v>
      </c>
      <c r="DO83" s="13">
        <f>IF('Données projet'!$A$166&gt;35,DO82+DN83-DW82,IF(A83&lt;'Données projet'!$A$166,$DL$205^A83,IF(A83='Données projet'!$A$166,'Données projet'!$B$166,DO82+DN83-DW82)))</f>
        <v>290.64200000000017</v>
      </c>
      <c r="DP83" s="18">
        <f>DO83*VLOOKUP('Données projet'!$B$14,Paramètres!$A$1:$I$89,3,0)*VLOOKUP('Données projet'!$B$14,Paramètres!$A$1:$I$89,5,0)</f>
        <v>244.83682080000017</v>
      </c>
      <c r="DQ83" s="14">
        <f t="shared" si="97"/>
        <v>59.478984470529817</v>
      </c>
      <c r="DR83" s="22">
        <f t="shared" si="70"/>
        <v>530.01669417950643</v>
      </c>
      <c r="DS83" s="62">
        <f t="shared" si="71"/>
        <v>823.35002751283969</v>
      </c>
      <c r="DT83" s="62">
        <f ca="1">AVERAGE(OFFSET($DS$3,0,0,'Données projet'!$E$14+1,1))-AVERAGE(OFFSET($H$3,0,0,'Données projet'!$E$14+1,1))</f>
        <v>544.89250424794909</v>
      </c>
      <c r="DU83" s="62">
        <f t="shared" si="98"/>
        <v>253.98688498110715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16.81657739931272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16.81657739931272</v>
      </c>
      <c r="EE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8.6770000000000014</v>
      </c>
      <c r="EJ83" s="13">
        <f>IF('Données projet'!$A$192&gt;35,EJ82+EI83-ER82,IF(A83&lt;'Données projet'!$A$192,$EG$205^A83,IF(A83='Données projet'!$A$192,'Données projet'!$B$192,EJ82+EI83-ER82)))</f>
        <v>290.64200000000017</v>
      </c>
      <c r="EK83" s="18">
        <f>EJ83*VLOOKUP('Données projet'!$B$15,Paramètres!$A$1:$I$89,3,0)*VLOOKUP('Données projet'!$B$15,Paramètres!$A$1:$I$89,5,0)</f>
        <v>262.97288160000016</v>
      </c>
      <c r="EL83" s="14">
        <f t="shared" si="99"/>
        <v>63.355656254051972</v>
      </c>
      <c r="EM83" s="22">
        <f t="shared" si="73"/>
        <v>568.35553676247412</v>
      </c>
      <c r="EN83" s="62">
        <f t="shared" si="74"/>
        <v>861.68887009580749</v>
      </c>
      <c r="EO83" s="62">
        <f ca="1">AVERAGE(OFFSET($EN$3,0,0,'Données projet'!$E$15+1,1))-AVERAGE(OFFSET($H$3,0,0,'Données projet'!$E$15+1,1))</f>
        <v>581.88778927327667</v>
      </c>
      <c r="EP83" s="62">
        <f t="shared" si="100"/>
        <v>269.67340993773422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18.062249799261814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18.062249799261814</v>
      </c>
      <c r="EZ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8.6770000000000014</v>
      </c>
      <c r="FE83" s="13">
        <f>IF('Données projet'!$A$218&gt;35,FE82+FD83-FM82,IF(A83&lt;'Données projet'!$A$218,$FB$205^A83,IF(A83='Données projet'!$A$218,'Données projet'!$B$218,FE82+FD83-FM82)))</f>
        <v>290.64200000000017</v>
      </c>
      <c r="FF83" s="18">
        <f>FE83*VLOOKUP('Données projet'!$B$16,Paramètres!$A$1:$I$89,3,0)*VLOOKUP('Données projet'!$B$16,Paramètres!$A$1:$I$89,5,0)</f>
        <v>294.71098800000021</v>
      </c>
      <c r="FG83" s="14">
        <f t="shared" si="101"/>
        <v>70.066538188752801</v>
      </c>
      <c r="FH83" s="22">
        <f t="shared" si="76"/>
        <v>635.3208581120781</v>
      </c>
      <c r="FI83" s="62">
        <f t="shared" si="77"/>
        <v>928.65419144541147</v>
      </c>
      <c r="FJ83" s="62">
        <f ca="1">AVERAGE(OFFSET($FI$3,0,0,'Données projet'!$E$16+1,1))-AVERAGE(OFFSET($H$3,0,0,'Données projet'!$E$16+1,1))</f>
        <v>646.50767193970182</v>
      </c>
      <c r="FK83" s="62">
        <f t="shared" si="102"/>
        <v>297.06786598620607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20.242176499172725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20.242176499172725</v>
      </c>
      <c r="FU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8.6770000000000014</v>
      </c>
      <c r="FZ83" s="13">
        <f>IF('Données projet'!$A$244&gt;35,FZ82+FY83-GH82,IF(A83&lt;'Données projet'!$A$244,$FW$205^A83,IF(A83='Données projet'!$A$244,'Données projet'!$B$244,FZ82+FY83-GH82)))</f>
        <v>290.64200000000017</v>
      </c>
      <c r="GA83" s="18">
        <f>FZ83*VLOOKUP('Données projet'!$B$17,Paramètres!$A$1:$I$89,3,0)*VLOOKUP('Données projet'!$B$17,Paramètres!$A$1:$I$89,5,0)</f>
        <v>194.96265360000012</v>
      </c>
      <c r="GB83" s="14">
        <f t="shared" si="103"/>
        <v>48.635473237693247</v>
      </c>
      <c r="GC83" s="22">
        <f t="shared" si="79"/>
        <v>424.2667375756493</v>
      </c>
      <c r="GD83" s="62">
        <f t="shared" si="80"/>
        <v>717.60007090898262</v>
      </c>
      <c r="GE83" s="62">
        <f ca="1">AVERAGE(OFFSET($GD$3,0,0,'Données projet'!$E$17+1,1))-AVERAGE(OFFSET($H$3,0,0,'Données projet'!$E$17+1,1))</f>
        <v>442.85175349826028</v>
      </c>
      <c r="GF83" s="62">
        <f t="shared" si="104"/>
        <v>210.70697808232501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16.505159299325445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16.505159299325445</v>
      </c>
      <c r="GP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>
        <f>VLOOKUP(A83,'Données projet'!$A$269:$I$289,2,0)</f>
        <v>275</v>
      </c>
      <c r="GS83" s="13">
        <f>VLOOKUP(A83,'Données projet'!$A$269:$I$289,9,0)</f>
        <v>6.4</v>
      </c>
      <c r="GT83" s="13">
        <f t="array" ref="GT83">INDEX(GS:GS,MIN(IF(ISNUMBER(GS83:GS279),ROW(GS83:GS279),"")))</f>
        <v>6.4</v>
      </c>
      <c r="GU83" s="13">
        <f>IF('Données projet'!$A$270&gt;35,GU82+GT83-HC82,IF(A83&lt;'Données projet'!$A$270,$GR$205^A83,IF(A83='Données projet'!$A$270,'Données projet'!$B$270,GU82+GT83-HC82)))</f>
        <v>275</v>
      </c>
      <c r="GV83" s="18">
        <f>GU83*VLOOKUP('Données projet'!$B$18,Paramètres!$A$1:$I$89,3,0)*VLOOKUP('Données projet'!$B$18,Paramètres!$A$1:$I$89,5,0)</f>
        <v>261.69</v>
      </c>
      <c r="GW83" s="14">
        <f t="shared" si="105"/>
        <v>63.082481711546343</v>
      </c>
      <c r="GX83" s="22">
        <f t="shared" si="82"/>
        <v>565.64540564760989</v>
      </c>
      <c r="GY83" s="62">
        <f t="shared" si="83"/>
        <v>858.97873898094326</v>
      </c>
      <c r="GZ83" s="62">
        <f ca="1">AVERAGE(OFFSET($GY$3,0,0,'Données projet'!$E$18+1,1))-AVERAGE(OFFSET($H$3,0,0,'Données projet'!$E$18+1,1))</f>
        <v>420.2510366318939</v>
      </c>
      <c r="HA83" s="62">
        <f t="shared" si="106"/>
        <v>220.59884411514116</v>
      </c>
      <c r="HB83" s="16">
        <f>IF(ISNA(VLOOKUP(A83,'Données projet'!$A$269:$I$289,3,0)),0,VLOOKUP(A83,'Données projet'!$A$269:$I$289,3,0))</f>
        <v>12</v>
      </c>
      <c r="HC83" s="16">
        <f>IF(ISNA(VLOOKUP(A83,'Données projet'!$A$269:$I$289,4,0)),0,VLOOKUP(A83,'Données projet'!$A$269:$I$289,4,0))</f>
        <v>26</v>
      </c>
      <c r="HD83" s="17">
        <f>IF(ISNA(VLOOKUP(A83,'Données projet'!$A$269:$I$289,5,0)),0%,VLOOKUP(A83,'Données projet'!$A$269:$I$289,5,0)*VLOOKUP('Données projet'!$B$18,Paramètres!$A$1:$I$89,7,0))</f>
        <v>0.25800000000000001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34.842909830129813</v>
      </c>
      <c r="HH83" s="23">
        <f>EXP(-LN(2)/25)*HH82+(1-EXP(-LN(2)/25))/(LN(2)/25)*Calculateur!HC83*Calculateur!HE83*VLOOKUP('Données projet'!$B$18,Paramètres!$A$1:$I$89,3,0)*0.475*44/12</f>
        <v>0</v>
      </c>
      <c r="HI83" s="23">
        <f>EXP(-LN(2)/2)*HI82+(1-EXP(-LN(2)/2))/(LN(2)/2)*HC83*HF83*VLOOKUP('Données projet'!$B$18,Paramètres!$A$1:$I$89,3,0)*0.475*44/12</f>
        <v>0</v>
      </c>
      <c r="HJ83" s="24">
        <f t="shared" si="84"/>
        <v>34.842909830129813</v>
      </c>
    </row>
    <row r="84" spans="1:218" s="5" customFormat="1" x14ac:dyDescent="0.2">
      <c r="A84" s="11">
        <f t="shared" si="85"/>
        <v>81</v>
      </c>
      <c r="B84" s="74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11.25925925925926</v>
      </c>
      <c r="N84" s="14">
        <f>IF('Données projet'!$A$36&gt;35,N83+M84-V83,IF(A84&lt;'Données projet'!$A$36,$K$205^A84,IF(A84='Données projet'!$A$36,'Données projet'!$B$36,N83+M84-V83)))</f>
        <v>603.6666666666664</v>
      </c>
      <c r="O84" s="14">
        <f>N84*VLOOKUP('Données projet'!$B$9,Paramètres!$A$1:$I$89,3,0)*VLOOKUP('Données projet'!$B$9,Paramètres!$A$1:$I$89,5,0)</f>
        <v>517.9459999999998</v>
      </c>
      <c r="P84" s="14">
        <f t="shared" si="87"/>
        <v>115.31713245940138</v>
      </c>
      <c r="Q84" s="22">
        <f t="shared" si="54"/>
        <v>1102.933289033457</v>
      </c>
      <c r="R84" s="62">
        <f t="shared" si="55"/>
        <v>1396.2666223667902</v>
      </c>
      <c r="S84" s="62">
        <f ca="1">AVERAGE(OFFSET($R$3,0,0,'Données projet'!$E$9+1,1))-AVERAGE(OFFSET($H$3,0,0,'Données projet'!$E$9+1,1))</f>
        <v>623.31285537237943</v>
      </c>
      <c r="T84" s="62">
        <f t="shared" si="88"/>
        <v>462.33909258902241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71.038443297500635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71.038443297500635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projet'!$B$10,Paramètres!$A$1:$I$89,3,0)*VLOOKUP('Données projet'!$B$10,Paramètres!$A$1:$I$89,5,0)</f>
        <v>4.9658410716801891E-14</v>
      </c>
      <c r="AK84" s="14">
        <f t="shared" si="89"/>
        <v>8.0934058173791862E-13</v>
      </c>
      <c r="AL84" s="22">
        <f t="shared" si="58"/>
        <v>1.4960899118586383E-12</v>
      </c>
      <c r="AM84" s="62">
        <f t="shared" si="59"/>
        <v>293.33333333333479</v>
      </c>
      <c r="AN84" s="62">
        <f ca="1">AVERAGE(OFFSET($AM$3,0,0,'Données projet'!$E$10+1,1))-AVERAGE(OFFSET($H$3,0,0,'Données projet'!$E$10+1,1))</f>
        <v>390.70479111593545</v>
      </c>
      <c r="AO84" s="62">
        <f t="shared" si="90"/>
        <v>374.99493809709708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161.45675371739466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161.45675371739466</v>
      </c>
      <c r="AY84" s="7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5.6843418860808015E-14</v>
      </c>
      <c r="BE84" s="14">
        <f>BD84*VLOOKUP('Données projet'!$B$11,Paramètres!$A$1:$I$89,3,0)*VLOOKUP('Données projet'!$B$11,Paramètres!$A$1:$I$89,5,0)</f>
        <v>4.5224624045658861E-14</v>
      </c>
      <c r="BF84" s="14">
        <f t="shared" si="91"/>
        <v>7.4514601661523691E-13</v>
      </c>
      <c r="BG84" s="22">
        <f t="shared" si="61"/>
        <v>1.3765621991510601E-12</v>
      </c>
      <c r="BH84" s="62">
        <f t="shared" si="62"/>
        <v>293.33333333333468</v>
      </c>
      <c r="BI84" s="62">
        <f ca="1">AVERAGE(OFFSET($BH$3,0,0,'Données projet'!$E$11+1,1))-AVERAGE(OFFSET($H$3,0,0,'Données projet'!$E$11+1,1))</f>
        <v>359.18294335011535</v>
      </c>
      <c r="BJ84" s="62">
        <f t="shared" si="92"/>
        <v>345.47508134331241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147.0409721354844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147.0409721354844</v>
      </c>
      <c r="BT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5.6843418860808015E-14</v>
      </c>
      <c r="BZ84" s="14">
        <f>BY84*VLOOKUP('Données projet'!$B$12,Paramètres!$A$1:$I$89,3,0)*VLOOKUP('Données projet'!$B$12,Paramètres!$A$1:$I$89,5,0)</f>
        <v>4.1677594708744434E-14</v>
      </c>
      <c r="CA84" s="14">
        <f t="shared" si="93"/>
        <v>6.9326303456159188E-13</v>
      </c>
      <c r="CB84" s="22">
        <f t="shared" si="64"/>
        <v>1.2800215959791691E-12</v>
      </c>
      <c r="CC84" s="62">
        <f t="shared" si="65"/>
        <v>293.33333333333462</v>
      </c>
      <c r="CD84" s="62">
        <f ca="1">AVERAGE(OFFSET($CC$3,0,0,'Données projet'!$E$12+1,1))-AVERAGE(OFFSET($H$3,0,0,'Données projet'!$E$12+1,1))</f>
        <v>333.9187211440219</v>
      </c>
      <c r="CE84" s="62">
        <f t="shared" si="94"/>
        <v>321.81422611044997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109.94073425298333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109.94073425298333</v>
      </c>
      <c r="CO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5.6843418860808015E-14</v>
      </c>
      <c r="CU84" s="18">
        <f>CT84*VLOOKUP('Données projet'!$B$13,Paramètres!$A$1:$I$89,3,0)*VLOOKUP('Données projet'!$B$13,Paramètres!$A$1:$I$89,5,0)</f>
        <v>4.6111381379887463E-14</v>
      </c>
      <c r="CV84" s="14">
        <f t="shared" si="95"/>
        <v>7.5804141040779151E-13</v>
      </c>
      <c r="CW84" s="22">
        <f t="shared" si="67"/>
        <v>1.4005661123635408E-12</v>
      </c>
      <c r="CX84" s="62">
        <f t="shared" si="68"/>
        <v>293.33333333333474</v>
      </c>
      <c r="CY84" s="62">
        <f ca="1">AVERAGE(OFFSET($CX$3,0,0,'Données projet'!$E$13+1,1))-AVERAGE(OFFSET($H$3,0,0,'Données projet'!$E$13+1,1))</f>
        <v>365.492319515595</v>
      </c>
      <c r="CZ84" s="62">
        <f t="shared" si="96"/>
        <v>351.38386928091433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121.63655704585389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121.63655704585389</v>
      </c>
      <c r="DJ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8.6770000000000014</v>
      </c>
      <c r="DO84" s="13">
        <f>IF('Données projet'!$A$166&gt;35,DO83+DN84-DW83,IF(A84&lt;'Données projet'!$A$166,$DL$205^A84,IF(A84='Données projet'!$A$166,'Données projet'!$B$166,DO83+DN84-DW83)))</f>
        <v>299.31900000000019</v>
      </c>
      <c r="DP84" s="18">
        <f>DO84*VLOOKUP('Données projet'!$B$14,Paramètres!$A$1:$I$89,3,0)*VLOOKUP('Données projet'!$B$14,Paramètres!$A$1:$I$89,5,0)</f>
        <v>252.14632560000018</v>
      </c>
      <c r="DQ84" s="14">
        <f t="shared" si="97"/>
        <v>61.045315258856043</v>
      </c>
      <c r="DR84" s="22">
        <f t="shared" si="70"/>
        <v>545.47544116250788</v>
      </c>
      <c r="DS84" s="62">
        <f t="shared" si="71"/>
        <v>838.80877449584113</v>
      </c>
      <c r="DT84" s="62">
        <f ca="1">AVERAGE(OFFSET($DS$3,0,0,'Données projet'!$E$14+1,1))-AVERAGE(OFFSET($H$3,0,0,'Données projet'!$E$14+1,1))</f>
        <v>544.89250424794909</v>
      </c>
      <c r="DU84" s="62">
        <f t="shared" si="98"/>
        <v>253.98688498110715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16.486814573611607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16.486814573611607</v>
      </c>
      <c r="EE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8.6770000000000014</v>
      </c>
      <c r="EJ84" s="13">
        <f>IF('Données projet'!$A$192&gt;35,EJ83+EI84-ER83,IF(A84&lt;'Données projet'!$A$192,$EG$205^A84,IF(A84='Données projet'!$A$192,'Données projet'!$B$192,EJ83+EI84-ER83)))</f>
        <v>299.31900000000019</v>
      </c>
      <c r="EK84" s="18">
        <f>EJ84*VLOOKUP('Données projet'!$B$15,Paramètres!$A$1:$I$89,3,0)*VLOOKUP('Données projet'!$B$15,Paramètres!$A$1:$I$89,5,0)</f>
        <v>270.8238312000002</v>
      </c>
      <c r="EL84" s="14">
        <f t="shared" si="99"/>
        <v>65.024076047844915</v>
      </c>
      <c r="EM84" s="22">
        <f t="shared" si="73"/>
        <v>584.93510512333023</v>
      </c>
      <c r="EN84" s="62">
        <f t="shared" si="74"/>
        <v>878.26843845666349</v>
      </c>
      <c r="EO84" s="62">
        <f ca="1">AVERAGE(OFFSET($EN$3,0,0,'Données projet'!$E$15+1,1))-AVERAGE(OFFSET($H$3,0,0,'Données projet'!$E$15+1,1))</f>
        <v>581.88778927327667</v>
      </c>
      <c r="EP84" s="62">
        <f t="shared" si="100"/>
        <v>269.67340993773422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17.708060097582841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17.708060097582841</v>
      </c>
      <c r="EZ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8.6770000000000014</v>
      </c>
      <c r="FE84" s="13">
        <f>IF('Données projet'!$A$218&gt;35,FE83+FD84-FM83,IF(A84&lt;'Données projet'!$A$218,$FB$205^A84,IF(A84='Données projet'!$A$218,'Données projet'!$B$218,FE83+FD84-FM83)))</f>
        <v>299.31900000000019</v>
      </c>
      <c r="FF84" s="18">
        <f>FE84*VLOOKUP('Données projet'!$B$16,Paramètres!$A$1:$I$89,3,0)*VLOOKUP('Données projet'!$B$16,Paramètres!$A$1:$I$89,5,0)</f>
        <v>303.5094660000002</v>
      </c>
      <c r="FG84" s="14">
        <f t="shared" si="101"/>
        <v>71.911683612358004</v>
      </c>
      <c r="FH84" s="22">
        <f t="shared" si="76"/>
        <v>653.85850224152387</v>
      </c>
      <c r="FI84" s="62">
        <f t="shared" si="77"/>
        <v>947.19183557485712</v>
      </c>
      <c r="FJ84" s="62">
        <f ca="1">AVERAGE(OFFSET($FI$3,0,0,'Données projet'!$E$16+1,1))-AVERAGE(OFFSET($H$3,0,0,'Données projet'!$E$16+1,1))</f>
        <v>646.50767193970182</v>
      </c>
      <c r="FK84" s="62">
        <f t="shared" si="102"/>
        <v>297.06786598620607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19.845239764532497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19.845239764532497</v>
      </c>
      <c r="FU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8.6770000000000014</v>
      </c>
      <c r="FZ84" s="13">
        <f>IF('Données projet'!$A$244&gt;35,FZ83+FY84-GH83,IF(A84&lt;'Données projet'!$A$244,$FW$205^A84,IF(A84='Données projet'!$A$244,'Données projet'!$B$244,FZ83+FY84-GH83)))</f>
        <v>299.31900000000019</v>
      </c>
      <c r="GA84" s="18">
        <f>FZ84*VLOOKUP('Données projet'!$B$17,Paramètres!$A$1:$I$89,3,0)*VLOOKUP('Données projet'!$B$17,Paramètres!$A$1:$I$89,5,0)</f>
        <v>200.78318520000013</v>
      </c>
      <c r="GB84" s="14">
        <f t="shared" si="103"/>
        <v>49.916248957304894</v>
      </c>
      <c r="GC84" s="22">
        <f t="shared" si="79"/>
        <v>436.6348478239729</v>
      </c>
      <c r="GD84" s="62">
        <f t="shared" si="80"/>
        <v>729.96818115730616</v>
      </c>
      <c r="GE84" s="62">
        <f ca="1">AVERAGE(OFFSET($GD$3,0,0,'Données projet'!$E$17+1,1))-AVERAGE(OFFSET($H$3,0,0,'Données projet'!$E$17+1,1))</f>
        <v>442.85175349826028</v>
      </c>
      <c r="GF84" s="62">
        <f t="shared" si="104"/>
        <v>210.70697808232501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16.181503192618798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16.181503192618798</v>
      </c>
      <c r="GP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6</v>
      </c>
      <c r="GU84" s="13">
        <f>IF('Données projet'!$A$270&gt;35,GU83+GT84-HC83,IF(A84&lt;'Données projet'!$A$270,$GR$205^A84,IF(A84='Données projet'!$A$270,'Données projet'!$B$270,GU83+GT84-HC83)))</f>
        <v>255</v>
      </c>
      <c r="GV84" s="18">
        <f>GU84*VLOOKUP('Données projet'!$B$18,Paramètres!$A$1:$I$89,3,0)*VLOOKUP('Données projet'!$B$18,Paramètres!$A$1:$I$89,5,0)</f>
        <v>242.65799999999999</v>
      </c>
      <c r="GW84" s="14">
        <f t="shared" si="105"/>
        <v>59.011045025839607</v>
      </c>
      <c r="GX84" s="22">
        <f t="shared" si="82"/>
        <v>525.40692008667054</v>
      </c>
      <c r="GY84" s="62">
        <f t="shared" si="83"/>
        <v>818.74025342000391</v>
      </c>
      <c r="GZ84" s="62">
        <f ca="1">AVERAGE(OFFSET($GY$3,0,0,'Données projet'!$E$18+1,1))-AVERAGE(OFFSET($H$3,0,0,'Données projet'!$E$18+1,1))</f>
        <v>420.2510366318939</v>
      </c>
      <c r="HA84" s="62">
        <f t="shared" si="106"/>
        <v>220.59884411514116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34.159661620437497</v>
      </c>
      <c r="HH84" s="23">
        <f>EXP(-LN(2)/25)*HH83+(1-EXP(-LN(2)/25))/(LN(2)/25)*Calculateur!HC84*Calculateur!HE84*VLOOKUP('Données projet'!$B$18,Paramètres!$A$1:$I$89,3,0)*0.475*44/12</f>
        <v>0</v>
      </c>
      <c r="HI84" s="23">
        <f>EXP(-LN(2)/2)*HI83+(1-EXP(-LN(2)/2))/(LN(2)/2)*HC84*HF84*VLOOKUP('Données projet'!$B$18,Paramètres!$A$1:$I$89,3,0)*0.475*44/12</f>
        <v>0</v>
      </c>
      <c r="HJ84" s="24">
        <f t="shared" si="84"/>
        <v>34.159661620437497</v>
      </c>
    </row>
    <row r="85" spans="1:218" s="5" customFormat="1" x14ac:dyDescent="0.2">
      <c r="A85" s="11">
        <f t="shared" si="85"/>
        <v>82</v>
      </c>
      <c r="B85" s="74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11.25925925925926</v>
      </c>
      <c r="N85" s="14">
        <f>IF('Données projet'!$A$36&gt;35,N84+M85-V84,IF(A85&lt;'Données projet'!$A$36,$K$205^A85,IF(A85='Données projet'!$A$36,'Données projet'!$B$36,N84+M85-V84)))</f>
        <v>614.92592592592564</v>
      </c>
      <c r="O85" s="14">
        <f>N85*VLOOKUP('Données projet'!$B$9,Paramètres!$A$1:$I$89,3,0)*VLOOKUP('Données projet'!$B$9,Paramètres!$A$1:$I$89,5,0)</f>
        <v>527.60644444444426</v>
      </c>
      <c r="P85" s="14">
        <f t="shared" si="87"/>
        <v>117.21555866515359</v>
      </c>
      <c r="Q85" s="22">
        <f t="shared" si="54"/>
        <v>1123.0649887492161</v>
      </c>
      <c r="R85" s="62">
        <f t="shared" si="55"/>
        <v>1416.3983220825494</v>
      </c>
      <c r="S85" s="62">
        <f ca="1">AVERAGE(OFFSET($R$3,0,0,'Données projet'!$E$9+1,1))-AVERAGE(OFFSET($H$3,0,0,'Données projet'!$E$9+1,1))</f>
        <v>623.31285537237943</v>
      </c>
      <c r="T85" s="62">
        <f t="shared" si="88"/>
        <v>462.33909258902241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69.645422753608656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69.645422753608656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projet'!$B$10,Paramètres!$A$1:$I$89,3,0)*VLOOKUP('Données projet'!$B$10,Paramètres!$A$1:$I$89,5,0)</f>
        <v>4.9658410716801891E-14</v>
      </c>
      <c r="AK85" s="14">
        <f t="shared" si="89"/>
        <v>8.0934058173791862E-13</v>
      </c>
      <c r="AL85" s="22">
        <f t="shared" si="58"/>
        <v>1.4960899118586383E-12</v>
      </c>
      <c r="AM85" s="62">
        <f t="shared" si="59"/>
        <v>293.33333333333479</v>
      </c>
      <c r="AN85" s="62">
        <f ca="1">AVERAGE(OFFSET($AM$3,0,0,'Données projet'!$E$10+1,1))-AVERAGE(OFFSET($H$3,0,0,'Données projet'!$E$10+1,1))</f>
        <v>390.70479111593545</v>
      </c>
      <c r="AO85" s="62">
        <f t="shared" si="90"/>
        <v>374.99493809709708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158.29068525589233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158.29068525589233</v>
      </c>
      <c r="AY85" s="7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5.6843418860808015E-14</v>
      </c>
      <c r="BE85" s="14">
        <f>BD85*VLOOKUP('Données projet'!$B$11,Paramètres!$A$1:$I$89,3,0)*VLOOKUP('Données projet'!$B$11,Paramètres!$A$1:$I$89,5,0)</f>
        <v>4.5224624045658861E-14</v>
      </c>
      <c r="BF85" s="14">
        <f t="shared" si="91"/>
        <v>7.4514601661523691E-13</v>
      </c>
      <c r="BG85" s="22">
        <f t="shared" si="61"/>
        <v>1.3765621991510601E-12</v>
      </c>
      <c r="BH85" s="62">
        <f t="shared" si="62"/>
        <v>293.33333333333468</v>
      </c>
      <c r="BI85" s="62">
        <f ca="1">AVERAGE(OFFSET($BH$3,0,0,'Données projet'!$E$11+1,1))-AVERAGE(OFFSET($H$3,0,0,'Données projet'!$E$11+1,1))</f>
        <v>359.18294335011535</v>
      </c>
      <c r="BJ85" s="62">
        <f t="shared" si="92"/>
        <v>345.47508134331241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144.15758835804479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144.15758835804479</v>
      </c>
      <c r="BT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5.6843418860808015E-14</v>
      </c>
      <c r="BZ85" s="14">
        <f>BY85*VLOOKUP('Données projet'!$B$12,Paramètres!$A$1:$I$89,3,0)*VLOOKUP('Données projet'!$B$12,Paramètres!$A$1:$I$89,5,0)</f>
        <v>4.1677594708744434E-14</v>
      </c>
      <c r="CA85" s="14">
        <f t="shared" si="93"/>
        <v>6.9326303456159188E-13</v>
      </c>
      <c r="CB85" s="22">
        <f t="shared" si="64"/>
        <v>1.2800215959791691E-12</v>
      </c>
      <c r="CC85" s="62">
        <f t="shared" si="65"/>
        <v>293.33333333333462</v>
      </c>
      <c r="CD85" s="62">
        <f ca="1">AVERAGE(OFFSET($CC$3,0,0,'Données projet'!$E$12+1,1))-AVERAGE(OFFSET($H$3,0,0,'Données projet'!$E$12+1,1))</f>
        <v>333.9187211440219</v>
      </c>
      <c r="CE85" s="62">
        <f t="shared" si="94"/>
        <v>321.81422611044997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107.78486351150887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107.78486351150887</v>
      </c>
      <c r="CO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5.6843418860808015E-14</v>
      </c>
      <c r="CU85" s="18">
        <f>CT85*VLOOKUP('Données projet'!$B$13,Paramètres!$A$1:$I$89,3,0)*VLOOKUP('Données projet'!$B$13,Paramètres!$A$1:$I$89,5,0)</f>
        <v>4.6111381379887463E-14</v>
      </c>
      <c r="CV85" s="14">
        <f t="shared" si="95"/>
        <v>7.5804141040779151E-13</v>
      </c>
      <c r="CW85" s="22">
        <f t="shared" si="67"/>
        <v>1.4005661123635408E-12</v>
      </c>
      <c r="CX85" s="62">
        <f t="shared" si="68"/>
        <v>293.33333333333474</v>
      </c>
      <c r="CY85" s="62">
        <f ca="1">AVERAGE(OFFSET($CX$3,0,0,'Données projet'!$E$13+1,1))-AVERAGE(OFFSET($H$3,0,0,'Données projet'!$E$13+1,1))</f>
        <v>365.492319515595</v>
      </c>
      <c r="CZ85" s="62">
        <f t="shared" si="96"/>
        <v>351.38386928091433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119.25133835315874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119.25133835315874</v>
      </c>
      <c r="DJ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8.6770000000000014</v>
      </c>
      <c r="DO85" s="13">
        <f>IF('Données projet'!$A$166&gt;35,DO84+DN85-DW84,IF(A85&lt;'Données projet'!$A$166,$DL$205^A85,IF(A85='Données projet'!$A$166,'Données projet'!$B$166,DO84+DN85-DW84)))</f>
        <v>307.99600000000021</v>
      </c>
      <c r="DP85" s="18">
        <f>DO85*VLOOKUP('Données projet'!$B$14,Paramètres!$A$1:$I$89,3,0)*VLOOKUP('Données projet'!$B$14,Paramètres!$A$1:$I$89,5,0)</f>
        <v>259.4558304000002</v>
      </c>
      <c r="DQ85" s="14">
        <f t="shared" si="97"/>
        <v>62.606368847438596</v>
      </c>
      <c r="DR85" s="22">
        <f t="shared" si="70"/>
        <v>560.92499702262251</v>
      </c>
      <c r="DS85" s="62">
        <f t="shared" si="71"/>
        <v>854.25833035595588</v>
      </c>
      <c r="DT85" s="62">
        <f ca="1">AVERAGE(OFFSET($DS$3,0,0,'Données projet'!$E$14+1,1))-AVERAGE(OFFSET($H$3,0,0,'Données projet'!$E$14+1,1))</f>
        <v>544.89250424794909</v>
      </c>
      <c r="DU85" s="62">
        <f t="shared" si="98"/>
        <v>253.98688498110715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16.163518195787031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16.163518195787031</v>
      </c>
      <c r="EE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8.6770000000000014</v>
      </c>
      <c r="EJ85" s="13">
        <f>IF('Données projet'!$A$192&gt;35,EJ84+EI85-ER84,IF(A85&lt;'Données projet'!$A$192,$EG$205^A85,IF(A85='Données projet'!$A$192,'Données projet'!$B$192,EJ84+EI85-ER84)))</f>
        <v>307.99600000000021</v>
      </c>
      <c r="EK85" s="18">
        <f>EJ85*VLOOKUP('Données projet'!$B$15,Paramètres!$A$1:$I$89,3,0)*VLOOKUP('Données projet'!$B$15,Paramètres!$A$1:$I$89,5,0)</f>
        <v>278.67478080000018</v>
      </c>
      <c r="EL85" s="14">
        <f t="shared" si="99"/>
        <v>66.686874688958113</v>
      </c>
      <c r="EM85" s="22">
        <f t="shared" si="73"/>
        <v>601.50488330993562</v>
      </c>
      <c r="EN85" s="62">
        <f t="shared" si="74"/>
        <v>894.83821664326888</v>
      </c>
      <c r="EO85" s="62">
        <f ca="1">AVERAGE(OFFSET($EN$3,0,0,'Données projet'!$E$15+1,1))-AVERAGE(OFFSET($H$3,0,0,'Données projet'!$E$15+1,1))</f>
        <v>581.88778927327667</v>
      </c>
      <c r="EP85" s="62">
        <f t="shared" si="100"/>
        <v>269.67340993773422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17.360815839919407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17.360815839919407</v>
      </c>
      <c r="EZ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8.6770000000000014</v>
      </c>
      <c r="FE85" s="13">
        <f>IF('Données projet'!$A$218&gt;35,FE84+FD85-FM84,IF(A85&lt;'Données projet'!$A$218,$FB$205^A85,IF(A85='Données projet'!$A$218,'Données projet'!$B$218,FE84+FD85-FM84)))</f>
        <v>307.99600000000021</v>
      </c>
      <c r="FF85" s="18">
        <f>FE85*VLOOKUP('Données projet'!$B$16,Paramètres!$A$1:$I$89,3,0)*VLOOKUP('Données projet'!$B$16,Paramètres!$A$1:$I$89,5,0)</f>
        <v>312.30794400000019</v>
      </c>
      <c r="FG85" s="14">
        <f t="shared" si="101"/>
        <v>73.750612468537497</v>
      </c>
      <c r="FH85" s="22">
        <f t="shared" si="76"/>
        <v>672.38531918270314</v>
      </c>
      <c r="FI85" s="62">
        <f t="shared" si="77"/>
        <v>965.7186525160364</v>
      </c>
      <c r="FJ85" s="62">
        <f ca="1">AVERAGE(OFFSET($FI$3,0,0,'Données projet'!$E$16+1,1))-AVERAGE(OFFSET($H$3,0,0,'Données projet'!$E$16+1,1))</f>
        <v>646.50767193970182</v>
      </c>
      <c r="FK85" s="62">
        <f t="shared" si="102"/>
        <v>297.06786598620607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19.456086717151059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19.456086717151059</v>
      </c>
      <c r="FU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8.6770000000000014</v>
      </c>
      <c r="FZ85" s="13">
        <f>IF('Données projet'!$A$244&gt;35,FZ84+FY85-GH84,IF(A85&lt;'Données projet'!$A$244,$FW$205^A85,IF(A85='Données projet'!$A$244,'Données projet'!$B$244,FZ84+FY85-GH84)))</f>
        <v>307.99600000000021</v>
      </c>
      <c r="GA85" s="18">
        <f>FZ85*VLOOKUP('Données projet'!$B$17,Paramètres!$A$1:$I$89,3,0)*VLOOKUP('Données projet'!$B$17,Paramètres!$A$1:$I$89,5,0)</f>
        <v>206.60371680000011</v>
      </c>
      <c r="GB85" s="14">
        <f t="shared" si="103"/>
        <v>51.192709554370559</v>
      </c>
      <c r="GC85" s="22">
        <f t="shared" si="79"/>
        <v>448.9954425671956</v>
      </c>
      <c r="GD85" s="62">
        <f t="shared" si="80"/>
        <v>742.32877590052885</v>
      </c>
      <c r="GE85" s="62">
        <f ca="1">AVERAGE(OFFSET($GD$3,0,0,'Données projet'!$E$17+1,1))-AVERAGE(OFFSET($H$3,0,0,'Données projet'!$E$17+1,1))</f>
        <v>442.85175349826028</v>
      </c>
      <c r="GF85" s="62">
        <f t="shared" si="104"/>
        <v>210.70697808232501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15.864193784753935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15.864193784753935</v>
      </c>
      <c r="GP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6</v>
      </c>
      <c r="GU85" s="13">
        <f>IF('Données projet'!$A$270&gt;35,GU84+GT85-HC84,IF(A85&lt;'Données projet'!$A$270,$GR$205^A85,IF(A85='Données projet'!$A$270,'Données projet'!$B$270,GU84+GT85-HC84)))</f>
        <v>261</v>
      </c>
      <c r="GV85" s="18">
        <f>GU85*VLOOKUP('Données projet'!$B$18,Paramètres!$A$1:$I$89,3,0)*VLOOKUP('Données projet'!$B$18,Paramètres!$A$1:$I$89,5,0)</f>
        <v>248.36760000000001</v>
      </c>
      <c r="GW85" s="14">
        <f t="shared" si="105"/>
        <v>60.236253798706343</v>
      </c>
      <c r="GX85" s="22">
        <f t="shared" si="82"/>
        <v>537.48504536608027</v>
      </c>
      <c r="GY85" s="62">
        <f t="shared" si="83"/>
        <v>830.81837869941364</v>
      </c>
      <c r="GZ85" s="62">
        <f ca="1">AVERAGE(OFFSET($GY$3,0,0,'Données projet'!$E$18+1,1))-AVERAGE(OFFSET($H$3,0,0,'Données projet'!$E$18+1,1))</f>
        <v>420.2510366318939</v>
      </c>
      <c r="HA85" s="62">
        <f t="shared" si="106"/>
        <v>220.59884411514116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33.489811491396985</v>
      </c>
      <c r="HH85" s="23">
        <f>EXP(-LN(2)/25)*HH84+(1-EXP(-LN(2)/25))/(LN(2)/25)*Calculateur!HC85*Calculateur!HE85*VLOOKUP('Données projet'!$B$18,Paramètres!$A$1:$I$89,3,0)*0.475*44/12</f>
        <v>0</v>
      </c>
      <c r="HI85" s="23">
        <f>EXP(-LN(2)/2)*HI84+(1-EXP(-LN(2)/2))/(LN(2)/2)*HC85*HF85*VLOOKUP('Données projet'!$B$18,Paramètres!$A$1:$I$89,3,0)*0.475*44/12</f>
        <v>0</v>
      </c>
      <c r="HJ85" s="24">
        <f t="shared" si="84"/>
        <v>33.489811491396985</v>
      </c>
    </row>
    <row r="86" spans="1:218" s="5" customFormat="1" x14ac:dyDescent="0.2">
      <c r="A86" s="11">
        <f t="shared" si="85"/>
        <v>83</v>
      </c>
      <c r="B86" s="74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11.25925925925926</v>
      </c>
      <c r="N86" s="14">
        <f>IF('Données projet'!$A$36&gt;35,N85+M86-V85,IF(A86&lt;'Données projet'!$A$36,$K$205^A86,IF(A86='Données projet'!$A$36,'Données projet'!$B$36,N85+M86-V85)))</f>
        <v>626.18518518518488</v>
      </c>
      <c r="O86" s="14">
        <f>N86*VLOOKUP('Données projet'!$B$9,Paramètres!$A$1:$I$89,3,0)*VLOOKUP('Données projet'!$B$9,Paramètres!$A$1:$I$89,5,0)</f>
        <v>537.26688888888862</v>
      </c>
      <c r="P86" s="14">
        <f t="shared" si="87"/>
        <v>119.10994286771781</v>
      </c>
      <c r="Q86" s="22">
        <f t="shared" si="54"/>
        <v>1143.1896486427561</v>
      </c>
      <c r="R86" s="62">
        <f t="shared" si="55"/>
        <v>1436.5229819760893</v>
      </c>
      <c r="S86" s="62">
        <f ca="1">AVERAGE(OFFSET($R$3,0,0,'Données projet'!$E$9+1,1))-AVERAGE(OFFSET($H$3,0,0,'Données projet'!$E$9+1,1))</f>
        <v>623.31285537237943</v>
      </c>
      <c r="T86" s="62">
        <f t="shared" si="88"/>
        <v>462.33909258902241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68.279718492923763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68.279718492923763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projet'!$B$10,Paramètres!$A$1:$I$89,3,0)*VLOOKUP('Données projet'!$B$10,Paramètres!$A$1:$I$89,5,0)</f>
        <v>4.9658410716801891E-14</v>
      </c>
      <c r="AK86" s="14">
        <f t="shared" si="89"/>
        <v>8.0934058173791862E-13</v>
      </c>
      <c r="AL86" s="22">
        <f t="shared" si="58"/>
        <v>1.4960899118586383E-12</v>
      </c>
      <c r="AM86" s="62">
        <f t="shared" si="59"/>
        <v>293.33333333333479</v>
      </c>
      <c r="AN86" s="62">
        <f ca="1">AVERAGE(OFFSET($AM$3,0,0,'Données projet'!$E$10+1,1))-AVERAGE(OFFSET($H$3,0,0,'Données projet'!$E$10+1,1))</f>
        <v>390.70479111593545</v>
      </c>
      <c r="AO86" s="62">
        <f t="shared" si="90"/>
        <v>374.99493809709708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155.18670146580899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155.18670146580899</v>
      </c>
      <c r="AY86" s="7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5.6843418860808015E-14</v>
      </c>
      <c r="BE86" s="14">
        <f>BD86*VLOOKUP('Données projet'!$B$11,Paramètres!$A$1:$I$89,3,0)*VLOOKUP('Données projet'!$B$11,Paramètres!$A$1:$I$89,5,0)</f>
        <v>4.5224624045658861E-14</v>
      </c>
      <c r="BF86" s="14">
        <f t="shared" si="91"/>
        <v>7.4514601661523691E-13</v>
      </c>
      <c r="BG86" s="22">
        <f t="shared" si="61"/>
        <v>1.3765621991510601E-12</v>
      </c>
      <c r="BH86" s="62">
        <f t="shared" si="62"/>
        <v>293.33333333333468</v>
      </c>
      <c r="BI86" s="62">
        <f ca="1">AVERAGE(OFFSET($BH$3,0,0,'Données projet'!$E$11+1,1))-AVERAGE(OFFSET($H$3,0,0,'Données projet'!$E$11+1,1))</f>
        <v>359.18294335011535</v>
      </c>
      <c r="BJ86" s="62">
        <f t="shared" si="92"/>
        <v>345.47508134331241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141.33074597779031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141.33074597779031</v>
      </c>
      <c r="BT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5.6843418860808015E-14</v>
      </c>
      <c r="BZ86" s="14">
        <f>BY86*VLOOKUP('Données projet'!$B$12,Paramètres!$A$1:$I$89,3,0)*VLOOKUP('Données projet'!$B$12,Paramètres!$A$1:$I$89,5,0)</f>
        <v>4.1677594708744434E-14</v>
      </c>
      <c r="CA86" s="14">
        <f t="shared" si="93"/>
        <v>6.9326303456159188E-13</v>
      </c>
      <c r="CB86" s="22">
        <f t="shared" si="64"/>
        <v>1.2800215959791691E-12</v>
      </c>
      <c r="CC86" s="62">
        <f t="shared" si="65"/>
        <v>293.33333333333462</v>
      </c>
      <c r="CD86" s="62">
        <f ca="1">AVERAGE(OFFSET($CC$3,0,0,'Données projet'!$E$12+1,1))-AVERAGE(OFFSET($H$3,0,0,'Données projet'!$E$12+1,1))</f>
        <v>333.9187211440219</v>
      </c>
      <c r="CE86" s="62">
        <f t="shared" si="94"/>
        <v>321.81422611044997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105.67126808032342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105.67126808032342</v>
      </c>
      <c r="CO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5.6843418860808015E-14</v>
      </c>
      <c r="CU86" s="18">
        <f>CT86*VLOOKUP('Données projet'!$B$13,Paramètres!$A$1:$I$89,3,0)*VLOOKUP('Données projet'!$B$13,Paramètres!$A$1:$I$89,5,0)</f>
        <v>4.6111381379887463E-14</v>
      </c>
      <c r="CV86" s="14">
        <f t="shared" si="95"/>
        <v>7.5804141040779151E-13</v>
      </c>
      <c r="CW86" s="22">
        <f t="shared" si="67"/>
        <v>1.4005661123635408E-12</v>
      </c>
      <c r="CX86" s="62">
        <f t="shared" si="68"/>
        <v>293.33333333333474</v>
      </c>
      <c r="CY86" s="62">
        <f ca="1">AVERAGE(OFFSET($CX$3,0,0,'Données projet'!$E$13+1,1))-AVERAGE(OFFSET($H$3,0,0,'Données projet'!$E$13+1,1))</f>
        <v>365.492319515595</v>
      </c>
      <c r="CZ86" s="62">
        <f t="shared" si="96"/>
        <v>351.38386928091433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116.9128923441876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116.9128923441876</v>
      </c>
      <c r="DJ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8.6770000000000014</v>
      </c>
      <c r="DO86" s="13">
        <f>IF('Données projet'!$A$166&gt;35,DO85+DN86-DW85,IF(A86&lt;'Données projet'!$A$166,$DL$205^A86,IF(A86='Données projet'!$A$166,'Données projet'!$B$166,DO85+DN86-DW85)))</f>
        <v>316.67300000000023</v>
      </c>
      <c r="DP86" s="18">
        <f>DO86*VLOOKUP('Données projet'!$B$14,Paramètres!$A$1:$I$89,3,0)*VLOOKUP('Données projet'!$B$14,Paramètres!$A$1:$I$89,5,0)</f>
        <v>266.76533520000027</v>
      </c>
      <c r="DQ86" s="14">
        <f t="shared" si="97"/>
        <v>64.162310985844854</v>
      </c>
      <c r="DR86" s="22">
        <f t="shared" si="70"/>
        <v>576.36565044034694</v>
      </c>
      <c r="DS86" s="62">
        <f t="shared" si="71"/>
        <v>869.69898377368031</v>
      </c>
      <c r="DT86" s="62">
        <f ca="1">AVERAGE(OFFSET($DS$3,0,0,'Données projet'!$E$14+1,1))-AVERAGE(OFFSET($H$3,0,0,'Données projet'!$E$14+1,1))</f>
        <v>544.89250424794909</v>
      </c>
      <c r="DU86" s="62">
        <f t="shared" si="98"/>
        <v>253.98688498110715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15.846561462740274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15.846561462740274</v>
      </c>
      <c r="EE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8.6770000000000014</v>
      </c>
      <c r="EJ86" s="13">
        <f>IF('Données projet'!$A$192&gt;35,EJ85+EI86-ER85,IF(A86&lt;'Données projet'!$A$192,$EG$205^A86,IF(A86='Données projet'!$A$192,'Données projet'!$B$192,EJ85+EI86-ER85)))</f>
        <v>316.67300000000023</v>
      </c>
      <c r="EK86" s="18">
        <f>EJ86*VLOOKUP('Données projet'!$B$15,Paramètres!$A$1:$I$89,3,0)*VLOOKUP('Données projet'!$B$15,Paramètres!$A$1:$I$89,5,0)</f>
        <v>286.52573040000021</v>
      </c>
      <c r="EL86" s="14">
        <f t="shared" si="99"/>
        <v>68.344228730046424</v>
      </c>
      <c r="EM86" s="22">
        <f t="shared" si="73"/>
        <v>618.06517881816455</v>
      </c>
      <c r="EN86" s="62">
        <f t="shared" si="74"/>
        <v>911.39851215149793</v>
      </c>
      <c r="EO86" s="62">
        <f ca="1">AVERAGE(OFFSET($EN$3,0,0,'Données projet'!$E$15+1,1))-AVERAGE(OFFSET($H$3,0,0,'Données projet'!$E$15+1,1))</f>
        <v>581.88778927327667</v>
      </c>
      <c r="EP86" s="62">
        <f t="shared" si="100"/>
        <v>269.67340993773422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17.020380830350668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17.020380830350668</v>
      </c>
      <c r="EZ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8.6770000000000014</v>
      </c>
      <c r="FE86" s="13">
        <f>IF('Données projet'!$A$218&gt;35,FE85+FD86-FM85,IF(A86&lt;'Données projet'!$A$218,$FB$205^A86,IF(A86='Données projet'!$A$218,'Données projet'!$B$218,FE85+FD86-FM85)))</f>
        <v>316.67300000000023</v>
      </c>
      <c r="FF86" s="18">
        <f>FE86*VLOOKUP('Données projet'!$B$16,Paramètres!$A$1:$I$89,3,0)*VLOOKUP('Données projet'!$B$16,Paramètres!$A$1:$I$89,5,0)</f>
        <v>321.10642200000024</v>
      </c>
      <c r="FG86" s="14">
        <f t="shared" si="101"/>
        <v>75.58352001110228</v>
      </c>
      <c r="FH86" s="22">
        <f t="shared" si="76"/>
        <v>690.90164900267018</v>
      </c>
      <c r="FI86" s="62">
        <f t="shared" si="77"/>
        <v>984.23498233600344</v>
      </c>
      <c r="FJ86" s="62">
        <f ca="1">AVERAGE(OFFSET($FI$3,0,0,'Données projet'!$E$16+1,1))-AVERAGE(OFFSET($H$3,0,0,'Données projet'!$E$16+1,1))</f>
        <v>646.50767193970182</v>
      </c>
      <c r="FK86" s="62">
        <f t="shared" si="102"/>
        <v>297.06786598620607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19.074564723668853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19.074564723668853</v>
      </c>
      <c r="FU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8.6770000000000014</v>
      </c>
      <c r="FZ86" s="13">
        <f>IF('Données projet'!$A$244&gt;35,FZ85+FY86-GH85,IF(A86&lt;'Données projet'!$A$244,$FW$205^A86,IF(A86='Données projet'!$A$244,'Données projet'!$B$244,FZ85+FY86-GH85)))</f>
        <v>316.67300000000023</v>
      </c>
      <c r="GA86" s="18">
        <f>FZ86*VLOOKUP('Données projet'!$B$17,Paramètres!$A$1:$I$89,3,0)*VLOOKUP('Données projet'!$B$17,Paramètres!$A$1:$I$89,5,0)</f>
        <v>212.42424840000018</v>
      </c>
      <c r="GB86" s="14">
        <f t="shared" si="103"/>
        <v>52.464990560939327</v>
      </c>
      <c r="GC86" s="22">
        <f t="shared" si="79"/>
        <v>461.3487578569696</v>
      </c>
      <c r="GD86" s="62">
        <f t="shared" si="80"/>
        <v>754.68209119030291</v>
      </c>
      <c r="GE86" s="62">
        <f ca="1">AVERAGE(OFFSET($GD$3,0,0,'Données projet'!$E$17+1,1))-AVERAGE(OFFSET($H$3,0,0,'Données projet'!$E$17+1,1))</f>
        <v>442.85175349826028</v>
      </c>
      <c r="GF86" s="62">
        <f t="shared" si="104"/>
        <v>210.70697808232501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15.553106620837672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15.553106620837672</v>
      </c>
      <c r="GP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6</v>
      </c>
      <c r="GU86" s="13">
        <f>IF('Données projet'!$A$270&gt;35,GU85+GT86-HC85,IF(A86&lt;'Données projet'!$A$270,$GR$205^A86,IF(A86='Données projet'!$A$270,'Données projet'!$B$270,GU85+GT86-HC85)))</f>
        <v>267</v>
      </c>
      <c r="GV86" s="18">
        <f>GU86*VLOOKUP('Données projet'!$B$18,Paramètres!$A$1:$I$89,3,0)*VLOOKUP('Données projet'!$B$18,Paramètres!$A$1:$I$89,5,0)</f>
        <v>254.0772</v>
      </c>
      <c r="GW86" s="14">
        <f t="shared" si="105"/>
        <v>61.458188159552755</v>
      </c>
      <c r="GX86" s="22">
        <f t="shared" si="82"/>
        <v>549.55746771122097</v>
      </c>
      <c r="GY86" s="62">
        <f t="shared" si="83"/>
        <v>842.89080104455434</v>
      </c>
      <c r="GZ86" s="62">
        <f ca="1">AVERAGE(OFFSET($GY$3,0,0,'Données projet'!$E$18+1,1))-AVERAGE(OFFSET($H$3,0,0,'Données projet'!$E$18+1,1))</f>
        <v>420.2510366318939</v>
      </c>
      <c r="HA86" s="62">
        <f t="shared" si="106"/>
        <v>220.59884411514116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32.833096714818723</v>
      </c>
      <c r="HH86" s="23">
        <f>EXP(-LN(2)/25)*HH85+(1-EXP(-LN(2)/25))/(LN(2)/25)*Calculateur!HC86*Calculateur!HE86*VLOOKUP('Données projet'!$B$18,Paramètres!$A$1:$I$89,3,0)*0.475*44/12</f>
        <v>0</v>
      </c>
      <c r="HI86" s="23">
        <f>EXP(-LN(2)/2)*HI85+(1-EXP(-LN(2)/2))/(LN(2)/2)*HC86*HF86*VLOOKUP('Données projet'!$B$18,Paramètres!$A$1:$I$89,3,0)*0.475*44/12</f>
        <v>0</v>
      </c>
      <c r="HJ86" s="24">
        <f t="shared" si="84"/>
        <v>32.833096714818723</v>
      </c>
    </row>
    <row r="87" spans="1:218" s="5" customFormat="1" x14ac:dyDescent="0.2">
      <c r="A87" s="11">
        <f t="shared" si="85"/>
        <v>84</v>
      </c>
      <c r="B87" s="74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11.25925925925926</v>
      </c>
      <c r="N87" s="14">
        <f>IF('Données projet'!$A$36&gt;35,N86+M87-V86,IF(A87&lt;'Données projet'!$A$36,$K$205^A87,IF(A87='Données projet'!$A$36,'Données projet'!$B$36,N86+M87-V86)))</f>
        <v>637.44444444444412</v>
      </c>
      <c r="O87" s="14">
        <f>N87*VLOOKUP('Données projet'!$B$9,Paramètres!$A$1:$I$89,3,0)*VLOOKUP('Données projet'!$B$9,Paramètres!$A$1:$I$89,5,0)</f>
        <v>546.92733333333308</v>
      </c>
      <c r="P87" s="14">
        <f t="shared" si="87"/>
        <v>121.00036612890432</v>
      </c>
      <c r="Q87" s="22">
        <f t="shared" si="54"/>
        <v>1163.30740989673</v>
      </c>
      <c r="R87" s="62">
        <f t="shared" si="55"/>
        <v>1456.6407432300632</v>
      </c>
      <c r="S87" s="62">
        <f ca="1">AVERAGE(OFFSET($R$3,0,0,'Données projet'!$E$9+1,1))-AVERAGE(OFFSET($H$3,0,0,'Données projet'!$E$9+1,1))</f>
        <v>623.31285537237943</v>
      </c>
      <c r="T87" s="62">
        <f t="shared" si="88"/>
        <v>462.33909258902241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66.940794859793556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66.940794859793556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projet'!$B$10,Paramètres!$A$1:$I$89,3,0)*VLOOKUP('Données projet'!$B$10,Paramètres!$A$1:$I$89,5,0)</f>
        <v>4.9658410716801891E-14</v>
      </c>
      <c r="AK87" s="14">
        <f t="shared" si="89"/>
        <v>8.0934058173791862E-13</v>
      </c>
      <c r="AL87" s="22">
        <f t="shared" si="58"/>
        <v>1.4960899118586383E-12</v>
      </c>
      <c r="AM87" s="62">
        <f t="shared" si="59"/>
        <v>293.33333333333479</v>
      </c>
      <c r="AN87" s="62">
        <f ca="1">AVERAGE(OFFSET($AM$3,0,0,'Données projet'!$E$10+1,1))-AVERAGE(OFFSET($H$3,0,0,'Données projet'!$E$10+1,1))</f>
        <v>390.70479111593545</v>
      </c>
      <c r="AO87" s="62">
        <f t="shared" si="90"/>
        <v>374.99493809709708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152.143584904606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152.143584904606</v>
      </c>
      <c r="AY87" s="7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5.6843418860808015E-14</v>
      </c>
      <c r="BE87" s="14">
        <f>BD87*VLOOKUP('Données projet'!$B$11,Paramètres!$A$1:$I$89,3,0)*VLOOKUP('Données projet'!$B$11,Paramètres!$A$1:$I$89,5,0)</f>
        <v>4.5224624045658861E-14</v>
      </c>
      <c r="BF87" s="14">
        <f t="shared" si="91"/>
        <v>7.4514601661523691E-13</v>
      </c>
      <c r="BG87" s="22">
        <f t="shared" si="61"/>
        <v>1.3765621991510601E-12</v>
      </c>
      <c r="BH87" s="62">
        <f t="shared" si="62"/>
        <v>293.33333333333468</v>
      </c>
      <c r="BI87" s="62">
        <f ca="1">AVERAGE(OFFSET($BH$3,0,0,'Données projet'!$E$11+1,1))-AVERAGE(OFFSET($H$3,0,0,'Données projet'!$E$11+1,1))</f>
        <v>359.18294335011535</v>
      </c>
      <c r="BJ87" s="62">
        <f t="shared" si="92"/>
        <v>345.47508134331241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138.55933625240903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138.55933625240903</v>
      </c>
      <c r="BT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5.6843418860808015E-14</v>
      </c>
      <c r="BZ87" s="14">
        <f>BY87*VLOOKUP('Données projet'!$B$12,Paramètres!$A$1:$I$89,3,0)*VLOOKUP('Données projet'!$B$12,Paramètres!$A$1:$I$89,5,0)</f>
        <v>4.1677594708744434E-14</v>
      </c>
      <c r="CA87" s="14">
        <f t="shared" si="93"/>
        <v>6.9326303456159188E-13</v>
      </c>
      <c r="CB87" s="22">
        <f t="shared" si="64"/>
        <v>1.2800215959791691E-12</v>
      </c>
      <c r="CC87" s="62">
        <f t="shared" si="65"/>
        <v>293.33333333333462</v>
      </c>
      <c r="CD87" s="62">
        <f ca="1">AVERAGE(OFFSET($CC$3,0,0,'Données projet'!$E$12+1,1))-AVERAGE(OFFSET($H$3,0,0,'Données projet'!$E$12+1,1))</f>
        <v>333.9187211440219</v>
      </c>
      <c r="CE87" s="62">
        <f t="shared" si="94"/>
        <v>321.81422611044997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103.59911896637759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103.59911896637759</v>
      </c>
      <c r="CO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5.6843418860808015E-14</v>
      </c>
      <c r="CU87" s="18">
        <f>CT87*VLOOKUP('Données projet'!$B$13,Paramètres!$A$1:$I$89,3,0)*VLOOKUP('Données projet'!$B$13,Paramètres!$A$1:$I$89,5,0)</f>
        <v>4.6111381379887463E-14</v>
      </c>
      <c r="CV87" s="14">
        <f t="shared" si="95"/>
        <v>7.5804141040779151E-13</v>
      </c>
      <c r="CW87" s="22">
        <f t="shared" si="67"/>
        <v>1.4005661123635408E-12</v>
      </c>
      <c r="CX87" s="62">
        <f t="shared" si="68"/>
        <v>293.33333333333474</v>
      </c>
      <c r="CY87" s="62">
        <f ca="1">AVERAGE(OFFSET($CX$3,0,0,'Données projet'!$E$13+1,1))-AVERAGE(OFFSET($H$3,0,0,'Données projet'!$E$13+1,1))</f>
        <v>365.492319515595</v>
      </c>
      <c r="CZ87" s="62">
        <f t="shared" si="96"/>
        <v>351.38386928091433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114.62030183514115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114.62030183514115</v>
      </c>
      <c r="DJ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>
        <f>VLOOKUP(A87,'Données projet'!$A$165:$I$185,2,0)</f>
        <v>325.35000000000002</v>
      </c>
      <c r="DM87" s="13">
        <f>VLOOKUP(A87,'Données projet'!$A$165:$I$185,9,0)</f>
        <v>8.6770000000000014</v>
      </c>
      <c r="DN87" s="13">
        <f t="array" ref="DN87">INDEX(DM:DM,MIN(IF(ISNUMBER(DM87:DM283),ROW(DM87:DM283),"")))</f>
        <v>8.6770000000000014</v>
      </c>
      <c r="DO87" s="13">
        <f>IF('Données projet'!$A$166&gt;35,DO86+DN87-DW86,IF(A87&lt;'Données projet'!$A$166,$DL$205^A87,IF(A87='Données projet'!$A$166,'Données projet'!$B$166,DO86+DN87-DW86)))</f>
        <v>325.35000000000025</v>
      </c>
      <c r="DP87" s="18">
        <f>DO87*VLOOKUP('Données projet'!$B$14,Paramètres!$A$1:$I$89,3,0)*VLOOKUP('Données projet'!$B$14,Paramètres!$A$1:$I$89,5,0)</f>
        <v>274.07484000000022</v>
      </c>
      <c r="DQ87" s="14">
        <f t="shared" si="97"/>
        <v>65.713297823435212</v>
      </c>
      <c r="DR87" s="22">
        <f t="shared" si="70"/>
        <v>591.79767337581677</v>
      </c>
      <c r="DS87" s="62">
        <f t="shared" si="71"/>
        <v>885.13100670915014</v>
      </c>
      <c r="DT87" s="62">
        <f ca="1">AVERAGE(OFFSET($DS$3,0,0,'Données projet'!$E$14+1,1))-AVERAGE(OFFSET($H$3,0,0,'Données projet'!$E$14+1,1))</f>
        <v>544.89250424794909</v>
      </c>
      <c r="DU87" s="62">
        <f t="shared" si="98"/>
        <v>253.98688498110715</v>
      </c>
      <c r="DV87" s="16">
        <f>IF(ISNA(VLOOKUP(A87,'Données projet'!$A$165:$I$185,3,0)),0,VLOOKUP(A87,'Données projet'!$A$165:$I$185,3,0))</f>
        <v>6</v>
      </c>
      <c r="DW87" s="16">
        <f>IF(ISNA(VLOOKUP(A87,'Données projet'!$A$165:$I$185,4,0)),0,VLOOKUP(A87,'Données projet'!$A$165:$I$185,4,0))</f>
        <v>61.47</v>
      </c>
      <c r="DX87" s="17">
        <f>IF(ISNA(VLOOKUP(A87,'Données projet'!$A$165:$I$185,5,0)),0%,VLOOKUP(A87,'Données projet'!$A$165:$I$185,5,0)*VLOOKUP('Données projet'!$B$14,Paramètres!$A$1:$I$89,7,0))</f>
        <v>0.17200000000000001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25.381758781312719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25.381758781312719</v>
      </c>
      <c r="EE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>
        <f>VLOOKUP(A87,'Données projet'!$A$191:$I$211,2,0)</f>
        <v>325.35000000000002</v>
      </c>
      <c r="EH87" s="13">
        <f>VLOOKUP(A87,'Données projet'!$A$191:$I$211,9,0)</f>
        <v>8.6770000000000014</v>
      </c>
      <c r="EI87" s="13">
        <f t="array" ref="EI87">INDEX(EH:EH,MIN(IF(ISNUMBER(EH87:EH283),ROW(EH87:EH283),"")))</f>
        <v>8.6770000000000014</v>
      </c>
      <c r="EJ87" s="13">
        <f>IF('Données projet'!$A$192&gt;35,EJ86+EI87-ER86,IF(A87&lt;'Données projet'!$A$192,$EG$205^A87,IF(A87='Données projet'!$A$192,'Données projet'!$B$192,EJ86+EI87-ER86)))</f>
        <v>325.35000000000025</v>
      </c>
      <c r="EK87" s="18">
        <f>EJ87*VLOOKUP('Données projet'!$B$15,Paramètres!$A$1:$I$89,3,0)*VLOOKUP('Données projet'!$B$15,Paramètres!$A$1:$I$89,5,0)</f>
        <v>294.37668000000025</v>
      </c>
      <c r="EL87" s="14">
        <f t="shared" si="99"/>
        <v>69.99630449784344</v>
      </c>
      <c r="EM87" s="22">
        <f t="shared" si="73"/>
        <v>634.61628133374438</v>
      </c>
      <c r="EN87" s="62">
        <f t="shared" si="74"/>
        <v>927.94961466707764</v>
      </c>
      <c r="EO87" s="62">
        <f ca="1">AVERAGE(OFFSET($EN$3,0,0,'Données projet'!$E$15+1,1))-AVERAGE(OFFSET($H$3,0,0,'Données projet'!$E$15+1,1))</f>
        <v>581.88778927327667</v>
      </c>
      <c r="EP87" s="62">
        <f t="shared" si="100"/>
        <v>269.67340993773422</v>
      </c>
      <c r="EQ87" s="16">
        <f>IF(ISNA(VLOOKUP(A87,'Données projet'!$A$191:$I$211,3,0)),0,VLOOKUP(A87,'Données projet'!$A$191:$I$211,3,0))</f>
        <v>6</v>
      </c>
      <c r="ER87" s="16">
        <f>IF(ISNA(VLOOKUP(A87,'Données projet'!$A$191:$I$211,4,0)),0,VLOOKUP(A87,'Données projet'!$A$191:$I$211,4,0))</f>
        <v>61.47</v>
      </c>
      <c r="ES87" s="17">
        <f>IF(ISNA(VLOOKUP(A87,'Données projet'!$A$191:$I$211,5,0)),0%,VLOOKUP(A87,'Données projet'!$A$191:$I$211,5,0)*VLOOKUP('Données projet'!$B$15,Paramètres!$A$1:$I$89,7,0))</f>
        <v>0.17200000000000001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27.26188906140996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27.26188906140996</v>
      </c>
      <c r="EZ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>
        <f>VLOOKUP(A87,'Données projet'!$A$217:$I$237,2,0)</f>
        <v>325.35000000000002</v>
      </c>
      <c r="FC87" s="13">
        <f>VLOOKUP(A87,'Données projet'!$A$217:$I$237,9,0)</f>
        <v>8.6770000000000014</v>
      </c>
      <c r="FD87" s="13">
        <f t="array" ref="FD87">INDEX(FC:FC,MIN(IF(ISNUMBER(FC87:FC283),ROW(FC87:FC283),"")))</f>
        <v>8.6770000000000014</v>
      </c>
      <c r="FE87" s="13">
        <f>IF('Données projet'!$A$218&gt;35,FE86+FD87-FM86,IF(A87&lt;'Données projet'!$A$218,$FB$205^A87,IF(A87='Données projet'!$A$218,'Données projet'!$B$218,FE86+FD87-FM86)))</f>
        <v>325.35000000000025</v>
      </c>
      <c r="FF87" s="18">
        <f>FE87*VLOOKUP('Données projet'!$B$16,Paramètres!$A$1:$I$89,3,0)*VLOOKUP('Données projet'!$B$16,Paramètres!$A$1:$I$89,5,0)</f>
        <v>329.90490000000028</v>
      </c>
      <c r="FG87" s="14">
        <f t="shared" si="101"/>
        <v>77.410590184772218</v>
      </c>
      <c r="FH87" s="22">
        <f t="shared" si="76"/>
        <v>709.40781207181215</v>
      </c>
      <c r="FI87" s="62">
        <f t="shared" si="77"/>
        <v>1002.7411454051455</v>
      </c>
      <c r="FJ87" s="62">
        <f ca="1">AVERAGE(OFFSET($FI$3,0,0,'Données projet'!$E$16+1,1))-AVERAGE(OFFSET($H$3,0,0,'Données projet'!$E$16+1,1))</f>
        <v>646.50767193970182</v>
      </c>
      <c r="FK87" s="62">
        <f t="shared" si="102"/>
        <v>297.06786598620607</v>
      </c>
      <c r="FL87" s="16">
        <f>IF(ISNA(VLOOKUP(A87,'Données projet'!$A$217:$I$237,3,0)),0,VLOOKUP(A87,'Données projet'!$A$217:$I$237,3,0))</f>
        <v>6</v>
      </c>
      <c r="FM87" s="16">
        <f>IF(ISNA(VLOOKUP(A87,'Données projet'!$A$217:$I$237,4,0)),0,VLOOKUP(A87,'Données projet'!$A$217:$I$237,4,0))</f>
        <v>61.47</v>
      </c>
      <c r="FN87" s="17">
        <f>IF(ISNA(VLOOKUP(A87,'Données projet'!$A$217:$I$237,5,0)),0%,VLOOKUP(A87,'Données projet'!$A$217:$I$237,5,0)*VLOOKUP('Données projet'!$B$16,Paramètres!$A$1:$I$89,7,0))</f>
        <v>0.17200000000000001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30.552117051580126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30.552117051580126</v>
      </c>
      <c r="FU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>
        <f>VLOOKUP(A87,'Données projet'!$A$243:$I$263,2,0)</f>
        <v>325.35000000000002</v>
      </c>
      <c r="FX87" s="13">
        <f>VLOOKUP(A87,'Données projet'!$A$243:$I$263,9,0)</f>
        <v>8.6770000000000014</v>
      </c>
      <c r="FY87" s="13">
        <f t="array" ref="FY87">INDEX(FX:FX,MIN(IF(ISNUMBER(FX87:FX283),ROW(FX87:FX283),"")))</f>
        <v>8.6770000000000014</v>
      </c>
      <c r="FZ87" s="13">
        <f>IF('Données projet'!$A$244&gt;35,FZ86+FY87-GH86,IF(A87&lt;'Données projet'!$A$244,$FW$205^A87,IF(A87='Données projet'!$A$244,'Données projet'!$B$244,FZ86+FY87-GH86)))</f>
        <v>325.35000000000025</v>
      </c>
      <c r="GA87" s="18">
        <f>FZ87*VLOOKUP('Données projet'!$B$17,Paramètres!$A$1:$I$89,3,0)*VLOOKUP('Données projet'!$B$17,Paramètres!$A$1:$I$89,5,0)</f>
        <v>218.24478000000016</v>
      </c>
      <c r="GB87" s="14">
        <f t="shared" si="103"/>
        <v>53.733219659050746</v>
      </c>
      <c r="GC87" s="22">
        <f t="shared" si="79"/>
        <v>473.69501607284701</v>
      </c>
      <c r="GD87" s="62">
        <f t="shared" si="80"/>
        <v>767.02834940618027</v>
      </c>
      <c r="GE87" s="62">
        <f ca="1">AVERAGE(OFFSET($GD$3,0,0,'Données projet'!$E$17+1,1))-AVERAGE(OFFSET($H$3,0,0,'Données projet'!$E$17+1,1))</f>
        <v>442.85175349826028</v>
      </c>
      <c r="GF87" s="62">
        <f t="shared" si="104"/>
        <v>210.70697808232501</v>
      </c>
      <c r="GG87" s="16">
        <f>IF(ISNA(VLOOKUP(A87,'Données projet'!$A$243:$I$263,3,0)),0,VLOOKUP(A87,'Données projet'!$A$243:$I$263,3,0))</f>
        <v>6</v>
      </c>
      <c r="GH87" s="16">
        <f>IF(ISNA(VLOOKUP(A87,'Données projet'!$A$243:$I$263,4,0)),0,VLOOKUP(A87,'Données projet'!$A$243:$I$263,4,0))</f>
        <v>61.47</v>
      </c>
      <c r="GI87" s="17">
        <f>IF(ISNA(VLOOKUP(A87,'Données projet'!$A$243:$I$263,5,0)),0%,VLOOKUP(A87,'Données projet'!$A$243:$I$263,5,0)*VLOOKUP('Données projet'!$B$17,Paramètres!$A$1:$I$89,7,0))</f>
        <v>0.21200000000000002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24.911726211288403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24.911726211288403</v>
      </c>
      <c r="GP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6</v>
      </c>
      <c r="GU87" s="13">
        <f>IF('Données projet'!$A$270&gt;35,GU86+GT87-HC86,IF(A87&lt;'Données projet'!$A$270,$GR$205^A87,IF(A87='Données projet'!$A$270,'Données projet'!$B$270,GU86+GT87-HC86)))</f>
        <v>273</v>
      </c>
      <c r="GV87" s="18">
        <f>GU87*VLOOKUP('Données projet'!$B$18,Paramètres!$A$1:$I$89,3,0)*VLOOKUP('Données projet'!$B$18,Paramètres!$A$1:$I$89,5,0)</f>
        <v>259.78680000000003</v>
      </c>
      <c r="GW87" s="14">
        <f t="shared" si="105"/>
        <v>62.676930162260739</v>
      </c>
      <c r="GX87" s="22">
        <f t="shared" si="82"/>
        <v>561.62433003260412</v>
      </c>
      <c r="GY87" s="62">
        <f t="shared" si="83"/>
        <v>854.95766336593738</v>
      </c>
      <c r="GZ87" s="62">
        <f ca="1">AVERAGE(OFFSET($GY$3,0,0,'Données projet'!$E$18+1,1))-AVERAGE(OFFSET($H$3,0,0,'Données projet'!$E$18+1,1))</f>
        <v>420.2510366318939</v>
      </c>
      <c r="HA87" s="62">
        <f t="shared" si="106"/>
        <v>220.59884411514116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32.189259714452696</v>
      </c>
      <c r="HH87" s="23">
        <f>EXP(-LN(2)/25)*HH86+(1-EXP(-LN(2)/25))/(LN(2)/25)*Calculateur!HC87*Calculateur!HE87*VLOOKUP('Données projet'!$B$18,Paramètres!$A$1:$I$89,3,0)*0.475*44/12</f>
        <v>0</v>
      </c>
      <c r="HI87" s="23">
        <f>EXP(-LN(2)/2)*HI86+(1-EXP(-LN(2)/2))/(LN(2)/2)*HC87*HF87*VLOOKUP('Données projet'!$B$18,Paramètres!$A$1:$I$89,3,0)*0.475*44/12</f>
        <v>0</v>
      </c>
      <c r="HJ87" s="24">
        <f t="shared" si="84"/>
        <v>32.189259714452696</v>
      </c>
    </row>
    <row r="88" spans="1:218" s="5" customFormat="1" x14ac:dyDescent="0.2">
      <c r="A88" s="11">
        <f t="shared" si="85"/>
        <v>85</v>
      </c>
      <c r="B88" s="74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11.25925925925926</v>
      </c>
      <c r="N88" s="14">
        <f>IF('Données projet'!$A$36&gt;35,N87+M88-V87,IF(A88&lt;'Données projet'!$A$36,$K$205^A88,IF(A88='Données projet'!$A$36,'Données projet'!$B$36,N87+M88-V87)))</f>
        <v>648.70370370370335</v>
      </c>
      <c r="O88" s="14">
        <f>N88*VLOOKUP('Données projet'!$B$9,Paramètres!$A$1:$I$89,3,0)*VLOOKUP('Données projet'!$B$9,Paramètres!$A$1:$I$89,5,0)</f>
        <v>556.58777777777755</v>
      </c>
      <c r="P88" s="14">
        <f t="shared" si="87"/>
        <v>122.88690648289415</v>
      </c>
      <c r="Q88" s="22">
        <f t="shared" si="54"/>
        <v>1183.4184084206697</v>
      </c>
      <c r="R88" s="62">
        <f t="shared" si="55"/>
        <v>1476.751741754003</v>
      </c>
      <c r="S88" s="62">
        <f ca="1">AVERAGE(OFFSET($R$3,0,0,'Données projet'!$E$9+1,1))-AVERAGE(OFFSET($H$3,0,0,'Données projet'!$E$9+1,1))</f>
        <v>623.31285537237943</v>
      </c>
      <c r="T88" s="62">
        <f t="shared" si="88"/>
        <v>462.33909258902241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65.628126702446252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65.628126702446252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projet'!$B$10,Paramètres!$A$1:$I$89,3,0)*VLOOKUP('Données projet'!$B$10,Paramètres!$A$1:$I$89,5,0)</f>
        <v>4.9658410716801891E-14</v>
      </c>
      <c r="AK88" s="14">
        <f t="shared" si="89"/>
        <v>8.0934058173791862E-13</v>
      </c>
      <c r="AL88" s="22">
        <f t="shared" si="58"/>
        <v>1.4960899118586383E-12</v>
      </c>
      <c r="AM88" s="62">
        <f t="shared" si="59"/>
        <v>293.33333333333479</v>
      </c>
      <c r="AN88" s="62">
        <f ca="1">AVERAGE(OFFSET($AM$3,0,0,'Données projet'!$E$10+1,1))-AVERAGE(OFFSET($H$3,0,0,'Données projet'!$E$10+1,1))</f>
        <v>390.70479111593545</v>
      </c>
      <c r="AO88" s="62">
        <f t="shared" si="90"/>
        <v>374.99493809709708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149.1601420030504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149.1601420030504</v>
      </c>
      <c r="AY88" s="7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5.6843418860808015E-14</v>
      </c>
      <c r="BE88" s="14">
        <f>BD88*VLOOKUP('Données projet'!$B$11,Paramètres!$A$1:$I$89,3,0)*VLOOKUP('Données projet'!$B$11,Paramètres!$A$1:$I$89,5,0)</f>
        <v>4.5224624045658861E-14</v>
      </c>
      <c r="BF88" s="14">
        <f t="shared" si="91"/>
        <v>7.4514601661523691E-13</v>
      </c>
      <c r="BG88" s="22">
        <f t="shared" si="61"/>
        <v>1.3765621991510601E-12</v>
      </c>
      <c r="BH88" s="62">
        <f t="shared" si="62"/>
        <v>293.33333333333468</v>
      </c>
      <c r="BI88" s="62">
        <f ca="1">AVERAGE(OFFSET($BH$3,0,0,'Données projet'!$E$11+1,1))-AVERAGE(OFFSET($H$3,0,0,'Données projet'!$E$11+1,1))</f>
        <v>359.18294335011535</v>
      </c>
      <c r="BJ88" s="62">
        <f t="shared" si="92"/>
        <v>345.47508134331241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135.84227218134944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135.84227218134944</v>
      </c>
      <c r="BT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5.6843418860808015E-14</v>
      </c>
      <c r="BZ88" s="14">
        <f>BY88*VLOOKUP('Données projet'!$B$12,Paramètres!$A$1:$I$89,3,0)*VLOOKUP('Données projet'!$B$12,Paramètres!$A$1:$I$89,5,0)</f>
        <v>4.1677594708744434E-14</v>
      </c>
      <c r="CA88" s="14">
        <f t="shared" si="93"/>
        <v>6.9326303456159188E-13</v>
      </c>
      <c r="CB88" s="22">
        <f t="shared" si="64"/>
        <v>1.2800215959791691E-12</v>
      </c>
      <c r="CC88" s="62">
        <f t="shared" si="65"/>
        <v>293.33333333333462</v>
      </c>
      <c r="CD88" s="62">
        <f ca="1">AVERAGE(OFFSET($CC$3,0,0,'Données projet'!$E$12+1,1))-AVERAGE(OFFSET($H$3,0,0,'Données projet'!$E$12+1,1))</f>
        <v>333.9187211440219</v>
      </c>
      <c r="CE88" s="62">
        <f t="shared" si="94"/>
        <v>321.81422611044997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101.56760343267008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101.56760343267008</v>
      </c>
      <c r="CO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5.6843418860808015E-14</v>
      </c>
      <c r="CU88" s="18">
        <f>CT88*VLOOKUP('Données projet'!$B$13,Paramètres!$A$1:$I$89,3,0)*VLOOKUP('Données projet'!$B$13,Paramètres!$A$1:$I$89,5,0)</f>
        <v>4.6111381379887463E-14</v>
      </c>
      <c r="CV88" s="14">
        <f t="shared" si="95"/>
        <v>7.5804141040779151E-13</v>
      </c>
      <c r="CW88" s="22">
        <f t="shared" si="67"/>
        <v>1.4005661123635408E-12</v>
      </c>
      <c r="CX88" s="62">
        <f t="shared" si="68"/>
        <v>293.33333333333474</v>
      </c>
      <c r="CY88" s="62">
        <f ca="1">AVERAGE(OFFSET($CX$3,0,0,'Données projet'!$E$13+1,1))-AVERAGE(OFFSET($H$3,0,0,'Données projet'!$E$13+1,1))</f>
        <v>365.492319515595</v>
      </c>
      <c r="CZ88" s="62">
        <f t="shared" si="96"/>
        <v>351.38386928091433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112.37266762763497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112.37266762763497</v>
      </c>
      <c r="DJ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8.2910000000000021</v>
      </c>
      <c r="DO88" s="13">
        <f>IF('Données projet'!$A$166&gt;35,DO87+DN88-DW87,IF(A88&lt;'Données projet'!$A$166,$DL$205^A88,IF(A88='Données projet'!$A$166,'Données projet'!$B$166,DO87+DN88-DW87)))</f>
        <v>272.17100000000028</v>
      </c>
      <c r="DP88" s="18">
        <f>DO88*VLOOKUP('Données projet'!$B$14,Paramètres!$A$1:$I$89,3,0)*VLOOKUP('Données projet'!$B$14,Paramètres!$A$1:$I$89,5,0)</f>
        <v>229.27685040000028</v>
      </c>
      <c r="DQ88" s="14">
        <f t="shared" si="97"/>
        <v>56.126291034459527</v>
      </c>
      <c r="DR88" s="22">
        <f t="shared" si="70"/>
        <v>497.07713799835079</v>
      </c>
      <c r="DS88" s="62">
        <f t="shared" si="71"/>
        <v>790.41047133168411</v>
      </c>
      <c r="DT88" s="62">
        <f ca="1">AVERAGE(OFFSET($DS$3,0,0,'Données projet'!$E$14+1,1))-AVERAGE(OFFSET($H$3,0,0,'Données projet'!$E$14+1,1))</f>
        <v>544.89250424794909</v>
      </c>
      <c r="DU88" s="62">
        <f t="shared" si="98"/>
        <v>253.98688498110715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24.884037972955376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24.884037972955376</v>
      </c>
      <c r="EE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8.2910000000000021</v>
      </c>
      <c r="EJ88" s="13">
        <f>IF('Données projet'!$A$192&gt;35,EJ87+EI88-ER87,IF(A88&lt;'Données projet'!$A$192,$EG$205^A88,IF(A88='Données projet'!$A$192,'Données projet'!$B$192,EJ87+EI88-ER87)))</f>
        <v>272.17100000000028</v>
      </c>
      <c r="EK88" s="18">
        <f>EJ88*VLOOKUP('Données projet'!$B$15,Paramètres!$A$1:$I$89,3,0)*VLOOKUP('Données projet'!$B$15,Paramètres!$A$1:$I$89,5,0)</f>
        <v>246.26032080000024</v>
      </c>
      <c r="EL88" s="14">
        <f t="shared" si="99"/>
        <v>59.784443753506842</v>
      </c>
      <c r="EM88" s="22">
        <f t="shared" si="73"/>
        <v>533.02796493069138</v>
      </c>
      <c r="EN88" s="62">
        <f t="shared" si="74"/>
        <v>826.36129826402475</v>
      </c>
      <c r="EO88" s="62">
        <f ca="1">AVERAGE(OFFSET($EN$3,0,0,'Données projet'!$E$15+1,1))-AVERAGE(OFFSET($H$3,0,0,'Données projet'!$E$15+1,1))</f>
        <v>581.88778927327667</v>
      </c>
      <c r="EP88" s="62">
        <f t="shared" si="100"/>
        <v>269.67340993773422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26.727300045026148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26.727300045026148</v>
      </c>
      <c r="EZ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8.2910000000000021</v>
      </c>
      <c r="FE88" s="13">
        <f>IF('Données projet'!$A$218&gt;35,FE87+FD88-FM87,IF(A88&lt;'Données projet'!$A$218,$FB$205^A88,IF(A88='Données projet'!$A$218,'Données projet'!$B$218,FE87+FD88-FM87)))</f>
        <v>272.17100000000028</v>
      </c>
      <c r="FF88" s="18">
        <f>FE88*VLOOKUP('Données projet'!$B$16,Paramètres!$A$1:$I$89,3,0)*VLOOKUP('Données projet'!$B$16,Paramètres!$A$1:$I$89,5,0)</f>
        <v>275.98139400000031</v>
      </c>
      <c r="FG88" s="14">
        <f t="shared" si="101"/>
        <v>66.117048721763197</v>
      </c>
      <c r="FH88" s="22">
        <f t="shared" si="76"/>
        <v>595.82145440707143</v>
      </c>
      <c r="FI88" s="62">
        <f t="shared" si="77"/>
        <v>889.1547877404048</v>
      </c>
      <c r="FJ88" s="62">
        <f ca="1">AVERAGE(OFFSET($FI$3,0,0,'Données projet'!$E$16+1,1))-AVERAGE(OFFSET($H$3,0,0,'Données projet'!$E$16+1,1))</f>
        <v>646.50767193970182</v>
      </c>
      <c r="FK88" s="62">
        <f t="shared" si="102"/>
        <v>297.06786598620607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29.953008671149991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29.953008671149991</v>
      </c>
      <c r="FU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8.2910000000000021</v>
      </c>
      <c r="FZ88" s="13">
        <f>IF('Données projet'!$A$244&gt;35,FZ87+FY88-GH87,IF(A88&lt;'Données projet'!$A$244,$FW$205^A88,IF(A88='Données projet'!$A$244,'Données projet'!$B$244,FZ87+FY88-GH87)))</f>
        <v>272.17100000000028</v>
      </c>
      <c r="GA88" s="18">
        <f>FZ88*VLOOKUP('Données projet'!$B$17,Paramètres!$A$1:$I$89,3,0)*VLOOKUP('Données projet'!$B$17,Paramètres!$A$1:$I$89,5,0)</f>
        <v>182.57230680000018</v>
      </c>
      <c r="GB88" s="14">
        <f t="shared" si="103"/>
        <v>45.894003568435856</v>
      </c>
      <c r="GC88" s="22">
        <f t="shared" si="79"/>
        <v>397.91215722502608</v>
      </c>
      <c r="GD88" s="62">
        <f t="shared" si="80"/>
        <v>691.24549055835939</v>
      </c>
      <c r="GE88" s="62">
        <f ca="1">AVERAGE(OFFSET($GD$3,0,0,'Données projet'!$E$17+1,1))-AVERAGE(OFFSET($H$3,0,0,'Données projet'!$E$17+1,1))</f>
        <v>442.85175349826028</v>
      </c>
      <c r="GF88" s="62">
        <f t="shared" si="104"/>
        <v>210.70697808232501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24.42322245493768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24.42322245493768</v>
      </c>
      <c r="GP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>
        <f>VLOOKUP(A88,'Données projet'!$A$269:$I$289,2,0)</f>
        <v>279</v>
      </c>
      <c r="GS88" s="13">
        <f>VLOOKUP(A88,'Données projet'!$A$269:$I$289,9,0)</f>
        <v>6</v>
      </c>
      <c r="GT88" s="13">
        <f t="array" ref="GT88">INDEX(GS:GS,MIN(IF(ISNUMBER(GS88:GS284),ROW(GS88:GS284),"")))</f>
        <v>6</v>
      </c>
      <c r="GU88" s="13">
        <f>IF('Données projet'!$A$270&gt;35,GU87+GT88-HC87,IF(A88&lt;'Données projet'!$A$270,$GR$205^A88,IF(A88='Données projet'!$A$270,'Données projet'!$B$270,GU87+GT88-HC87)))</f>
        <v>279</v>
      </c>
      <c r="GV88" s="18">
        <f>GU88*VLOOKUP('Données projet'!$B$18,Paramètres!$A$1:$I$89,3,0)*VLOOKUP('Données projet'!$B$18,Paramètres!$A$1:$I$89,5,0)</f>
        <v>265.49639999999999</v>
      </c>
      <c r="GW88" s="14">
        <f t="shared" si="105"/>
        <v>63.892558047989588</v>
      </c>
      <c r="GX88" s="22">
        <f t="shared" si="82"/>
        <v>573.68576860024848</v>
      </c>
      <c r="GY88" s="62">
        <f t="shared" si="83"/>
        <v>867.01910193358185</v>
      </c>
      <c r="GZ88" s="62">
        <f ca="1">AVERAGE(OFFSET($GY$3,0,0,'Données projet'!$E$18+1,1))-AVERAGE(OFFSET($H$3,0,0,'Données projet'!$E$18+1,1))</f>
        <v>420.2510366318939</v>
      </c>
      <c r="HA88" s="62">
        <f t="shared" si="106"/>
        <v>220.59884411514116</v>
      </c>
      <c r="HB88" s="16">
        <f>IF(ISNA(VLOOKUP(A88,'Données projet'!$A$269:$I$289,3,0)),0,VLOOKUP(A88,'Données projet'!$A$269:$I$289,3,0))</f>
        <v>13</v>
      </c>
      <c r="HC88" s="16">
        <f>IF(ISNA(VLOOKUP(A88,'Données projet'!$A$269:$I$289,4,0)),0,VLOOKUP(A88,'Données projet'!$A$269:$I$289,4,0))</f>
        <v>25</v>
      </c>
      <c r="HD88" s="17">
        <f>IF(ISNA(VLOOKUP(A88,'Données projet'!$A$269:$I$289,5,0)),0%,VLOOKUP(A88,'Données projet'!$A$269:$I$289,5,0)*VLOOKUP('Données projet'!$B$18,Paramètres!$A$1:$I$89,7,0))</f>
        <v>0.30099999999999999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39.474089204017808</v>
      </c>
      <c r="HH88" s="23">
        <f>EXP(-LN(2)/25)*HH87+(1-EXP(-LN(2)/25))/(LN(2)/25)*Calculateur!HC88*Calculateur!HE88*VLOOKUP('Données projet'!$B$18,Paramètres!$A$1:$I$89,3,0)*0.475*44/12</f>
        <v>0</v>
      </c>
      <c r="HI88" s="23">
        <f>EXP(-LN(2)/2)*HI87+(1-EXP(-LN(2)/2))/(LN(2)/2)*HC88*HF88*VLOOKUP('Données projet'!$B$18,Paramètres!$A$1:$I$89,3,0)*0.475*44/12</f>
        <v>0</v>
      </c>
      <c r="HJ88" s="24">
        <f t="shared" si="84"/>
        <v>39.474089204017808</v>
      </c>
    </row>
    <row r="89" spans="1:218" s="5" customFormat="1" x14ac:dyDescent="0.2">
      <c r="A89" s="11">
        <f t="shared" si="85"/>
        <v>86</v>
      </c>
      <c r="B89" s="74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11.25925925925926</v>
      </c>
      <c r="N89" s="14">
        <f>IF('Données projet'!$A$36&gt;35,N88+M89-V88,IF(A89&lt;'Données projet'!$A$36,$K$205^A89,IF(A89='Données projet'!$A$36,'Données projet'!$B$36,N88+M89-V88)))</f>
        <v>659.96296296296259</v>
      </c>
      <c r="O89" s="14">
        <f>N89*VLOOKUP('Données projet'!$B$9,Paramètres!$A$1:$I$89,3,0)*VLOOKUP('Données projet'!$B$9,Paramètres!$A$1:$I$89,5,0)</f>
        <v>566.24822222222201</v>
      </c>
      <c r="P89" s="14">
        <f t="shared" si="87"/>
        <v>124.76963909987019</v>
      </c>
      <c r="Q89" s="22">
        <f t="shared" si="54"/>
        <v>1203.5227751359773</v>
      </c>
      <c r="R89" s="62">
        <f t="shared" si="55"/>
        <v>1496.8561084693106</v>
      </c>
      <c r="S89" s="62">
        <f ca="1">AVERAGE(OFFSET($R$3,0,0,'Données projet'!$E$9+1,1))-AVERAGE(OFFSET($H$3,0,0,'Données projet'!$E$9+1,1))</f>
        <v>623.31285537237943</v>
      </c>
      <c r="T89" s="62">
        <f t="shared" si="88"/>
        <v>462.33909258902241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64.341199167016015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64.341199167016015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projet'!$B$10,Paramètres!$A$1:$I$89,3,0)*VLOOKUP('Données projet'!$B$10,Paramètres!$A$1:$I$89,5,0)</f>
        <v>4.9658410716801891E-14</v>
      </c>
      <c r="AK89" s="14">
        <f t="shared" si="89"/>
        <v>8.0934058173791862E-13</v>
      </c>
      <c r="AL89" s="22">
        <f t="shared" si="58"/>
        <v>1.4960899118586383E-12</v>
      </c>
      <c r="AM89" s="62">
        <f t="shared" si="59"/>
        <v>293.33333333333479</v>
      </c>
      <c r="AN89" s="62">
        <f ca="1">AVERAGE(OFFSET($AM$3,0,0,'Données projet'!$E$10+1,1))-AVERAGE(OFFSET($H$3,0,0,'Données projet'!$E$10+1,1))</f>
        <v>390.70479111593545</v>
      </c>
      <c r="AO89" s="62">
        <f t="shared" si="90"/>
        <v>374.99493809709708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146.23520259707379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146.23520259707379</v>
      </c>
      <c r="AY89" s="7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5.6843418860808015E-14</v>
      </c>
      <c r="BE89" s="14">
        <f>BD89*VLOOKUP('Données projet'!$B$11,Paramètres!$A$1:$I$89,3,0)*VLOOKUP('Données projet'!$B$11,Paramètres!$A$1:$I$89,5,0)</f>
        <v>4.5224624045658861E-14</v>
      </c>
      <c r="BF89" s="14">
        <f t="shared" si="91"/>
        <v>7.4514601661523691E-13</v>
      </c>
      <c r="BG89" s="22">
        <f t="shared" si="61"/>
        <v>1.3765621991510601E-12</v>
      </c>
      <c r="BH89" s="62">
        <f t="shared" si="62"/>
        <v>293.33333333333468</v>
      </c>
      <c r="BI89" s="62">
        <f ca="1">AVERAGE(OFFSET($BH$3,0,0,'Données projet'!$E$11+1,1))-AVERAGE(OFFSET($H$3,0,0,'Données projet'!$E$11+1,1))</f>
        <v>359.18294335011535</v>
      </c>
      <c r="BJ89" s="62">
        <f t="shared" si="92"/>
        <v>345.47508134331241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133.17848807947789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133.17848807947789</v>
      </c>
      <c r="BT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5.6843418860808015E-14</v>
      </c>
      <c r="BZ89" s="14">
        <f>BY89*VLOOKUP('Données projet'!$B$12,Paramètres!$A$1:$I$89,3,0)*VLOOKUP('Données projet'!$B$12,Paramètres!$A$1:$I$89,5,0)</f>
        <v>4.1677594708744434E-14</v>
      </c>
      <c r="CA89" s="14">
        <f t="shared" si="93"/>
        <v>6.9326303456159188E-13</v>
      </c>
      <c r="CB89" s="22">
        <f t="shared" si="64"/>
        <v>1.2800215959791691E-12</v>
      </c>
      <c r="CC89" s="62">
        <f t="shared" si="65"/>
        <v>293.33333333333462</v>
      </c>
      <c r="CD89" s="62">
        <f ca="1">AVERAGE(OFFSET($CC$3,0,0,'Données projet'!$E$12+1,1))-AVERAGE(OFFSET($H$3,0,0,'Données projet'!$E$12+1,1))</f>
        <v>333.9187211440219</v>
      </c>
      <c r="CE89" s="62">
        <f t="shared" si="94"/>
        <v>321.81422611044997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99.575924679476444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99.575924679476444</v>
      </c>
      <c r="CO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5.6843418860808015E-14</v>
      </c>
      <c r="CU89" s="18">
        <f>CT89*VLOOKUP('Données projet'!$B$13,Paramètres!$A$1:$I$89,3,0)*VLOOKUP('Données projet'!$B$13,Paramètres!$A$1:$I$89,5,0)</f>
        <v>4.6111381379887463E-14</v>
      </c>
      <c r="CV89" s="14">
        <f t="shared" si="95"/>
        <v>7.5804141040779151E-13</v>
      </c>
      <c r="CW89" s="22">
        <f t="shared" si="67"/>
        <v>1.4005661123635408E-12</v>
      </c>
      <c r="CX89" s="62">
        <f t="shared" si="68"/>
        <v>293.33333333333474</v>
      </c>
      <c r="CY89" s="62">
        <f ca="1">AVERAGE(OFFSET($CX$3,0,0,'Données projet'!$E$13+1,1))-AVERAGE(OFFSET($H$3,0,0,'Données projet'!$E$13+1,1))</f>
        <v>365.492319515595</v>
      </c>
      <c r="CZ89" s="62">
        <f t="shared" si="96"/>
        <v>351.38386928091433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110.16910815601648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110.16910815601648</v>
      </c>
      <c r="DJ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8.2910000000000021</v>
      </c>
      <c r="DO89" s="13">
        <f>IF('Données projet'!$A$166&gt;35,DO88+DN89-DW88,IF(A89&lt;'Données projet'!$A$166,$DL$205^A89,IF(A89='Données projet'!$A$166,'Données projet'!$B$166,DO88+DN89-DW88)))</f>
        <v>280.46200000000027</v>
      </c>
      <c r="DP89" s="18">
        <f>DO89*VLOOKUP('Données projet'!$B$14,Paramètres!$A$1:$I$89,3,0)*VLOOKUP('Données projet'!$B$14,Paramètres!$A$1:$I$89,5,0)</f>
        <v>236.26118880000027</v>
      </c>
      <c r="DQ89" s="14">
        <f t="shared" si="97"/>
        <v>57.63437343603303</v>
      </c>
      <c r="DR89" s="22">
        <f t="shared" si="70"/>
        <v>511.86810422775801</v>
      </c>
      <c r="DS89" s="62">
        <f t="shared" si="71"/>
        <v>805.20143756109132</v>
      </c>
      <c r="DT89" s="62">
        <f ca="1">AVERAGE(OFFSET($DS$3,0,0,'Données projet'!$E$14+1,1))-AVERAGE(OFFSET($H$3,0,0,'Données projet'!$E$14+1,1))</f>
        <v>544.89250424794909</v>
      </c>
      <c r="DU89" s="62">
        <f t="shared" si="98"/>
        <v>253.98688498110715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24.396077166070206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24.396077166070206</v>
      </c>
      <c r="EE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8.2910000000000021</v>
      </c>
      <c r="EJ89" s="13">
        <f>IF('Données projet'!$A$192&gt;35,EJ88+EI89-ER88,IF(A89&lt;'Données projet'!$A$192,$EG$205^A89,IF(A89='Données projet'!$A$192,'Données projet'!$B$192,EJ88+EI89-ER88)))</f>
        <v>280.46200000000027</v>
      </c>
      <c r="EK89" s="18">
        <f>EJ89*VLOOKUP('Données projet'!$B$15,Paramètres!$A$1:$I$89,3,0)*VLOOKUP('Données projet'!$B$15,Paramètres!$A$1:$I$89,5,0)</f>
        <v>253.76201760000023</v>
      </c>
      <c r="EL89" s="14">
        <f t="shared" si="99"/>
        <v>61.390818695638195</v>
      </c>
      <c r="EM89" s="22">
        <f t="shared" si="73"/>
        <v>548.89118988157031</v>
      </c>
      <c r="EN89" s="62">
        <f t="shared" si="74"/>
        <v>842.22452321490368</v>
      </c>
      <c r="EO89" s="62">
        <f ca="1">AVERAGE(OFFSET($EN$3,0,0,'Données projet'!$E$15+1,1))-AVERAGE(OFFSET($H$3,0,0,'Données projet'!$E$15+1,1))</f>
        <v>581.88778927327667</v>
      </c>
      <c r="EP89" s="62">
        <f t="shared" si="100"/>
        <v>269.67340993773422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26.20319399318652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26.20319399318652</v>
      </c>
      <c r="EZ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8.2910000000000021</v>
      </c>
      <c r="FE89" s="13">
        <f>IF('Données projet'!$A$218&gt;35,FE88+FD89-FM88,IF(A89&lt;'Données projet'!$A$218,$FB$205^A89,IF(A89='Données projet'!$A$218,'Données projet'!$B$218,FE88+FD89-FM88)))</f>
        <v>280.46200000000027</v>
      </c>
      <c r="FF89" s="18">
        <f>FE89*VLOOKUP('Données projet'!$B$16,Paramètres!$A$1:$I$89,3,0)*VLOOKUP('Données projet'!$B$16,Paramètres!$A$1:$I$89,5,0)</f>
        <v>284.38846800000033</v>
      </c>
      <c r="FG89" s="14">
        <f t="shared" si="101"/>
        <v>67.893577257383939</v>
      </c>
      <c r="FH89" s="22">
        <f t="shared" si="76"/>
        <v>613.55789548994426</v>
      </c>
      <c r="FI89" s="62">
        <f t="shared" si="77"/>
        <v>906.89122882327752</v>
      </c>
      <c r="FJ89" s="62">
        <f ca="1">AVERAGE(OFFSET($FI$3,0,0,'Données projet'!$E$16+1,1))-AVERAGE(OFFSET($H$3,0,0,'Données projet'!$E$16+1,1))</f>
        <v>646.50767193970182</v>
      </c>
      <c r="FK89" s="62">
        <f t="shared" si="102"/>
        <v>297.06786598620607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29.365648440640062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29.365648440640062</v>
      </c>
      <c r="FU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8.2910000000000021</v>
      </c>
      <c r="FZ89" s="13">
        <f>IF('Données projet'!$A$244&gt;35,FZ88+FY89-GH88,IF(A89&lt;'Données projet'!$A$244,$FW$205^A89,IF(A89='Données projet'!$A$244,'Données projet'!$B$244,FZ88+FY89-GH88)))</f>
        <v>280.46200000000027</v>
      </c>
      <c r="GA89" s="18">
        <f>FZ89*VLOOKUP('Données projet'!$B$17,Paramètres!$A$1:$I$89,3,0)*VLOOKUP('Données projet'!$B$17,Paramètres!$A$1:$I$89,5,0)</f>
        <v>188.13390960000018</v>
      </c>
      <c r="GB89" s="14">
        <f t="shared" si="103"/>
        <v>47.12715006437692</v>
      </c>
      <c r="GC89" s="22">
        <f t="shared" si="79"/>
        <v>409.74634558212347</v>
      </c>
      <c r="GD89" s="62">
        <f t="shared" si="80"/>
        <v>703.07967891545673</v>
      </c>
      <c r="GE89" s="62">
        <f ca="1">AVERAGE(OFFSET($GD$3,0,0,'Données projet'!$E$17+1,1))-AVERAGE(OFFSET($H$3,0,0,'Données projet'!$E$17+1,1))</f>
        <v>442.85175349826028</v>
      </c>
      <c r="GF89" s="62">
        <f t="shared" si="104"/>
        <v>210.70697808232501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23.944297959291124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23.944297959291124</v>
      </c>
      <c r="GP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5.8</v>
      </c>
      <c r="GU89" s="13">
        <f>IF('Données projet'!$A$270&gt;35,GU88+GT89-HC88,IF(A89&lt;'Données projet'!$A$270,$GR$205^A89,IF(A89='Données projet'!$A$270,'Données projet'!$B$270,GU88+GT89-HC88)))</f>
        <v>259.8</v>
      </c>
      <c r="GV89" s="18">
        <f>GU89*VLOOKUP('Données projet'!$B$18,Paramètres!$A$1:$I$89,3,0)*VLOOKUP('Données projet'!$B$18,Paramètres!$A$1:$I$89,5,0)</f>
        <v>247.22568000000001</v>
      </c>
      <c r="GW89" s="14">
        <f t="shared" si="105"/>
        <v>59.991476692987675</v>
      </c>
      <c r="GX89" s="22">
        <f t="shared" si="82"/>
        <v>535.06988124028692</v>
      </c>
      <c r="GY89" s="62">
        <f t="shared" si="83"/>
        <v>828.40321457362029</v>
      </c>
      <c r="GZ89" s="62">
        <f ca="1">AVERAGE(OFFSET($GY$3,0,0,'Données projet'!$E$18+1,1))-AVERAGE(OFFSET($H$3,0,0,'Données projet'!$E$18+1,1))</f>
        <v>420.2510366318939</v>
      </c>
      <c r="HA89" s="62">
        <f t="shared" si="106"/>
        <v>220.59884411514116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38.700026391544043</v>
      </c>
      <c r="HH89" s="23">
        <f>EXP(-LN(2)/25)*HH88+(1-EXP(-LN(2)/25))/(LN(2)/25)*Calculateur!HC89*Calculateur!HE89*VLOOKUP('Données projet'!$B$18,Paramètres!$A$1:$I$89,3,0)*0.475*44/12</f>
        <v>0</v>
      </c>
      <c r="HI89" s="23">
        <f>EXP(-LN(2)/2)*HI88+(1-EXP(-LN(2)/2))/(LN(2)/2)*HC89*HF89*VLOOKUP('Données projet'!$B$18,Paramètres!$A$1:$I$89,3,0)*0.475*44/12</f>
        <v>0</v>
      </c>
      <c r="HJ89" s="24">
        <f t="shared" si="84"/>
        <v>38.700026391544043</v>
      </c>
    </row>
    <row r="90" spans="1:218" s="5" customFormat="1" x14ac:dyDescent="0.2">
      <c r="A90" s="11">
        <f t="shared" si="85"/>
        <v>87</v>
      </c>
      <c r="B90" s="74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11.25925925925926</v>
      </c>
      <c r="N90" s="14">
        <f>IF('Données projet'!$A$36&gt;35,N89+M90-V89,IF(A90&lt;'Données projet'!$A$36,$K$205^A90,IF(A90='Données projet'!$A$36,'Données projet'!$B$36,N89+M90-V89)))</f>
        <v>671.22222222222183</v>
      </c>
      <c r="O90" s="14">
        <f>N90*VLOOKUP('Données projet'!$B$9,Paramètres!$A$1:$I$89,3,0)*VLOOKUP('Données projet'!$B$9,Paramètres!$A$1:$I$89,5,0)</f>
        <v>575.90866666666636</v>
      </c>
      <c r="P90" s="14">
        <f t="shared" si="87"/>
        <v>126.64863643816666</v>
      </c>
      <c r="Q90" s="22">
        <f t="shared" si="54"/>
        <v>1223.6206362409175</v>
      </c>
      <c r="R90" s="62">
        <f t="shared" si="55"/>
        <v>1516.9539695742508</v>
      </c>
      <c r="S90" s="62">
        <f ca="1">AVERAGE(OFFSET($R$3,0,0,'Données projet'!$E$9+1,1))-AVERAGE(OFFSET($H$3,0,0,'Données projet'!$E$9+1,1))</f>
        <v>623.31285537237943</v>
      </c>
      <c r="T90" s="62">
        <f t="shared" si="88"/>
        <v>462.33909258902241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63.079507495607274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63.079507495607274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projet'!$B$10,Paramètres!$A$1:$I$89,3,0)*VLOOKUP('Données projet'!$B$10,Paramètres!$A$1:$I$89,5,0)</f>
        <v>4.9658410716801891E-14</v>
      </c>
      <c r="AK90" s="14">
        <f t="shared" si="89"/>
        <v>8.0934058173791862E-13</v>
      </c>
      <c r="AL90" s="22">
        <f t="shared" si="58"/>
        <v>1.4960899118586383E-12</v>
      </c>
      <c r="AM90" s="62">
        <f t="shared" si="59"/>
        <v>293.33333333333479</v>
      </c>
      <c r="AN90" s="62">
        <f ca="1">AVERAGE(OFFSET($AM$3,0,0,'Données projet'!$E$10+1,1))-AVERAGE(OFFSET($H$3,0,0,'Données projet'!$E$10+1,1))</f>
        <v>390.70479111593545</v>
      </c>
      <c r="AO90" s="62">
        <f t="shared" si="90"/>
        <v>374.99493809709708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143.36761946881151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143.36761946881151</v>
      </c>
      <c r="AY90" s="7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5.6843418860808015E-14</v>
      </c>
      <c r="BE90" s="14">
        <f>BD90*VLOOKUP('Données projet'!$B$11,Paramètres!$A$1:$I$89,3,0)*VLOOKUP('Données projet'!$B$11,Paramètres!$A$1:$I$89,5,0)</f>
        <v>4.5224624045658861E-14</v>
      </c>
      <c r="BF90" s="14">
        <f t="shared" si="91"/>
        <v>7.4514601661523691E-13</v>
      </c>
      <c r="BG90" s="22">
        <f t="shared" si="61"/>
        <v>1.3765621991510601E-12</v>
      </c>
      <c r="BH90" s="62">
        <f t="shared" si="62"/>
        <v>293.33333333333468</v>
      </c>
      <c r="BI90" s="62">
        <f ca="1">AVERAGE(OFFSET($BH$3,0,0,'Données projet'!$E$11+1,1))-AVERAGE(OFFSET($H$3,0,0,'Données projet'!$E$11+1,1))</f>
        <v>359.18294335011535</v>
      </c>
      <c r="BJ90" s="62">
        <f t="shared" si="92"/>
        <v>345.47508134331241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130.56693915909617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130.56693915909617</v>
      </c>
      <c r="BT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5.6843418860808015E-14</v>
      </c>
      <c r="BZ90" s="14">
        <f>BY90*VLOOKUP('Données projet'!$B$12,Paramètres!$A$1:$I$89,3,0)*VLOOKUP('Données projet'!$B$12,Paramètres!$A$1:$I$89,5,0)</f>
        <v>4.1677594708744434E-14</v>
      </c>
      <c r="CA90" s="14">
        <f t="shared" si="93"/>
        <v>6.9326303456159188E-13</v>
      </c>
      <c r="CB90" s="22">
        <f t="shared" si="64"/>
        <v>1.2800215959791691E-12</v>
      </c>
      <c r="CC90" s="62">
        <f t="shared" si="65"/>
        <v>293.33333333333462</v>
      </c>
      <c r="CD90" s="62">
        <f ca="1">AVERAGE(OFFSET($CC$3,0,0,'Données projet'!$E$12+1,1))-AVERAGE(OFFSET($H$3,0,0,'Données projet'!$E$12+1,1))</f>
        <v>333.9187211440219</v>
      </c>
      <c r="CE90" s="62">
        <f t="shared" si="94"/>
        <v>321.81422611044997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97.623301531828844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97.623301531828844</v>
      </c>
      <c r="CO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5.6843418860808015E-14</v>
      </c>
      <c r="CU90" s="18">
        <f>CT90*VLOOKUP('Données projet'!$B$13,Paramètres!$A$1:$I$89,3,0)*VLOOKUP('Données projet'!$B$13,Paramètres!$A$1:$I$89,5,0)</f>
        <v>4.6111381379887463E-14</v>
      </c>
      <c r="CV90" s="14">
        <f t="shared" si="95"/>
        <v>7.5804141040779151E-13</v>
      </c>
      <c r="CW90" s="22">
        <f t="shared" si="67"/>
        <v>1.4005661123635408E-12</v>
      </c>
      <c r="CX90" s="62">
        <f t="shared" si="68"/>
        <v>293.33333333333474</v>
      </c>
      <c r="CY90" s="62">
        <f ca="1">AVERAGE(OFFSET($CX$3,0,0,'Données projet'!$E$13+1,1))-AVERAGE(OFFSET($H$3,0,0,'Données projet'!$E$13+1,1))</f>
        <v>365.492319515595</v>
      </c>
      <c r="CZ90" s="62">
        <f t="shared" si="96"/>
        <v>351.38386928091433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108.00875914159786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108.00875914159786</v>
      </c>
      <c r="DJ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8.2910000000000021</v>
      </c>
      <c r="DO90" s="13">
        <f>IF('Données projet'!$A$166&gt;35,DO89+DN90-DW89,IF(A90&lt;'Données projet'!$A$166,$DL$205^A90,IF(A90='Données projet'!$A$166,'Données projet'!$B$166,DO89+DN90-DW89)))</f>
        <v>288.75300000000027</v>
      </c>
      <c r="DP90" s="18">
        <f>DO90*VLOOKUP('Données projet'!$B$14,Paramètres!$A$1:$I$89,3,0)*VLOOKUP('Données projet'!$B$14,Paramètres!$A$1:$I$89,5,0)</f>
        <v>243.24552720000025</v>
      </c>
      <c r="DQ90" s="14">
        <f t="shared" si="97"/>
        <v>59.137274632432188</v>
      </c>
      <c r="DR90" s="22">
        <f t="shared" si="70"/>
        <v>526.6500465248198</v>
      </c>
      <c r="DS90" s="62">
        <f t="shared" si="71"/>
        <v>819.98337985815306</v>
      </c>
      <c r="DT90" s="62">
        <f ca="1">AVERAGE(OFFSET($DS$3,0,0,'Données projet'!$E$14+1,1))-AVERAGE(OFFSET($H$3,0,0,'Données projet'!$E$14+1,1))</f>
        <v>544.89250424794909</v>
      </c>
      <c r="DU90" s="62">
        <f t="shared" si="98"/>
        <v>253.98688498110715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23.917684972981348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23.917684972981348</v>
      </c>
      <c r="EE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8.2910000000000021</v>
      </c>
      <c r="EJ90" s="13">
        <f>IF('Données projet'!$A$192&gt;35,EJ89+EI90-ER89,IF(A90&lt;'Données projet'!$A$192,$EG$205^A90,IF(A90='Données projet'!$A$192,'Données projet'!$B$192,EJ89+EI90-ER89)))</f>
        <v>288.75300000000027</v>
      </c>
      <c r="EK90" s="18">
        <f>EJ90*VLOOKUP('Données projet'!$B$15,Paramètres!$A$1:$I$89,3,0)*VLOOKUP('Données projet'!$B$15,Paramètres!$A$1:$I$89,5,0)</f>
        <v>261.26371440000025</v>
      </c>
      <c r="EL90" s="14">
        <f t="shared" si="99"/>
        <v>62.991674736313257</v>
      </c>
      <c r="EM90" s="22">
        <f t="shared" si="73"/>
        <v>564.74480274574603</v>
      </c>
      <c r="EN90" s="62">
        <f t="shared" si="74"/>
        <v>858.07813607907929</v>
      </c>
      <c r="EO90" s="62">
        <f ca="1">AVERAGE(OFFSET($EN$3,0,0,'Données projet'!$E$15+1,1))-AVERAGE(OFFSET($H$3,0,0,'Données projet'!$E$15+1,1))</f>
        <v>581.88778927327667</v>
      </c>
      <c r="EP90" s="62">
        <f t="shared" si="100"/>
        <v>269.67340993773422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25.689365341350342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25.689365341350342</v>
      </c>
      <c r="EZ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8.2910000000000021</v>
      </c>
      <c r="FE90" s="13">
        <f>IF('Données projet'!$A$218&gt;35,FE89+FD90-FM89,IF(A90&lt;'Données projet'!$A$218,$FB$205^A90,IF(A90='Données projet'!$A$218,'Données projet'!$B$218,FE89+FD90-FM89)))</f>
        <v>288.75300000000027</v>
      </c>
      <c r="FF90" s="18">
        <f>FE90*VLOOKUP('Données projet'!$B$16,Paramètres!$A$1:$I$89,3,0)*VLOOKUP('Données projet'!$B$16,Paramètres!$A$1:$I$89,5,0)</f>
        <v>292.7955420000003</v>
      </c>
      <c r="FG90" s="14">
        <f t="shared" si="101"/>
        <v>69.664002307656872</v>
      </c>
      <c r="FH90" s="22">
        <f t="shared" si="76"/>
        <v>631.2837063358362</v>
      </c>
      <c r="FI90" s="62">
        <f t="shared" si="77"/>
        <v>924.61703966916957</v>
      </c>
      <c r="FJ90" s="62">
        <f ca="1">AVERAGE(OFFSET($FI$3,0,0,'Données projet'!$E$16+1,1))-AVERAGE(OFFSET($H$3,0,0,'Données projet'!$E$16+1,1))</f>
        <v>646.50767193970182</v>
      </c>
      <c r="FK90" s="62">
        <f t="shared" si="102"/>
        <v>297.06786598620607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28.789805985996068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28.789805985996068</v>
      </c>
      <c r="FU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8.2910000000000021</v>
      </c>
      <c r="FZ90" s="13">
        <f>IF('Données projet'!$A$244&gt;35,FZ89+FY90-GH89,IF(A90&lt;'Données projet'!$A$244,$FW$205^A90,IF(A90='Données projet'!$A$244,'Données projet'!$B$244,FZ89+FY90-GH89)))</f>
        <v>288.75300000000027</v>
      </c>
      <c r="GA90" s="18">
        <f>FZ90*VLOOKUP('Données projet'!$B$17,Paramètres!$A$1:$I$89,3,0)*VLOOKUP('Données projet'!$B$17,Paramètres!$A$1:$I$89,5,0)</f>
        <v>193.69551240000018</v>
      </c>
      <c r="GB90" s="14">
        <f t="shared" si="103"/>
        <v>48.356059931736581</v>
      </c>
      <c r="GC90" s="22">
        <f t="shared" si="79"/>
        <v>421.5731551444415</v>
      </c>
      <c r="GD90" s="62">
        <f t="shared" si="80"/>
        <v>714.90648847777481</v>
      </c>
      <c r="GE90" s="62">
        <f ca="1">AVERAGE(OFFSET($GD$3,0,0,'Données projet'!$E$17+1,1))-AVERAGE(OFFSET($H$3,0,0,'Données projet'!$E$17+1,1))</f>
        <v>442.85175349826028</v>
      </c>
      <c r="GF90" s="62">
        <f t="shared" si="104"/>
        <v>210.70697808232501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23.474764880889097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23.474764880889097</v>
      </c>
      <c r="GP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5.8</v>
      </c>
      <c r="GU90" s="13">
        <f>IF('Données projet'!$A$270&gt;35,GU89+GT90-HC89,IF(A90&lt;'Données projet'!$A$270,$GR$205^A90,IF(A90='Données projet'!$A$270,'Données projet'!$B$270,GU89+GT90-HC89)))</f>
        <v>265.60000000000002</v>
      </c>
      <c r="GV90" s="18">
        <f>GU90*VLOOKUP('Données projet'!$B$18,Paramètres!$A$1:$I$89,3,0)*VLOOKUP('Données projet'!$B$18,Paramètres!$A$1:$I$89,5,0)</f>
        <v>252.74496000000005</v>
      </c>
      <c r="GW90" s="14">
        <f t="shared" si="105"/>
        <v>61.173358634109022</v>
      </c>
      <c r="GX90" s="22">
        <f t="shared" si="82"/>
        <v>546.74107162107327</v>
      </c>
      <c r="GY90" s="62">
        <f t="shared" si="83"/>
        <v>840.07440495440665</v>
      </c>
      <c r="GZ90" s="62">
        <f ca="1">AVERAGE(OFFSET($GY$3,0,0,'Données projet'!$E$18+1,1))-AVERAGE(OFFSET($H$3,0,0,'Données projet'!$E$18+1,1))</f>
        <v>420.2510366318939</v>
      </c>
      <c r="HA90" s="62">
        <f t="shared" si="106"/>
        <v>220.59884411514116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37.941142478691191</v>
      </c>
      <c r="HH90" s="23">
        <f>EXP(-LN(2)/25)*HH89+(1-EXP(-LN(2)/25))/(LN(2)/25)*Calculateur!HC90*Calculateur!HE90*VLOOKUP('Données projet'!$B$18,Paramètres!$A$1:$I$89,3,0)*0.475*44/12</f>
        <v>0</v>
      </c>
      <c r="HI90" s="23">
        <f>EXP(-LN(2)/2)*HI89+(1-EXP(-LN(2)/2))/(LN(2)/2)*HC90*HF90*VLOOKUP('Données projet'!$B$18,Paramètres!$A$1:$I$89,3,0)*0.475*44/12</f>
        <v>0</v>
      </c>
      <c r="HJ90" s="24">
        <f t="shared" si="84"/>
        <v>37.941142478691191</v>
      </c>
    </row>
    <row r="91" spans="1:218" s="5" customFormat="1" x14ac:dyDescent="0.2">
      <c r="A91" s="11">
        <f t="shared" si="85"/>
        <v>88</v>
      </c>
      <c r="B91" s="74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11.25925925925926</v>
      </c>
      <c r="N91" s="14">
        <f>IF('Données projet'!$A$36&gt;35,N90+M91-V90,IF(A91&lt;'Données projet'!$A$36,$K$205^A91,IF(A91='Données projet'!$A$36,'Données projet'!$B$36,N90+M91-V90)))</f>
        <v>682.48148148148107</v>
      </c>
      <c r="O91" s="14">
        <f>N91*VLOOKUP('Données projet'!$B$9,Paramètres!$A$1:$I$89,3,0)*VLOOKUP('Données projet'!$B$9,Paramètres!$A$1:$I$89,5,0)</f>
        <v>585.56911111111083</v>
      </c>
      <c r="P91" s="14">
        <f t="shared" si="87"/>
        <v>128.52396838591963</v>
      </c>
      <c r="Q91" s="22">
        <f t="shared" si="54"/>
        <v>1243.7121134573279</v>
      </c>
      <c r="R91" s="62">
        <f t="shared" si="55"/>
        <v>1537.0454467906611</v>
      </c>
      <c r="S91" s="62">
        <f ca="1">AVERAGE(OFFSET($R$3,0,0,'Données projet'!$E$9+1,1))-AVERAGE(OFFSET($H$3,0,0,'Données projet'!$E$9+1,1))</f>
        <v>623.31285537237943</v>
      </c>
      <c r="T91" s="62">
        <f t="shared" si="88"/>
        <v>462.33909258902241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61.842556828318926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61.842556828318926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projet'!$B$10,Paramètres!$A$1:$I$89,3,0)*VLOOKUP('Données projet'!$B$10,Paramètres!$A$1:$I$89,5,0)</f>
        <v>4.9658410716801891E-14</v>
      </c>
      <c r="AK91" s="14">
        <f t="shared" si="89"/>
        <v>8.0934058173791862E-13</v>
      </c>
      <c r="AL91" s="22">
        <f t="shared" si="58"/>
        <v>1.4960899118586383E-12</v>
      </c>
      <c r="AM91" s="62">
        <f t="shared" si="59"/>
        <v>293.33333333333479</v>
      </c>
      <c r="AN91" s="62">
        <f ca="1">AVERAGE(OFFSET($AM$3,0,0,'Données projet'!$E$10+1,1))-AVERAGE(OFFSET($H$3,0,0,'Données projet'!$E$10+1,1))</f>
        <v>390.70479111593545</v>
      </c>
      <c r="AO91" s="62">
        <f t="shared" si="90"/>
        <v>374.99493809709708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140.55626789664146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140.55626789664146</v>
      </c>
      <c r="AY91" s="7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5.6843418860808015E-14</v>
      </c>
      <c r="BE91" s="14">
        <f>BD91*VLOOKUP('Données projet'!$B$11,Paramètres!$A$1:$I$89,3,0)*VLOOKUP('Données projet'!$B$11,Paramètres!$A$1:$I$89,5,0)</f>
        <v>4.5224624045658861E-14</v>
      </c>
      <c r="BF91" s="14">
        <f t="shared" si="91"/>
        <v>7.4514601661523691E-13</v>
      </c>
      <c r="BG91" s="22">
        <f t="shared" si="61"/>
        <v>1.3765621991510601E-12</v>
      </c>
      <c r="BH91" s="62">
        <f t="shared" si="62"/>
        <v>293.33333333333468</v>
      </c>
      <c r="BI91" s="62">
        <f ca="1">AVERAGE(OFFSET($BH$3,0,0,'Données projet'!$E$11+1,1))-AVERAGE(OFFSET($H$3,0,0,'Données projet'!$E$11+1,1))</f>
        <v>359.18294335011535</v>
      </c>
      <c r="BJ91" s="62">
        <f t="shared" si="92"/>
        <v>345.47508134331241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128.00660112015558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128.00660112015558</v>
      </c>
      <c r="BT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5.6843418860808015E-14</v>
      </c>
      <c r="BZ91" s="14">
        <f>BY91*VLOOKUP('Données projet'!$B$12,Paramètres!$A$1:$I$89,3,0)*VLOOKUP('Données projet'!$B$12,Paramètres!$A$1:$I$89,5,0)</f>
        <v>4.1677594708744434E-14</v>
      </c>
      <c r="CA91" s="14">
        <f t="shared" si="93"/>
        <v>6.9326303456159188E-13</v>
      </c>
      <c r="CB91" s="22">
        <f t="shared" si="64"/>
        <v>1.2800215959791691E-12</v>
      </c>
      <c r="CC91" s="62">
        <f t="shared" si="65"/>
        <v>293.33333333333462</v>
      </c>
      <c r="CD91" s="62">
        <f ca="1">AVERAGE(OFFSET($CC$3,0,0,'Données projet'!$E$12+1,1))-AVERAGE(OFFSET($H$3,0,0,'Données projet'!$E$12+1,1))</f>
        <v>333.9187211440219</v>
      </c>
      <c r="CE91" s="62">
        <f t="shared" si="94"/>
        <v>321.81422611044997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95.708968133124102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95.708968133124102</v>
      </c>
      <c r="CO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5.6843418860808015E-14</v>
      </c>
      <c r="CU91" s="18">
        <f>CT91*VLOOKUP('Données projet'!$B$13,Paramètres!$A$1:$I$89,3,0)*VLOOKUP('Données projet'!$B$13,Paramètres!$A$1:$I$89,5,0)</f>
        <v>4.6111381379887463E-14</v>
      </c>
      <c r="CV91" s="14">
        <f t="shared" si="95"/>
        <v>7.5804141040779151E-13</v>
      </c>
      <c r="CW91" s="22">
        <f t="shared" si="67"/>
        <v>1.4005661123635408E-12</v>
      </c>
      <c r="CX91" s="62">
        <f t="shared" si="68"/>
        <v>293.33333333333474</v>
      </c>
      <c r="CY91" s="62">
        <f ca="1">AVERAGE(OFFSET($CX$3,0,0,'Données projet'!$E$13+1,1))-AVERAGE(OFFSET($H$3,0,0,'Données projet'!$E$13+1,1))</f>
        <v>365.492319515595</v>
      </c>
      <c r="CZ91" s="62">
        <f t="shared" si="96"/>
        <v>351.38386928091433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105.89077325366921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105.89077325366921</v>
      </c>
      <c r="DJ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8.2910000000000021</v>
      </c>
      <c r="DO91" s="13">
        <f>IF('Données projet'!$A$166&gt;35,DO90+DN91-DW90,IF(A91&lt;'Données projet'!$A$166,$DL$205^A91,IF(A91='Données projet'!$A$166,'Données projet'!$B$166,DO90+DN91-DW90)))</f>
        <v>297.04400000000027</v>
      </c>
      <c r="DP91" s="18">
        <f>DO91*VLOOKUP('Données projet'!$B$14,Paramètres!$A$1:$I$89,3,0)*VLOOKUP('Données projet'!$B$14,Paramètres!$A$1:$I$89,5,0)</f>
        <v>250.22986560000024</v>
      </c>
      <c r="DQ91" s="14">
        <f t="shared" si="97"/>
        <v>60.635160477842057</v>
      </c>
      <c r="DR91" s="22">
        <f t="shared" si="70"/>
        <v>541.42325375224198</v>
      </c>
      <c r="DS91" s="62">
        <f t="shared" si="71"/>
        <v>834.75658708557535</v>
      </c>
      <c r="DT91" s="62">
        <f ca="1">AVERAGE(OFFSET($DS$3,0,0,'Données projet'!$E$14+1,1))-AVERAGE(OFFSET($H$3,0,0,'Données projet'!$E$14+1,1))</f>
        <v>544.89250424794909</v>
      </c>
      <c r="DU91" s="62">
        <f t="shared" si="98"/>
        <v>253.98688498110715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23.448673759008539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23.448673759008539</v>
      </c>
      <c r="EE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8.2910000000000021</v>
      </c>
      <c r="EJ91" s="13">
        <f>IF('Données projet'!$A$192&gt;35,EJ90+EI91-ER90,IF(A91&lt;'Données projet'!$A$192,$EG$205^A91,IF(A91='Données projet'!$A$192,'Données projet'!$B$192,EJ90+EI91-ER90)))</f>
        <v>297.04400000000027</v>
      </c>
      <c r="EK91" s="18">
        <f>EJ91*VLOOKUP('Données projet'!$B$15,Paramètres!$A$1:$I$89,3,0)*VLOOKUP('Données projet'!$B$15,Paramètres!$A$1:$I$89,5,0)</f>
        <v>268.76541120000024</v>
      </c>
      <c r="EL91" s="14">
        <f t="shared" si="99"/>
        <v>64.587188539623412</v>
      </c>
      <c r="EM91" s="22">
        <f t="shared" si="73"/>
        <v>580.58911121317794</v>
      </c>
      <c r="EN91" s="62">
        <f t="shared" si="74"/>
        <v>873.92244454651131</v>
      </c>
      <c r="EO91" s="62">
        <f ca="1">AVERAGE(OFFSET($EN$3,0,0,'Données projet'!$E$15+1,1))-AVERAGE(OFFSET($H$3,0,0,'Données projet'!$E$15+1,1))</f>
        <v>581.88778927327667</v>
      </c>
      <c r="EP91" s="62">
        <f t="shared" si="100"/>
        <v>269.67340993773422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25.185612555972138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25.185612555972138</v>
      </c>
      <c r="EZ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8.2910000000000021</v>
      </c>
      <c r="FE91" s="13">
        <f>IF('Données projet'!$A$218&gt;35,FE90+FD91-FM90,IF(A91&lt;'Données projet'!$A$218,$FB$205^A91,IF(A91='Données projet'!$A$218,'Données projet'!$B$218,FE90+FD91-FM90)))</f>
        <v>297.04400000000027</v>
      </c>
      <c r="FF91" s="18">
        <f>FE91*VLOOKUP('Données projet'!$B$16,Paramètres!$A$1:$I$89,3,0)*VLOOKUP('Données projet'!$B$16,Paramètres!$A$1:$I$89,5,0)</f>
        <v>301.20261600000032</v>
      </c>
      <c r="FG91" s="14">
        <f t="shared" si="101"/>
        <v>71.428519249633297</v>
      </c>
      <c r="FH91" s="22">
        <f t="shared" si="76"/>
        <v>648.99922722644521</v>
      </c>
      <c r="FI91" s="62">
        <f t="shared" si="77"/>
        <v>942.33256055977859</v>
      </c>
      <c r="FJ91" s="62">
        <f ca="1">AVERAGE(OFFSET($FI$3,0,0,'Données projet'!$E$16+1,1))-AVERAGE(OFFSET($H$3,0,0,'Données projet'!$E$16+1,1))</f>
        <v>646.50767193970182</v>
      </c>
      <c r="FK91" s="62">
        <f t="shared" si="102"/>
        <v>297.06786598620607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28.225255450658427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28.225255450658427</v>
      </c>
      <c r="FU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8.2910000000000021</v>
      </c>
      <c r="FZ91" s="13">
        <f>IF('Données projet'!$A$244&gt;35,FZ90+FY91-GH90,IF(A91&lt;'Données projet'!$A$244,$FW$205^A91,IF(A91='Données projet'!$A$244,'Données projet'!$B$244,FZ90+FY91-GH90)))</f>
        <v>297.04400000000027</v>
      </c>
      <c r="GA91" s="18">
        <f>FZ91*VLOOKUP('Données projet'!$B$17,Paramètres!$A$1:$I$89,3,0)*VLOOKUP('Données projet'!$B$17,Paramètres!$A$1:$I$89,5,0)</f>
        <v>199.25711520000019</v>
      </c>
      <c r="GB91" s="14">
        <f t="shared" si="103"/>
        <v>49.580868788109186</v>
      </c>
      <c r="GC91" s="22">
        <f t="shared" si="79"/>
        <v>433.39282211262383</v>
      </c>
      <c r="GD91" s="62">
        <f t="shared" si="80"/>
        <v>726.72615544595715</v>
      </c>
      <c r="GE91" s="62">
        <f ca="1">AVERAGE(OFFSET($GD$3,0,0,'Données projet'!$E$17+1,1))-AVERAGE(OFFSET($H$3,0,0,'Données projet'!$E$17+1,1))</f>
        <v>442.85175349826028</v>
      </c>
      <c r="GF91" s="62">
        <f t="shared" si="104"/>
        <v>210.70697808232501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23.014439059767636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23.014439059767636</v>
      </c>
      <c r="GP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5.8</v>
      </c>
      <c r="GU91" s="13">
        <f>IF('Données projet'!$A$270&gt;35,GU90+GT91-HC90,IF(A91&lt;'Données projet'!$A$270,$GR$205^A91,IF(A91='Données projet'!$A$270,'Données projet'!$B$270,GU90+GT91-HC90)))</f>
        <v>271.40000000000003</v>
      </c>
      <c r="GV91" s="18">
        <f>GU91*VLOOKUP('Données projet'!$B$18,Paramètres!$A$1:$I$89,3,0)*VLOOKUP('Données projet'!$B$18,Paramètres!$A$1:$I$89,5,0)</f>
        <v>258.26424000000003</v>
      </c>
      <c r="GW91" s="14">
        <f t="shared" si="105"/>
        <v>62.352239950788103</v>
      </c>
      <c r="GX91" s="22">
        <f t="shared" si="82"/>
        <v>558.40703591428928</v>
      </c>
      <c r="GY91" s="62">
        <f t="shared" si="83"/>
        <v>851.74036924762254</v>
      </c>
      <c r="GZ91" s="62">
        <f ca="1">AVERAGE(OFFSET($GY$3,0,0,'Données projet'!$E$18+1,1))-AVERAGE(OFFSET($H$3,0,0,'Données projet'!$E$18+1,1))</f>
        <v>420.2510366318939</v>
      </c>
      <c r="HA91" s="62">
        <f t="shared" si="106"/>
        <v>220.59884411514116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37.197139816495906</v>
      </c>
      <c r="HH91" s="23">
        <f>EXP(-LN(2)/25)*HH90+(1-EXP(-LN(2)/25))/(LN(2)/25)*Calculateur!HC91*Calculateur!HE91*VLOOKUP('Données projet'!$B$18,Paramètres!$A$1:$I$89,3,0)*0.475*44/12</f>
        <v>0</v>
      </c>
      <c r="HI91" s="23">
        <f>EXP(-LN(2)/2)*HI90+(1-EXP(-LN(2)/2))/(LN(2)/2)*HC91*HF91*VLOOKUP('Données projet'!$B$18,Paramètres!$A$1:$I$89,3,0)*0.475*44/12</f>
        <v>0</v>
      </c>
      <c r="HJ91" s="24">
        <f t="shared" si="84"/>
        <v>37.197139816495906</v>
      </c>
    </row>
    <row r="92" spans="1:218" s="5" customFormat="1" x14ac:dyDescent="0.2">
      <c r="A92" s="11">
        <f t="shared" si="85"/>
        <v>89</v>
      </c>
      <c r="B92" s="74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11.25925925925926</v>
      </c>
      <c r="N92" s="14">
        <f>IF('Données projet'!$A$36&gt;35,N91+M92-V91,IF(A92&lt;'Données projet'!$A$36,$K$205^A92,IF(A92='Données projet'!$A$36,'Données projet'!$B$36,N91+M92-V91)))</f>
        <v>693.74074074074031</v>
      </c>
      <c r="O92" s="14">
        <f>N92*VLOOKUP('Données projet'!$B$9,Paramètres!$A$1:$I$89,3,0)*VLOOKUP('Données projet'!$B$9,Paramètres!$A$1:$I$89,5,0)</f>
        <v>595.22955555555529</v>
      </c>
      <c r="P92" s="14">
        <f t="shared" si="87"/>
        <v>130.39570239310595</v>
      </c>
      <c r="Q92" s="22">
        <f t="shared" si="54"/>
        <v>1263.7973242605849</v>
      </c>
      <c r="R92" s="62">
        <f t="shared" si="55"/>
        <v>1557.1306575939182</v>
      </c>
      <c r="S92" s="62">
        <f ca="1">AVERAGE(OFFSET($R$3,0,0,'Données projet'!$E$9+1,1))-AVERAGE(OFFSET($H$3,0,0,'Données projet'!$E$9+1,1))</f>
        <v>623.31285537237943</v>
      </c>
      <c r="T92" s="62">
        <f t="shared" si="88"/>
        <v>462.33909258902241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60.629862009150692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60.629862009150692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projet'!$B$10,Paramètres!$A$1:$I$89,3,0)*VLOOKUP('Données projet'!$B$10,Paramètres!$A$1:$I$89,5,0)</f>
        <v>4.9658410716801891E-14</v>
      </c>
      <c r="AK92" s="14">
        <f t="shared" si="89"/>
        <v>8.0934058173791862E-13</v>
      </c>
      <c r="AL92" s="22">
        <f t="shared" si="58"/>
        <v>1.4960899118586383E-12</v>
      </c>
      <c r="AM92" s="62">
        <f t="shared" si="59"/>
        <v>293.33333333333479</v>
      </c>
      <c r="AN92" s="62">
        <f ca="1">AVERAGE(OFFSET($AM$3,0,0,'Données projet'!$E$10+1,1))-AVERAGE(OFFSET($H$3,0,0,'Données projet'!$E$10+1,1))</f>
        <v>390.70479111593545</v>
      </c>
      <c r="AO92" s="62">
        <f t="shared" si="90"/>
        <v>374.99493809709708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137.80004521404652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137.80004521404652</v>
      </c>
      <c r="AY92" s="7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5.6843418860808015E-14</v>
      </c>
      <c r="BE92" s="14">
        <f>BD92*VLOOKUP('Données projet'!$B$11,Paramètres!$A$1:$I$89,3,0)*VLOOKUP('Données projet'!$B$11,Paramètres!$A$1:$I$89,5,0)</f>
        <v>4.5224624045658861E-14</v>
      </c>
      <c r="BF92" s="14">
        <f t="shared" si="91"/>
        <v>7.4514601661523691E-13</v>
      </c>
      <c r="BG92" s="22">
        <f t="shared" si="61"/>
        <v>1.3765621991510601E-12</v>
      </c>
      <c r="BH92" s="62">
        <f t="shared" si="62"/>
        <v>293.33333333333468</v>
      </c>
      <c r="BI92" s="62">
        <f ca="1">AVERAGE(OFFSET($BH$3,0,0,'Données projet'!$E$11+1,1))-AVERAGE(OFFSET($H$3,0,0,'Données projet'!$E$11+1,1))</f>
        <v>359.18294335011535</v>
      </c>
      <c r="BJ92" s="62">
        <f t="shared" si="92"/>
        <v>345.47508134331241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125.49646974850661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125.49646974850661</v>
      </c>
      <c r="BT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5.6843418860808015E-14</v>
      </c>
      <c r="BZ92" s="14">
        <f>BY92*VLOOKUP('Données projet'!$B$12,Paramètres!$A$1:$I$89,3,0)*VLOOKUP('Données projet'!$B$12,Paramètres!$A$1:$I$89,5,0)</f>
        <v>4.1677594708744434E-14</v>
      </c>
      <c r="CA92" s="14">
        <f t="shared" si="93"/>
        <v>6.9326303456159188E-13</v>
      </c>
      <c r="CB92" s="22">
        <f t="shared" si="64"/>
        <v>1.2800215959791691E-12</v>
      </c>
      <c r="CC92" s="62">
        <f t="shared" si="65"/>
        <v>293.33333333333462</v>
      </c>
      <c r="CD92" s="62">
        <f ca="1">AVERAGE(OFFSET($CC$3,0,0,'Données projet'!$E$12+1,1))-AVERAGE(OFFSET($H$3,0,0,'Données projet'!$E$12+1,1))</f>
        <v>333.9187211440219</v>
      </c>
      <c r="CE92" s="62">
        <f t="shared" si="94"/>
        <v>321.81422611044997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93.832173644739882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93.832173644739882</v>
      </c>
      <c r="CO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5.6843418860808015E-14</v>
      </c>
      <c r="CU92" s="18">
        <f>CT92*VLOOKUP('Données projet'!$B$13,Paramètres!$A$1:$I$89,3,0)*VLOOKUP('Données projet'!$B$13,Paramètres!$A$1:$I$89,5,0)</f>
        <v>4.6111381379887463E-14</v>
      </c>
      <c r="CV92" s="14">
        <f t="shared" si="95"/>
        <v>7.5804141040779151E-13</v>
      </c>
      <c r="CW92" s="22">
        <f t="shared" si="67"/>
        <v>1.4005661123635408E-12</v>
      </c>
      <c r="CX92" s="62">
        <f t="shared" si="68"/>
        <v>293.33333333333474</v>
      </c>
      <c r="CY92" s="62">
        <f ca="1">AVERAGE(OFFSET($CX$3,0,0,'Données projet'!$E$13+1,1))-AVERAGE(OFFSET($H$3,0,0,'Données projet'!$E$13+1,1))</f>
        <v>365.492319515595</v>
      </c>
      <c r="CZ92" s="62">
        <f t="shared" si="96"/>
        <v>351.38386928091433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103.814319777159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103.814319777159</v>
      </c>
      <c r="DJ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8.2910000000000021</v>
      </c>
      <c r="DO92" s="13">
        <f>IF('Données projet'!$A$166&gt;35,DO91+DN92-DW91,IF(A92&lt;'Données projet'!$A$166,$DL$205^A92,IF(A92='Données projet'!$A$166,'Données projet'!$B$166,DO91+DN92-DW91)))</f>
        <v>305.33500000000026</v>
      </c>
      <c r="DP92" s="18">
        <f>DO92*VLOOKUP('Données projet'!$B$14,Paramètres!$A$1:$I$89,3,0)*VLOOKUP('Données projet'!$B$14,Paramètres!$A$1:$I$89,5,0)</f>
        <v>257.21420400000028</v>
      </c>
      <c r="DQ92" s="14">
        <f t="shared" si="97"/>
        <v>62.128187041116107</v>
      </c>
      <c r="DR92" s="22">
        <f t="shared" si="70"/>
        <v>556.18799772994441</v>
      </c>
      <c r="DS92" s="62">
        <f t="shared" si="71"/>
        <v>849.52133106327778</v>
      </c>
      <c r="DT92" s="62">
        <f ca="1">AVERAGE(OFFSET($DS$3,0,0,'Données projet'!$E$14+1,1))-AVERAGE(OFFSET($H$3,0,0,'Données projet'!$E$14+1,1))</f>
        <v>544.89250424794909</v>
      </c>
      <c r="DU92" s="62">
        <f t="shared" si="98"/>
        <v>253.98688498110715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22.988859568873142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22.988859568873142</v>
      </c>
      <c r="EE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8.2910000000000021</v>
      </c>
      <c r="EJ92" s="13">
        <f>IF('Données projet'!$A$192&gt;35,EJ91+EI92-ER91,IF(A92&lt;'Données projet'!$A$192,$EG$205^A92,IF(A92='Données projet'!$A$192,'Données projet'!$B$192,EJ91+EI92-ER91)))</f>
        <v>305.33500000000026</v>
      </c>
      <c r="EK92" s="18">
        <f>EJ92*VLOOKUP('Données projet'!$B$15,Paramètres!$A$1:$I$89,3,0)*VLOOKUP('Données projet'!$B$15,Paramètres!$A$1:$I$89,5,0)</f>
        <v>276.26710800000023</v>
      </c>
      <c r="EL92" s="14">
        <f t="shared" si="99"/>
        <v>66.177526346547864</v>
      </c>
      <c r="EM92" s="22">
        <f t="shared" si="73"/>
        <v>596.42440482023801</v>
      </c>
      <c r="EN92" s="62">
        <f t="shared" si="74"/>
        <v>889.75773815357138</v>
      </c>
      <c r="EO92" s="62">
        <f ca="1">AVERAGE(OFFSET($EN$3,0,0,'Données projet'!$E$15+1,1))-AVERAGE(OFFSET($H$3,0,0,'Données projet'!$E$15+1,1))</f>
        <v>581.88778927327667</v>
      </c>
      <c r="EP92" s="62">
        <f t="shared" si="100"/>
        <v>269.67340993773422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24.691738055456341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24.691738055456341</v>
      </c>
      <c r="EZ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8.2910000000000021</v>
      </c>
      <c r="FE92" s="13">
        <f>IF('Données projet'!$A$218&gt;35,FE91+FD92-FM91,IF(A92&lt;'Données projet'!$A$218,$FB$205^A92,IF(A92='Données projet'!$A$218,'Données projet'!$B$218,FE91+FD92-FM91)))</f>
        <v>305.33500000000026</v>
      </c>
      <c r="FF92" s="18">
        <f>FE92*VLOOKUP('Données projet'!$B$16,Paramètres!$A$1:$I$89,3,0)*VLOOKUP('Données projet'!$B$16,Paramètres!$A$1:$I$89,5,0)</f>
        <v>309.60969000000028</v>
      </c>
      <c r="FG92" s="14">
        <f t="shared" si="101"/>
        <v>73.187311933195204</v>
      </c>
      <c r="FH92" s="22">
        <f t="shared" si="76"/>
        <v>666.70477836698205</v>
      </c>
      <c r="FI92" s="62">
        <f t="shared" si="77"/>
        <v>960.03811170031531</v>
      </c>
      <c r="FJ92" s="62">
        <f ca="1">AVERAGE(OFFSET($FI$3,0,0,'Données projet'!$E$16+1,1))-AVERAGE(OFFSET($H$3,0,0,'Données projet'!$E$16+1,1))</f>
        <v>646.50767193970182</v>
      </c>
      <c r="FK92" s="62">
        <f t="shared" si="102"/>
        <v>297.06786598620607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27.671775406976931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27.671775406976931</v>
      </c>
      <c r="FU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8.2910000000000021</v>
      </c>
      <c r="FZ92" s="13">
        <f>IF('Données projet'!$A$244&gt;35,FZ91+FY92-GH91,IF(A92&lt;'Données projet'!$A$244,$FW$205^A92,IF(A92='Données projet'!$A$244,'Données projet'!$B$244,FZ91+FY92-GH91)))</f>
        <v>305.33500000000026</v>
      </c>
      <c r="GA92" s="18">
        <f>FZ92*VLOOKUP('Données projet'!$B$17,Paramètres!$A$1:$I$89,3,0)*VLOOKUP('Données projet'!$B$17,Paramètres!$A$1:$I$89,5,0)</f>
        <v>204.81871800000019</v>
      </c>
      <c r="GB92" s="14">
        <f t="shared" si="103"/>
        <v>50.801704249704173</v>
      </c>
      <c r="GC92" s="22">
        <f t="shared" si="79"/>
        <v>445.20556875156836</v>
      </c>
      <c r="GD92" s="62">
        <f t="shared" si="80"/>
        <v>738.53890208490168</v>
      </c>
      <c r="GE92" s="62">
        <f ca="1">AVERAGE(OFFSET($GD$3,0,0,'Données projet'!$E$17+1,1))-AVERAGE(OFFSET($H$3,0,0,'Données projet'!$E$17+1,1))</f>
        <v>442.85175349826028</v>
      </c>
      <c r="GF92" s="62">
        <f t="shared" si="104"/>
        <v>210.70697808232501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22.563139947227338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22.563139947227338</v>
      </c>
      <c r="GP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5.8</v>
      </c>
      <c r="GU92" s="13">
        <f>IF('Données projet'!$A$270&gt;35,GU91+GT92-HC91,IF(A92&lt;'Données projet'!$A$270,$GR$205^A92,IF(A92='Données projet'!$A$270,'Données projet'!$B$270,GU91+GT92-HC91)))</f>
        <v>277.20000000000005</v>
      </c>
      <c r="GV92" s="18">
        <f>GU92*VLOOKUP('Données projet'!$B$18,Paramètres!$A$1:$I$89,3,0)*VLOOKUP('Données projet'!$B$18,Paramètres!$A$1:$I$89,5,0)</f>
        <v>263.78352000000001</v>
      </c>
      <c r="GW92" s="14">
        <f t="shared" si="105"/>
        <v>63.5281921545985</v>
      </c>
      <c r="GX92" s="22">
        <f t="shared" si="82"/>
        <v>570.06789866925908</v>
      </c>
      <c r="GY92" s="62">
        <f t="shared" si="83"/>
        <v>863.40123200259245</v>
      </c>
      <c r="GZ92" s="62">
        <f ca="1">AVERAGE(OFFSET($GY$3,0,0,'Données projet'!$E$18+1,1))-AVERAGE(OFFSET($H$3,0,0,'Données projet'!$E$18+1,1))</f>
        <v>420.2510366318939</v>
      </c>
      <c r="HA92" s="62">
        <f t="shared" si="106"/>
        <v>220.59884411514116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36.467726592709454</v>
      </c>
      <c r="HH92" s="23">
        <f>EXP(-LN(2)/25)*HH91+(1-EXP(-LN(2)/25))/(LN(2)/25)*Calculateur!HC92*Calculateur!HE92*VLOOKUP('Données projet'!$B$18,Paramètres!$A$1:$I$89,3,0)*0.475*44/12</f>
        <v>0</v>
      </c>
      <c r="HI92" s="23">
        <f>EXP(-LN(2)/2)*HI91+(1-EXP(-LN(2)/2))/(LN(2)/2)*HC92*HF92*VLOOKUP('Données projet'!$B$18,Paramètres!$A$1:$I$89,3,0)*0.475*44/12</f>
        <v>0</v>
      </c>
      <c r="HJ92" s="24">
        <f t="shared" si="84"/>
        <v>36.467726592709454</v>
      </c>
    </row>
    <row r="93" spans="1:218" s="5" customFormat="1" x14ac:dyDescent="0.2">
      <c r="A93" s="11">
        <f t="shared" si="85"/>
        <v>90</v>
      </c>
      <c r="B93" s="74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705</v>
      </c>
      <c r="L93" s="13">
        <f>VLOOKUP(A93,'Données projet'!$A$35:$I$55,9,0)</f>
        <v>11.25925925925926</v>
      </c>
      <c r="M93" s="13">
        <f t="array" ref="M93">INDEX(L:L,MIN(IF(ISNUMBER(L93:L289),ROW(L93:L289),"")))</f>
        <v>11.25925925925926</v>
      </c>
      <c r="N93" s="14">
        <f>IF('Données projet'!$A$36&gt;35,N92+M93-V92,IF(A93&lt;'Données projet'!$A$36,$K$205^A93,IF(A93='Données projet'!$A$36,'Données projet'!$B$36,N92+M93-V92)))</f>
        <v>704.99999999999955</v>
      </c>
      <c r="O93" s="14">
        <f>N93*VLOOKUP('Données projet'!$B$9,Paramètres!$A$1:$I$89,3,0)*VLOOKUP('Données projet'!$B$9,Paramètres!$A$1:$I$89,5,0)</f>
        <v>604.88999999999965</v>
      </c>
      <c r="P93" s="14">
        <f t="shared" si="87"/>
        <v>132.26390359476616</v>
      </c>
      <c r="Q93" s="22">
        <f t="shared" si="54"/>
        <v>1283.876382094217</v>
      </c>
      <c r="R93" s="62">
        <f t="shared" si="55"/>
        <v>1577.2097154275502</v>
      </c>
      <c r="S93" s="62">
        <f ca="1">AVERAGE(OFFSET($R$3,0,0,'Données projet'!$E$9+1,1))-AVERAGE(OFFSET($H$3,0,0,'Données projet'!$E$9+1,1))</f>
        <v>623.31285537237943</v>
      </c>
      <c r="T93" s="62">
        <f t="shared" si="88"/>
        <v>462.33909258902241</v>
      </c>
      <c r="U93" s="16">
        <f>IF(ISNA(VLOOKUP(A93,'Données projet'!$A$35:$I$55,3,0)),0,VLOOKUP(A93,'Données projet'!$A$35:$I$55,3,0))</f>
        <v>10</v>
      </c>
      <c r="V93" s="16">
        <f>IF(ISNA(VLOOKUP(A93,'Données projet'!$A$35:$I$55,4,0)),0,VLOOKUP(A93,'Données projet'!$A$35:$I$55,4,0))</f>
        <v>705</v>
      </c>
      <c r="W93" s="17">
        <f>IF(ISNA(VLOOKUP(A93,'Données projet'!$A$35:$I$55,5,0)),0%,VLOOKUP(A93,'Données projet'!$A$35:$I$55,5,0)*VLOOKUP('Données projet'!$B$9,Paramètres!$A$1:$I$89,7,0))</f>
        <v>0.42400000000000004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342.96465001500661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342.96465001500661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projet'!$B$10,Paramètres!$A$1:$I$89,3,0)*VLOOKUP('Données projet'!$B$10,Paramètres!$A$1:$I$89,5,0)</f>
        <v>4.9658410716801891E-14</v>
      </c>
      <c r="AK93" s="14">
        <f t="shared" si="89"/>
        <v>8.0934058173791862E-13</v>
      </c>
      <c r="AL93" s="22">
        <f t="shared" si="58"/>
        <v>1.4960899118586383E-12</v>
      </c>
      <c r="AM93" s="62">
        <f t="shared" si="59"/>
        <v>293.33333333333479</v>
      </c>
      <c r="AN93" s="62">
        <f ca="1">AVERAGE(OFFSET($AM$3,0,0,'Données projet'!$E$10+1,1))-AVERAGE(OFFSET($H$3,0,0,'Données projet'!$E$10+1,1))</f>
        <v>390.70479111593545</v>
      </c>
      <c r="AO93" s="62">
        <f t="shared" si="90"/>
        <v>374.99493809709708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135.09787037712744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135.09787037712744</v>
      </c>
      <c r="AY93" s="7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5.6843418860808015E-14</v>
      </c>
      <c r="BE93" s="14">
        <f>BD93*VLOOKUP('Données projet'!$B$11,Paramètres!$A$1:$I$89,3,0)*VLOOKUP('Données projet'!$B$11,Paramètres!$A$1:$I$89,5,0)</f>
        <v>4.5224624045658861E-14</v>
      </c>
      <c r="BF93" s="14">
        <f t="shared" si="91"/>
        <v>7.4514601661523691E-13</v>
      </c>
      <c r="BG93" s="22">
        <f t="shared" si="61"/>
        <v>1.3765621991510601E-12</v>
      </c>
      <c r="BH93" s="62">
        <f t="shared" si="62"/>
        <v>293.33333333333468</v>
      </c>
      <c r="BI93" s="62">
        <f ca="1">AVERAGE(OFFSET($BH$3,0,0,'Données projet'!$E$11+1,1))-AVERAGE(OFFSET($H$3,0,0,'Données projet'!$E$11+1,1))</f>
        <v>359.18294335011535</v>
      </c>
      <c r="BJ93" s="62">
        <f t="shared" si="92"/>
        <v>345.47508134331241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123.03556052202673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123.03556052202673</v>
      </c>
      <c r="BT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5.6843418860808015E-14</v>
      </c>
      <c r="BZ93" s="14">
        <f>BY93*VLOOKUP('Données projet'!$B$12,Paramètres!$A$1:$I$89,3,0)*VLOOKUP('Données projet'!$B$12,Paramètres!$A$1:$I$89,5,0)</f>
        <v>4.1677594708744434E-14</v>
      </c>
      <c r="CA93" s="14">
        <f t="shared" si="93"/>
        <v>6.9326303456159188E-13</v>
      </c>
      <c r="CB93" s="22">
        <f t="shared" si="64"/>
        <v>1.2800215959791691E-12</v>
      </c>
      <c r="CC93" s="62">
        <f t="shared" si="65"/>
        <v>293.33333333333462</v>
      </c>
      <c r="CD93" s="62">
        <f ca="1">AVERAGE(OFFSET($CC$3,0,0,'Données projet'!$E$12+1,1))-AVERAGE(OFFSET($H$3,0,0,'Données projet'!$E$12+1,1))</f>
        <v>333.9187211440219</v>
      </c>
      <c r="CE93" s="62">
        <f t="shared" si="94"/>
        <v>321.81422611044997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91.992181951541269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91.992181951541269</v>
      </c>
      <c r="CO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5.6843418860808015E-14</v>
      </c>
      <c r="CU93" s="18">
        <f>CT93*VLOOKUP('Données projet'!$B$13,Paramètres!$A$1:$I$89,3,0)*VLOOKUP('Données projet'!$B$13,Paramètres!$A$1:$I$89,5,0)</f>
        <v>4.6111381379887463E-14</v>
      </c>
      <c r="CV93" s="14">
        <f t="shared" si="95"/>
        <v>7.5804141040779151E-13</v>
      </c>
      <c r="CW93" s="22">
        <f t="shared" si="67"/>
        <v>1.4005661123635408E-12</v>
      </c>
      <c r="CX93" s="62">
        <f t="shared" si="68"/>
        <v>293.33333333333474</v>
      </c>
      <c r="CY93" s="62">
        <f ca="1">AVERAGE(OFFSET($CX$3,0,0,'Données projet'!$E$13+1,1))-AVERAGE(OFFSET($H$3,0,0,'Données projet'!$E$13+1,1))</f>
        <v>365.492319515595</v>
      </c>
      <c r="CZ93" s="62">
        <f t="shared" si="96"/>
        <v>351.38386928091433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101.77858428681159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101.77858428681159</v>
      </c>
      <c r="DJ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8.2910000000000021</v>
      </c>
      <c r="DO93" s="13">
        <f>IF('Données projet'!$A$166&gt;35,DO92+DN93-DW92,IF(A93&lt;'Données projet'!$A$166,$DL$205^A93,IF(A93='Données projet'!$A$166,'Données projet'!$B$166,DO92+DN93-DW92)))</f>
        <v>313.62600000000026</v>
      </c>
      <c r="DP93" s="18">
        <f>DO93*VLOOKUP('Données projet'!$B$14,Paramètres!$A$1:$I$89,3,0)*VLOOKUP('Données projet'!$B$14,Paramètres!$A$1:$I$89,5,0)</f>
        <v>264.19854240000024</v>
      </c>
      <c r="DQ93" s="14">
        <f t="shared" si="97"/>
        <v>63.616501432934797</v>
      </c>
      <c r="DR93" s="22">
        <f t="shared" si="70"/>
        <v>570.94453467569519</v>
      </c>
      <c r="DS93" s="62">
        <f t="shared" si="71"/>
        <v>864.27786800902845</v>
      </c>
      <c r="DT93" s="62">
        <f ca="1">AVERAGE(OFFSET($DS$3,0,0,'Données projet'!$E$14+1,1))-AVERAGE(OFFSET($H$3,0,0,'Données projet'!$E$14+1,1))</f>
        <v>544.89250424794909</v>
      </c>
      <c r="DU93" s="62">
        <f t="shared" si="98"/>
        <v>253.98688498110715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22.538062054547336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22.538062054547336</v>
      </c>
      <c r="EE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8.2910000000000021</v>
      </c>
      <c r="EJ93" s="13">
        <f>IF('Données projet'!$A$192&gt;35,EJ92+EI93-ER92,IF(A93&lt;'Données projet'!$A$192,$EG$205^A93,IF(A93='Données projet'!$A$192,'Données projet'!$B$192,EJ92+EI93-ER92)))</f>
        <v>313.62600000000026</v>
      </c>
      <c r="EK93" s="18">
        <f>EJ93*VLOOKUP('Données projet'!$B$15,Paramètres!$A$1:$I$89,3,0)*VLOOKUP('Données projet'!$B$15,Paramètres!$A$1:$I$89,5,0)</f>
        <v>283.76880480000023</v>
      </c>
      <c r="EL93" s="14">
        <f t="shared" si="99"/>
        <v>67.762844856024827</v>
      </c>
      <c r="EM93" s="22">
        <f t="shared" si="73"/>
        <v>612.2509564842436</v>
      </c>
      <c r="EN93" s="62">
        <f t="shared" si="74"/>
        <v>905.58428981757697</v>
      </c>
      <c r="EO93" s="62">
        <f ca="1">AVERAGE(OFFSET($EN$3,0,0,'Données projet'!$E$15+1,1))-AVERAGE(OFFSET($H$3,0,0,'Données projet'!$E$15+1,1))</f>
        <v>581.88778927327667</v>
      </c>
      <c r="EP93" s="62">
        <f t="shared" si="100"/>
        <v>269.67340993773422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24.207548132661959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24.207548132661959</v>
      </c>
      <c r="EZ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8.2910000000000021</v>
      </c>
      <c r="FE93" s="13">
        <f>IF('Données projet'!$A$218&gt;35,FE92+FD93-FM92,IF(A93&lt;'Données projet'!$A$218,$FB$205^A93,IF(A93='Données projet'!$A$218,'Données projet'!$B$218,FE92+FD93-FM92)))</f>
        <v>313.62600000000026</v>
      </c>
      <c r="FF93" s="18">
        <f>FE93*VLOOKUP('Données projet'!$B$16,Paramètres!$A$1:$I$89,3,0)*VLOOKUP('Données projet'!$B$16,Paramètres!$A$1:$I$89,5,0)</f>
        <v>318.01676400000025</v>
      </c>
      <c r="FG93" s="14">
        <f t="shared" si="101"/>
        <v>74.940553655452632</v>
      </c>
      <c r="FH93" s="22">
        <f t="shared" si="76"/>
        <v>684.40066158324714</v>
      </c>
      <c r="FI93" s="62">
        <f t="shared" si="77"/>
        <v>977.73399491658051</v>
      </c>
      <c r="FJ93" s="62">
        <f ca="1">AVERAGE(OFFSET($FI$3,0,0,'Données projet'!$E$16+1,1))-AVERAGE(OFFSET($H$3,0,0,'Données projet'!$E$16+1,1))</f>
        <v>646.50767193970182</v>
      </c>
      <c r="FK93" s="62">
        <f t="shared" si="102"/>
        <v>297.06786598620607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27.129148769362537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27.129148769362537</v>
      </c>
      <c r="FU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8.2910000000000021</v>
      </c>
      <c r="FZ93" s="13">
        <f>IF('Données projet'!$A$244&gt;35,FZ92+FY93-GH92,IF(A93&lt;'Données projet'!$A$244,$FW$205^A93,IF(A93='Données projet'!$A$244,'Données projet'!$B$244,FZ92+FY93-GH92)))</f>
        <v>313.62600000000026</v>
      </c>
      <c r="GA93" s="18">
        <f>FZ93*VLOOKUP('Données projet'!$B$17,Paramètres!$A$1:$I$89,3,0)*VLOOKUP('Données projet'!$B$17,Paramètres!$A$1:$I$89,5,0)</f>
        <v>210.38032080000019</v>
      </c>
      <c r="GB93" s="14">
        <f t="shared" si="103"/>
        <v>52.018686607707167</v>
      </c>
      <c r="GC93" s="22">
        <f t="shared" si="79"/>
        <v>457.01160456842371</v>
      </c>
      <c r="GD93" s="62">
        <f t="shared" si="80"/>
        <v>750.34493790175702</v>
      </c>
      <c r="GE93" s="62">
        <f ca="1">AVERAGE(OFFSET($GD$3,0,0,'Données projet'!$E$17+1,1))-AVERAGE(OFFSET($H$3,0,0,'Données projet'!$E$17+1,1))</f>
        <v>442.85175349826028</v>
      </c>
      <c r="GF93" s="62">
        <f t="shared" si="104"/>
        <v>210.70697808232501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22.120690535018678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22.120690535018678</v>
      </c>
      <c r="GP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>
        <f>VLOOKUP(A93,'Données projet'!$A$269:$I$289,2,0)</f>
        <v>283</v>
      </c>
      <c r="GS93" s="13">
        <f>VLOOKUP(A93,'Données projet'!$A$269:$I$289,9,0)</f>
        <v>5.8</v>
      </c>
      <c r="GT93" s="13">
        <f t="array" ref="GT93">INDEX(GS:GS,MIN(IF(ISNUMBER(GS93:GS289),ROW(GS93:GS289),"")))</f>
        <v>5.8</v>
      </c>
      <c r="GU93" s="13">
        <f>IF('Données projet'!$A$270&gt;35,GU92+GT93-HC92,IF(A93&lt;'Données projet'!$A$270,$GR$205^A93,IF(A93='Données projet'!$A$270,'Données projet'!$B$270,GU92+GT93-HC92)))</f>
        <v>283.00000000000006</v>
      </c>
      <c r="GV93" s="18">
        <f>GU93*VLOOKUP('Données projet'!$B$18,Paramètres!$A$1:$I$89,3,0)*VLOOKUP('Données projet'!$B$18,Paramètres!$A$1:$I$89,5,0)</f>
        <v>269.30280000000005</v>
      </c>
      <c r="GW93" s="14">
        <f t="shared" si="105"/>
        <v>64.70128359355995</v>
      </c>
      <c r="GX93" s="22">
        <f t="shared" si="82"/>
        <v>581.72377892545035</v>
      </c>
      <c r="GY93" s="62">
        <f t="shared" si="83"/>
        <v>875.05711225878372</v>
      </c>
      <c r="GZ93" s="62">
        <f ca="1">AVERAGE(OFFSET($GY$3,0,0,'Données projet'!$E$18+1,1))-AVERAGE(OFFSET($H$3,0,0,'Données projet'!$E$18+1,1))</f>
        <v>420.2510366318939</v>
      </c>
      <c r="HA93" s="62">
        <f t="shared" si="106"/>
        <v>220.59884411514116</v>
      </c>
      <c r="HB93" s="16">
        <f>IF(ISNA(VLOOKUP(A93,'Données projet'!$A$269:$I$289,3,0)),0,VLOOKUP(A93,'Données projet'!$A$269:$I$289,3,0))</f>
        <v>14</v>
      </c>
      <c r="HC93" s="16">
        <f>IF(ISNA(VLOOKUP(A93,'Données projet'!$A$269:$I$289,4,0)),0,VLOOKUP(A93,'Données projet'!$A$269:$I$289,4,0))</f>
        <v>24</v>
      </c>
      <c r="HD93" s="17">
        <f>IF(ISNA(VLOOKUP(A93,'Données projet'!$A$269:$I$289,5,0)),0%,VLOOKUP(A93,'Données projet'!$A$269:$I$289,5,0)*VLOOKUP('Données projet'!$B$18,Paramètres!$A$1:$I$89,7,0))</f>
        <v>0.30099999999999999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43.352016306836838</v>
      </c>
      <c r="HH93" s="23">
        <f>EXP(-LN(2)/25)*HH92+(1-EXP(-LN(2)/25))/(LN(2)/25)*Calculateur!HC93*Calculateur!HE93*VLOOKUP('Données projet'!$B$18,Paramètres!$A$1:$I$89,3,0)*0.475*44/12</f>
        <v>0</v>
      </c>
      <c r="HI93" s="23">
        <f>EXP(-LN(2)/2)*HI92+(1-EXP(-LN(2)/2))/(LN(2)/2)*HC93*HF93*VLOOKUP('Données projet'!$B$18,Paramètres!$A$1:$I$89,3,0)*0.475*44/12</f>
        <v>0</v>
      </c>
      <c r="HJ93" s="24">
        <f t="shared" si="84"/>
        <v>43.352016306836838</v>
      </c>
    </row>
    <row r="94" spans="1:218" s="5" customFormat="1" x14ac:dyDescent="0.2">
      <c r="A94" s="11">
        <f t="shared" si="85"/>
        <v>91</v>
      </c>
      <c r="B94" s="74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-4.5474735088646412E-13</v>
      </c>
      <c r="O94" s="14">
        <f>N94*VLOOKUP('Données projet'!$B$9,Paramètres!$A$1:$I$89,3,0)*VLOOKUP('Données projet'!$B$9,Paramètres!$A$1:$I$89,5,0)</f>
        <v>-3.9017322706058626E-13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623.31285537237943</v>
      </c>
      <c r="T94" s="62">
        <f t="shared" si="88"/>
        <v>462.33909258902241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336.23932241599329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336.23932241599329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projet'!$B$10,Paramètres!$A$1:$I$89,3,0)*VLOOKUP('Données projet'!$B$10,Paramètres!$A$1:$I$89,5,0)</f>
        <v>4.9658410716801891E-14</v>
      </c>
      <c r="AK94" s="14">
        <f t="shared" si="89"/>
        <v>8.0934058173791862E-13</v>
      </c>
      <c r="AL94" s="22">
        <f t="shared" si="58"/>
        <v>1.4960899118586383E-12</v>
      </c>
      <c r="AM94" s="62">
        <f t="shared" si="59"/>
        <v>293.33333333333479</v>
      </c>
      <c r="AN94" s="62">
        <f ca="1">AVERAGE(OFFSET($AM$3,0,0,'Données projet'!$E$10+1,1))-AVERAGE(OFFSET($H$3,0,0,'Données projet'!$E$10+1,1))</f>
        <v>390.70479111593545</v>
      </c>
      <c r="AO94" s="62">
        <f t="shared" si="90"/>
        <v>374.99493809709708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132.44868354059642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132.44868354059642</v>
      </c>
      <c r="AY94" s="7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5.6843418860808015E-14</v>
      </c>
      <c r="BE94" s="14">
        <f>BD94*VLOOKUP('Données projet'!$B$11,Paramètres!$A$1:$I$89,3,0)*VLOOKUP('Données projet'!$B$11,Paramètres!$A$1:$I$89,5,0)</f>
        <v>4.5224624045658861E-14</v>
      </c>
      <c r="BF94" s="14">
        <f t="shared" si="91"/>
        <v>7.4514601661523691E-13</v>
      </c>
      <c r="BG94" s="22">
        <f t="shared" si="61"/>
        <v>1.3765621991510601E-12</v>
      </c>
      <c r="BH94" s="62">
        <f t="shared" si="62"/>
        <v>293.33333333333468</v>
      </c>
      <c r="BI94" s="62">
        <f ca="1">AVERAGE(OFFSET($BH$3,0,0,'Données projet'!$E$11+1,1))-AVERAGE(OFFSET($H$3,0,0,'Données projet'!$E$11+1,1))</f>
        <v>359.18294335011535</v>
      </c>
      <c r="BJ94" s="62">
        <f t="shared" si="92"/>
        <v>345.47508134331241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120.6229082244717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120.6229082244717</v>
      </c>
      <c r="BT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5.6843418860808015E-14</v>
      </c>
      <c r="BZ94" s="14">
        <f>BY94*VLOOKUP('Données projet'!$B$12,Paramètres!$A$1:$I$89,3,0)*VLOOKUP('Données projet'!$B$12,Paramètres!$A$1:$I$89,5,0)</f>
        <v>4.1677594708744434E-14</v>
      </c>
      <c r="CA94" s="14">
        <f t="shared" si="93"/>
        <v>6.9326303456159188E-13</v>
      </c>
      <c r="CB94" s="22">
        <f t="shared" si="64"/>
        <v>1.2800215959791691E-12</v>
      </c>
      <c r="CC94" s="62">
        <f t="shared" si="65"/>
        <v>293.33333333333462</v>
      </c>
      <c r="CD94" s="62">
        <f ca="1">AVERAGE(OFFSET($CC$3,0,0,'Données projet'!$E$12+1,1))-AVERAGE(OFFSET($H$3,0,0,'Données projet'!$E$12+1,1))</f>
        <v>333.9187211440219</v>
      </c>
      <c r="CE94" s="62">
        <f t="shared" si="94"/>
        <v>321.81422611044997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90.188271373162166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90.188271373162166</v>
      </c>
      <c r="CO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5.6843418860808015E-14</v>
      </c>
      <c r="CU94" s="18">
        <f>CT94*VLOOKUP('Données projet'!$B$13,Paramètres!$A$1:$I$89,3,0)*VLOOKUP('Données projet'!$B$13,Paramètres!$A$1:$I$89,5,0)</f>
        <v>4.6111381379887463E-14</v>
      </c>
      <c r="CV94" s="14">
        <f t="shared" si="95"/>
        <v>7.5804141040779151E-13</v>
      </c>
      <c r="CW94" s="22">
        <f t="shared" si="67"/>
        <v>1.4005661123635408E-12</v>
      </c>
      <c r="CX94" s="62">
        <f t="shared" si="68"/>
        <v>293.33333333333474</v>
      </c>
      <c r="CY94" s="62">
        <f ca="1">AVERAGE(OFFSET($CX$3,0,0,'Données projet'!$E$13+1,1))-AVERAGE(OFFSET($H$3,0,0,'Données projet'!$E$13+1,1))</f>
        <v>365.492319515595</v>
      </c>
      <c r="CZ94" s="62">
        <f t="shared" si="96"/>
        <v>351.38386928091433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99.782768327753857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99.782768327753857</v>
      </c>
      <c r="DJ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8.2910000000000021</v>
      </c>
      <c r="DO94" s="13">
        <f>IF('Données projet'!$A$166&gt;35,DO93+DN94-DW93,IF(A94&lt;'Données projet'!$A$166,$DL$205^A94,IF(A94='Données projet'!$A$166,'Données projet'!$B$166,DO93+DN94-DW93)))</f>
        <v>321.91700000000026</v>
      </c>
      <c r="DP94" s="18">
        <f>DO94*VLOOKUP('Données projet'!$B$14,Paramètres!$A$1:$I$89,3,0)*VLOOKUP('Données projet'!$B$14,Paramètres!$A$1:$I$89,5,0)</f>
        <v>271.18288080000025</v>
      </c>
      <c r="DQ94" s="14">
        <f t="shared" si="97"/>
        <v>65.100242543037425</v>
      </c>
      <c r="DR94" s="22">
        <f t="shared" si="70"/>
        <v>585.69310648912392</v>
      </c>
      <c r="DS94" s="62">
        <f t="shared" si="71"/>
        <v>879.02643982245718</v>
      </c>
      <c r="DT94" s="62">
        <f ca="1">AVERAGE(OFFSET($DS$3,0,0,'Données projet'!$E$14+1,1))-AVERAGE(OFFSET($H$3,0,0,'Données projet'!$E$14+1,1))</f>
        <v>544.89250424794909</v>
      </c>
      <c r="DU94" s="62">
        <f t="shared" si="98"/>
        <v>253.98688498110715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22.096104404518126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22.096104404518126</v>
      </c>
      <c r="EE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8.2910000000000021</v>
      </c>
      <c r="EJ94" s="13">
        <f>IF('Données projet'!$A$192&gt;35,EJ93+EI94-ER93,IF(A94&lt;'Données projet'!$A$192,$EG$205^A94,IF(A94='Données projet'!$A$192,'Données projet'!$B$192,EJ93+EI94-ER93)))</f>
        <v>321.91700000000026</v>
      </c>
      <c r="EK94" s="18">
        <f>EJ94*VLOOKUP('Données projet'!$B$15,Paramètres!$A$1:$I$89,3,0)*VLOOKUP('Données projet'!$B$15,Paramètres!$A$1:$I$89,5,0)</f>
        <v>291.27050160000022</v>
      </c>
      <c r="EL94" s="14">
        <f t="shared" si="99"/>
        <v>69.343292010233441</v>
      </c>
      <c r="EM94" s="22">
        <f t="shared" si="73"/>
        <v>628.0690238711569</v>
      </c>
      <c r="EN94" s="62">
        <f t="shared" si="74"/>
        <v>921.40235720449027</v>
      </c>
      <c r="EO94" s="62">
        <f ca="1">AVERAGE(OFFSET($EN$3,0,0,'Données projet'!$E$15+1,1))-AVERAGE(OFFSET($H$3,0,0,'Données projet'!$E$15+1,1))</f>
        <v>581.88778927327667</v>
      </c>
      <c r="EP94" s="62">
        <f t="shared" si="100"/>
        <v>269.67340993773422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23.732852878926881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23.732852878926881</v>
      </c>
      <c r="EZ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8.2910000000000021</v>
      </c>
      <c r="FE94" s="13">
        <f>IF('Données projet'!$A$218&gt;35,FE93+FD94-FM93,IF(A94&lt;'Données projet'!$A$218,$FB$205^A94,IF(A94='Données projet'!$A$218,'Données projet'!$B$218,FE93+FD94-FM93)))</f>
        <v>321.91700000000026</v>
      </c>
      <c r="FF94" s="18">
        <f>FE94*VLOOKUP('Données projet'!$B$16,Paramètres!$A$1:$I$89,3,0)*VLOOKUP('Données projet'!$B$16,Paramètres!$A$1:$I$89,5,0)</f>
        <v>326.42383800000027</v>
      </c>
      <c r="FG94" s="14">
        <f t="shared" si="101"/>
        <v>76.688408029206073</v>
      </c>
      <c r="FH94" s="22">
        <f t="shared" si="76"/>
        <v>702.08716183420108</v>
      </c>
      <c r="FI94" s="62">
        <f t="shared" si="77"/>
        <v>995.42049516753445</v>
      </c>
      <c r="FJ94" s="62">
        <f ca="1">AVERAGE(OFFSET($FI$3,0,0,'Données projet'!$E$16+1,1))-AVERAGE(OFFSET($H$3,0,0,'Données projet'!$E$16+1,1))</f>
        <v>646.50767193970182</v>
      </c>
      <c r="FK94" s="62">
        <f t="shared" si="102"/>
        <v>297.06786598620607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26.597162709142193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26.597162709142193</v>
      </c>
      <c r="FU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8.2910000000000021</v>
      </c>
      <c r="FZ94" s="13">
        <f>IF('Données projet'!$A$244&gt;35,FZ93+FY94-GH93,IF(A94&lt;'Données projet'!$A$244,$FW$205^A94,IF(A94='Données projet'!$A$244,'Données projet'!$B$244,FZ93+FY94-GH93)))</f>
        <v>321.91700000000026</v>
      </c>
      <c r="GA94" s="18">
        <f>FZ94*VLOOKUP('Données projet'!$B$17,Paramètres!$A$1:$I$89,3,0)*VLOOKUP('Données projet'!$B$17,Paramètres!$A$1:$I$89,5,0)</f>
        <v>215.94192360000017</v>
      </c>
      <c r="GB94" s="14">
        <f t="shared" si="103"/>
        <v>53.231929431108412</v>
      </c>
      <c r="GC94" s="22">
        <f t="shared" si="79"/>
        <v>468.81112736251407</v>
      </c>
      <c r="GD94" s="62">
        <f t="shared" si="80"/>
        <v>762.14446069584733</v>
      </c>
      <c r="GE94" s="62">
        <f ca="1">AVERAGE(OFFSET($GD$3,0,0,'Données projet'!$E$17+1,1))-AVERAGE(OFFSET($H$3,0,0,'Données projet'!$E$17+1,1))</f>
        <v>442.85175349826028</v>
      </c>
      <c r="GF94" s="62">
        <f t="shared" si="104"/>
        <v>210.70697808232501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21.686917285915936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21.686917285915936</v>
      </c>
      <c r="GP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5.4</v>
      </c>
      <c r="GU94" s="13">
        <f>IF('Données projet'!$A$270&gt;35,GU93+GT94-HC93,IF(A94&lt;'Données projet'!$A$270,$GR$205^A94,IF(A94='Données projet'!$A$270,'Données projet'!$B$270,GU93+GT94-HC93)))</f>
        <v>264.40000000000003</v>
      </c>
      <c r="GV94" s="18">
        <f>GU94*VLOOKUP('Données projet'!$B$18,Paramètres!$A$1:$I$89,3,0)*VLOOKUP('Données projet'!$B$18,Paramètres!$A$1:$I$89,5,0)</f>
        <v>251.60304000000005</v>
      </c>
      <c r="GW94" s="14">
        <f t="shared" si="105"/>
        <v>60.929079943207107</v>
      </c>
      <c r="GX94" s="22">
        <f t="shared" si="82"/>
        <v>544.32677556775241</v>
      </c>
      <c r="GY94" s="62">
        <f t="shared" si="83"/>
        <v>837.66010890108578</v>
      </c>
      <c r="GZ94" s="62">
        <f ca="1">AVERAGE(OFFSET($GY$3,0,0,'Données projet'!$E$18+1,1))-AVERAGE(OFFSET($H$3,0,0,'Données projet'!$E$18+1,1))</f>
        <v>420.2510366318939</v>
      </c>
      <c r="HA94" s="62">
        <f t="shared" si="106"/>
        <v>220.59884411514116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42.501909709178769</v>
      </c>
      <c r="HH94" s="23">
        <f>EXP(-LN(2)/25)*HH93+(1-EXP(-LN(2)/25))/(LN(2)/25)*Calculateur!HC94*Calculateur!HE94*VLOOKUP('Données projet'!$B$18,Paramètres!$A$1:$I$89,3,0)*0.475*44/12</f>
        <v>0</v>
      </c>
      <c r="HI94" s="23">
        <f>EXP(-LN(2)/2)*HI93+(1-EXP(-LN(2)/2))/(LN(2)/2)*HC94*HF94*VLOOKUP('Données projet'!$B$18,Paramètres!$A$1:$I$89,3,0)*0.475*44/12</f>
        <v>0</v>
      </c>
      <c r="HJ94" s="24">
        <f t="shared" si="84"/>
        <v>42.501909709178769</v>
      </c>
    </row>
    <row r="95" spans="1:218" s="5" customFormat="1" x14ac:dyDescent="0.2">
      <c r="A95" s="11">
        <f t="shared" si="85"/>
        <v>92</v>
      </c>
      <c r="B95" s="74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-4.5474735088646412E-13</v>
      </c>
      <c r="O95" s="14">
        <f>N95*VLOOKUP('Données projet'!$B$9,Paramètres!$A$1:$I$89,3,0)*VLOOKUP('Données projet'!$B$9,Paramètres!$A$1:$I$89,5,0)</f>
        <v>-3.9017322706058626E-13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623.31285537237943</v>
      </c>
      <c r="T95" s="62">
        <f t="shared" si="88"/>
        <v>462.33909258902241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329.6458743891518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329.6458743891518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projet'!$B$10,Paramètres!$A$1:$I$89,3,0)*VLOOKUP('Données projet'!$B$10,Paramètres!$A$1:$I$89,5,0)</f>
        <v>4.9658410716801891E-14</v>
      </c>
      <c r="AK95" s="14">
        <f t="shared" si="89"/>
        <v>8.0934058173791862E-13</v>
      </c>
      <c r="AL95" s="22">
        <f t="shared" si="58"/>
        <v>1.4960899118586383E-12</v>
      </c>
      <c r="AM95" s="62">
        <f t="shared" si="59"/>
        <v>293.33333333333479</v>
      </c>
      <c r="AN95" s="62">
        <f ca="1">AVERAGE(OFFSET($AM$3,0,0,'Données projet'!$E$10+1,1))-AVERAGE(OFFSET($H$3,0,0,'Données projet'!$E$10+1,1))</f>
        <v>390.70479111593545</v>
      </c>
      <c r="AO95" s="62">
        <f t="shared" si="90"/>
        <v>374.99493809709708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129.85144564208537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129.85144564208537</v>
      </c>
      <c r="AY95" s="7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5.6843418860808015E-14</v>
      </c>
      <c r="BE95" s="14">
        <f>BD95*VLOOKUP('Données projet'!$B$11,Paramètres!$A$1:$I$89,3,0)*VLOOKUP('Données projet'!$B$11,Paramètres!$A$1:$I$89,5,0)</f>
        <v>4.5224624045658861E-14</v>
      </c>
      <c r="BF95" s="14">
        <f t="shared" si="91"/>
        <v>7.4514601661523691E-13</v>
      </c>
      <c r="BG95" s="22">
        <f t="shared" si="61"/>
        <v>1.3765621991510601E-12</v>
      </c>
      <c r="BH95" s="62">
        <f t="shared" si="62"/>
        <v>293.33333333333468</v>
      </c>
      <c r="BI95" s="62">
        <f ca="1">AVERAGE(OFFSET($BH$3,0,0,'Données projet'!$E$11+1,1))-AVERAGE(OFFSET($H$3,0,0,'Données projet'!$E$11+1,1))</f>
        <v>359.18294335011535</v>
      </c>
      <c r="BJ95" s="62">
        <f t="shared" si="92"/>
        <v>345.47508134331241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118.25756656689913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118.25756656689913</v>
      </c>
      <c r="BT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5.6843418860808015E-14</v>
      </c>
      <c r="BZ95" s="14">
        <f>BY95*VLOOKUP('Données projet'!$B$12,Paramètres!$A$1:$I$89,3,0)*VLOOKUP('Données projet'!$B$12,Paramètres!$A$1:$I$89,5,0)</f>
        <v>4.1677594708744434E-14</v>
      </c>
      <c r="CA95" s="14">
        <f t="shared" si="93"/>
        <v>6.9326303456159188E-13</v>
      </c>
      <c r="CB95" s="22">
        <f t="shared" si="64"/>
        <v>1.2800215959791691E-12</v>
      </c>
      <c r="CC95" s="62">
        <f t="shared" si="65"/>
        <v>293.33333333333462</v>
      </c>
      <c r="CD95" s="62">
        <f ca="1">AVERAGE(OFFSET($CC$3,0,0,'Données projet'!$E$12+1,1))-AVERAGE(OFFSET($H$3,0,0,'Données projet'!$E$12+1,1))</f>
        <v>333.9187211440219</v>
      </c>
      <c r="CE95" s="62">
        <f t="shared" si="94"/>
        <v>321.81422611044997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88.41973438094827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88.41973438094827</v>
      </c>
      <c r="CO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5.6843418860808015E-14</v>
      </c>
      <c r="CU95" s="18">
        <f>CT95*VLOOKUP('Données projet'!$B$13,Paramètres!$A$1:$I$89,3,0)*VLOOKUP('Données projet'!$B$13,Paramètres!$A$1:$I$89,5,0)</f>
        <v>4.6111381379887463E-14</v>
      </c>
      <c r="CV95" s="14">
        <f t="shared" si="95"/>
        <v>7.5804141040779151E-13</v>
      </c>
      <c r="CW95" s="22">
        <f t="shared" si="67"/>
        <v>1.4005661123635408E-12</v>
      </c>
      <c r="CX95" s="62">
        <f t="shared" si="68"/>
        <v>293.33333333333474</v>
      </c>
      <c r="CY95" s="62">
        <f ca="1">AVERAGE(OFFSET($CX$3,0,0,'Données projet'!$E$13+1,1))-AVERAGE(OFFSET($H$3,0,0,'Données projet'!$E$13+1,1))</f>
        <v>365.492319515595</v>
      </c>
      <c r="CZ95" s="62">
        <f t="shared" si="96"/>
        <v>351.38386928091433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97.82608910232571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97.82608910232571</v>
      </c>
      <c r="DJ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8.2910000000000021</v>
      </c>
      <c r="DO95" s="13">
        <f>IF('Données projet'!$A$166&gt;35,DO94+DN95-DW94,IF(A95&lt;'Données projet'!$A$166,$DL$205^A95,IF(A95='Données projet'!$A$166,'Données projet'!$B$166,DO94+DN95-DW94)))</f>
        <v>330.20800000000025</v>
      </c>
      <c r="DP95" s="18">
        <f>DO95*VLOOKUP('Données projet'!$B$14,Paramètres!$A$1:$I$89,3,0)*VLOOKUP('Données projet'!$B$14,Paramètres!$A$1:$I$89,5,0)</f>
        <v>278.1672192000002</v>
      </c>
      <c r="DQ95" s="14">
        <f t="shared" si="97"/>
        <v>66.579541699366985</v>
      </c>
      <c r="DR95" s="22">
        <f t="shared" si="70"/>
        <v>600.43394189973117</v>
      </c>
      <c r="DS95" s="62">
        <f t="shared" si="71"/>
        <v>893.76727523306454</v>
      </c>
      <c r="DT95" s="62">
        <f ca="1">AVERAGE(OFFSET($DS$3,0,0,'Données projet'!$E$14+1,1))-AVERAGE(OFFSET($H$3,0,0,'Données projet'!$E$14+1,1))</f>
        <v>544.89250424794909</v>
      </c>
      <c r="DU95" s="62">
        <f t="shared" si="98"/>
        <v>253.98688498110715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21.662813274438442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21.662813274438442</v>
      </c>
      <c r="EE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8.2910000000000021</v>
      </c>
      <c r="EJ95" s="13">
        <f>IF('Données projet'!$A$192&gt;35,EJ94+EI95-ER94,IF(A95&lt;'Données projet'!$A$192,$EG$205^A95,IF(A95='Données projet'!$A$192,'Données projet'!$B$192,EJ94+EI95-ER94)))</f>
        <v>330.20800000000025</v>
      </c>
      <c r="EK95" s="18">
        <f>EJ95*VLOOKUP('Données projet'!$B$15,Paramètres!$A$1:$I$89,3,0)*VLOOKUP('Données projet'!$B$15,Paramètres!$A$1:$I$89,5,0)</f>
        <v>298.77219840000021</v>
      </c>
      <c r="EL95" s="14">
        <f t="shared" si="99"/>
        <v>70.919007696700163</v>
      </c>
      <c r="EM95" s="22">
        <f t="shared" si="73"/>
        <v>643.87885061841985</v>
      </c>
      <c r="EN95" s="62">
        <f t="shared" si="74"/>
        <v>937.2121839517531</v>
      </c>
      <c r="EO95" s="62">
        <f ca="1">AVERAGE(OFFSET($EN$3,0,0,'Données projet'!$E$15+1,1))-AVERAGE(OFFSET($H$3,0,0,'Données projet'!$E$15+1,1))</f>
        <v>581.88778927327667</v>
      </c>
      <c r="EP95" s="62">
        <f t="shared" si="100"/>
        <v>269.67340993773422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23.267466109582035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23.267466109582035</v>
      </c>
      <c r="EZ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8.2910000000000021</v>
      </c>
      <c r="FE95" s="13">
        <f>IF('Données projet'!$A$218&gt;35,FE94+FD95-FM94,IF(A95&lt;'Données projet'!$A$218,$FB$205^A95,IF(A95='Données projet'!$A$218,'Données projet'!$B$218,FE94+FD95-FM94)))</f>
        <v>330.20800000000025</v>
      </c>
      <c r="FF95" s="18">
        <f>FE95*VLOOKUP('Données projet'!$B$16,Paramètres!$A$1:$I$89,3,0)*VLOOKUP('Données projet'!$B$16,Paramètres!$A$1:$I$89,5,0)</f>
        <v>334.8309120000003</v>
      </c>
      <c r="FG95" s="14">
        <f t="shared" si="101"/>
        <v>78.431029759422557</v>
      </c>
      <c r="FH95" s="22">
        <f t="shared" si="76"/>
        <v>719.76454856432804</v>
      </c>
      <c r="FI95" s="62">
        <f t="shared" si="77"/>
        <v>1013.0978818976614</v>
      </c>
      <c r="FJ95" s="62">
        <f ca="1">AVERAGE(OFFSET($FI$3,0,0,'Données projet'!$E$16+1,1))-AVERAGE(OFFSET($H$3,0,0,'Données projet'!$E$16+1,1))</f>
        <v>646.50767193970182</v>
      </c>
      <c r="FK95" s="62">
        <f t="shared" si="102"/>
        <v>297.06786598620607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26.075608571083311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26.075608571083311</v>
      </c>
      <c r="FU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8.2910000000000021</v>
      </c>
      <c r="FZ95" s="13">
        <f>IF('Données projet'!$A$244&gt;35,FZ94+FY95-GH94,IF(A95&lt;'Données projet'!$A$244,$FW$205^A95,IF(A95='Données projet'!$A$244,'Données projet'!$B$244,FZ94+FY95-GH94)))</f>
        <v>330.20800000000025</v>
      </c>
      <c r="GA95" s="18">
        <f>FZ95*VLOOKUP('Données projet'!$B$17,Paramètres!$A$1:$I$89,3,0)*VLOOKUP('Données projet'!$B$17,Paramètres!$A$1:$I$89,5,0)</f>
        <v>221.5035264000002</v>
      </c>
      <c r="GB95" s="14">
        <f t="shared" si="103"/>
        <v>54.441540105679579</v>
      </c>
      <c r="GC95" s="22">
        <f t="shared" si="79"/>
        <v>480.60432416405894</v>
      </c>
      <c r="GD95" s="62">
        <f t="shared" si="80"/>
        <v>773.93765749739225</v>
      </c>
      <c r="GE95" s="62">
        <f ca="1">AVERAGE(OFFSET($GD$3,0,0,'Données projet'!$E$17+1,1))-AVERAGE(OFFSET($H$3,0,0,'Données projet'!$E$17+1,1))</f>
        <v>442.85175349826028</v>
      </c>
      <c r="GF95" s="62">
        <f t="shared" si="104"/>
        <v>210.70697808232501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21.261650065652539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21.261650065652539</v>
      </c>
      <c r="GP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5.4</v>
      </c>
      <c r="GU95" s="13">
        <f>IF('Données projet'!$A$270&gt;35,GU94+GT95-HC94,IF(A95&lt;'Données projet'!$A$270,$GR$205^A95,IF(A95='Données projet'!$A$270,'Données projet'!$B$270,GU94+GT95-HC94)))</f>
        <v>269.8</v>
      </c>
      <c r="GV95" s="18">
        <f>GU95*VLOOKUP('Données projet'!$B$18,Paramètres!$A$1:$I$89,3,0)*VLOOKUP('Données projet'!$B$18,Paramètres!$A$1:$I$89,5,0)</f>
        <v>256.74168000000003</v>
      </c>
      <c r="GW95" s="14">
        <f t="shared" si="105"/>
        <v>62.027326852695715</v>
      </c>
      <c r="GX95" s="22">
        <f t="shared" si="82"/>
        <v>555.18935360177841</v>
      </c>
      <c r="GY95" s="62">
        <f t="shared" si="83"/>
        <v>848.52268693511178</v>
      </c>
      <c r="GZ95" s="62">
        <f ca="1">AVERAGE(OFFSET($GY$3,0,0,'Données projet'!$E$18+1,1))-AVERAGE(OFFSET($H$3,0,0,'Données projet'!$E$18+1,1))</f>
        <v>420.2510366318939</v>
      </c>
      <c r="HA95" s="62">
        <f t="shared" si="106"/>
        <v>220.59884411514116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41.668473183386951</v>
      </c>
      <c r="HH95" s="23">
        <f>EXP(-LN(2)/25)*HH94+(1-EXP(-LN(2)/25))/(LN(2)/25)*Calculateur!HC95*Calculateur!HE95*VLOOKUP('Données projet'!$B$18,Paramètres!$A$1:$I$89,3,0)*0.475*44/12</f>
        <v>0</v>
      </c>
      <c r="HI95" s="23">
        <f>EXP(-LN(2)/2)*HI94+(1-EXP(-LN(2)/2))/(LN(2)/2)*HC95*HF95*VLOOKUP('Données projet'!$B$18,Paramètres!$A$1:$I$89,3,0)*0.475*44/12</f>
        <v>0</v>
      </c>
      <c r="HJ95" s="24">
        <f t="shared" si="84"/>
        <v>41.668473183386951</v>
      </c>
    </row>
    <row r="96" spans="1:218" s="5" customFormat="1" x14ac:dyDescent="0.2">
      <c r="A96" s="11">
        <f t="shared" si="85"/>
        <v>93</v>
      </c>
      <c r="B96" s="74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-4.5474735088646412E-13</v>
      </c>
      <c r="O96" s="14">
        <f>N96*VLOOKUP('Données projet'!$B$9,Paramètres!$A$1:$I$89,3,0)*VLOOKUP('Données projet'!$B$9,Paramètres!$A$1:$I$89,5,0)</f>
        <v>-3.9017322706058626E-13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623.31285537237943</v>
      </c>
      <c r="T96" s="62">
        <f t="shared" si="88"/>
        <v>462.33909258902241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323.18171985651048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323.18171985651048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projet'!$B$10,Paramètres!$A$1:$I$89,3,0)*VLOOKUP('Données projet'!$B$10,Paramètres!$A$1:$I$89,5,0)</f>
        <v>4.9658410716801891E-14</v>
      </c>
      <c r="AK96" s="14">
        <f t="shared" si="89"/>
        <v>8.0934058173791862E-13</v>
      </c>
      <c r="AL96" s="22">
        <f t="shared" si="58"/>
        <v>1.4960899118586383E-12</v>
      </c>
      <c r="AM96" s="62">
        <f t="shared" si="59"/>
        <v>293.33333333333479</v>
      </c>
      <c r="AN96" s="62">
        <f ca="1">AVERAGE(OFFSET($AM$3,0,0,'Données projet'!$E$10+1,1))-AVERAGE(OFFSET($H$3,0,0,'Données projet'!$E$10+1,1))</f>
        <v>390.70479111593545</v>
      </c>
      <c r="AO96" s="62">
        <f t="shared" si="90"/>
        <v>374.99493809709708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127.3051379946054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127.3051379946054</v>
      </c>
      <c r="AY96" s="7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5.6843418860808015E-14</v>
      </c>
      <c r="BE96" s="14">
        <f>BD96*VLOOKUP('Données projet'!$B$11,Paramètres!$A$1:$I$89,3,0)*VLOOKUP('Données projet'!$B$11,Paramètres!$A$1:$I$89,5,0)</f>
        <v>4.5224624045658861E-14</v>
      </c>
      <c r="BF96" s="14">
        <f t="shared" si="91"/>
        <v>7.4514601661523691E-13</v>
      </c>
      <c r="BG96" s="22">
        <f t="shared" si="61"/>
        <v>1.3765621991510601E-12</v>
      </c>
      <c r="BH96" s="62">
        <f t="shared" si="62"/>
        <v>293.33333333333468</v>
      </c>
      <c r="BI96" s="62">
        <f ca="1">AVERAGE(OFFSET($BH$3,0,0,'Données projet'!$E$11+1,1))-AVERAGE(OFFSET($H$3,0,0,'Données projet'!$E$11+1,1))</f>
        <v>359.18294335011535</v>
      </c>
      <c r="BJ96" s="62">
        <f t="shared" si="92"/>
        <v>345.47508134331241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115.9386078165156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115.9386078165156</v>
      </c>
      <c r="BT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5.6843418860808015E-14</v>
      </c>
      <c r="BZ96" s="14">
        <f>BY96*VLOOKUP('Données projet'!$B$12,Paramètres!$A$1:$I$89,3,0)*VLOOKUP('Données projet'!$B$12,Paramètres!$A$1:$I$89,5,0)</f>
        <v>4.1677594708744434E-14</v>
      </c>
      <c r="CA96" s="14">
        <f t="shared" si="93"/>
        <v>6.9326303456159188E-13</v>
      </c>
      <c r="CB96" s="22">
        <f t="shared" si="64"/>
        <v>1.2800215959791691E-12</v>
      </c>
      <c r="CC96" s="62">
        <f t="shared" si="65"/>
        <v>293.33333333333462</v>
      </c>
      <c r="CD96" s="62">
        <f ca="1">AVERAGE(OFFSET($CC$3,0,0,'Données projet'!$E$12+1,1))-AVERAGE(OFFSET($H$3,0,0,'Données projet'!$E$12+1,1))</f>
        <v>333.9187211440219</v>
      </c>
      <c r="CE96" s="62">
        <f t="shared" si="94"/>
        <v>321.81422611044997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86.685877320450629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86.685877320450629</v>
      </c>
      <c r="CO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5.6843418860808015E-14</v>
      </c>
      <c r="CU96" s="18">
        <f>CT96*VLOOKUP('Données projet'!$B$13,Paramètres!$A$1:$I$89,3,0)*VLOOKUP('Données projet'!$B$13,Paramètres!$A$1:$I$89,5,0)</f>
        <v>4.6111381379887463E-14</v>
      </c>
      <c r="CV96" s="14">
        <f t="shared" si="95"/>
        <v>7.5804141040779151E-13</v>
      </c>
      <c r="CW96" s="22">
        <f t="shared" si="67"/>
        <v>1.4005661123635408E-12</v>
      </c>
      <c r="CX96" s="62">
        <f t="shared" si="68"/>
        <v>293.33333333333474</v>
      </c>
      <c r="CY96" s="62">
        <f ca="1">AVERAGE(OFFSET($CX$3,0,0,'Données projet'!$E$13+1,1))-AVERAGE(OFFSET($H$3,0,0,'Données projet'!$E$13+1,1))</f>
        <v>365.492319515595</v>
      </c>
      <c r="CZ96" s="62">
        <f t="shared" si="96"/>
        <v>351.38386928091433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95.907779163051728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95.907779163051728</v>
      </c>
      <c r="DJ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8.2910000000000021</v>
      </c>
      <c r="DO96" s="13">
        <f>IF('Données projet'!$A$166&gt;35,DO95+DN96-DW95,IF(A96&lt;'Données projet'!$A$166,$DL$205^A96,IF(A96='Données projet'!$A$166,'Données projet'!$B$166,DO95+DN96-DW95)))</f>
        <v>338.49900000000025</v>
      </c>
      <c r="DP96" s="18">
        <f>DO96*VLOOKUP('Données projet'!$B$14,Paramètres!$A$1:$I$89,3,0)*VLOOKUP('Données projet'!$B$14,Paramètres!$A$1:$I$89,5,0)</f>
        <v>285.15155760000027</v>
      </c>
      <c r="DQ96" s="14">
        <f t="shared" si="97"/>
        <v>68.054523259151196</v>
      </c>
      <c r="DR96" s="22">
        <f t="shared" si="70"/>
        <v>615.16725749635543</v>
      </c>
      <c r="DS96" s="62">
        <f t="shared" si="71"/>
        <v>908.50059082968869</v>
      </c>
      <c r="DT96" s="62">
        <f ca="1">AVERAGE(OFFSET($DS$3,0,0,'Données projet'!$E$14+1,1))-AVERAGE(OFFSET($H$3,0,0,'Données projet'!$E$14+1,1))</f>
        <v>544.89250424794909</v>
      </c>
      <c r="DU96" s="62">
        <f t="shared" si="98"/>
        <v>253.98688498110715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21.238018719138125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21.238018719138125</v>
      </c>
      <c r="EE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8.2910000000000021</v>
      </c>
      <c r="EJ96" s="13">
        <f>IF('Données projet'!$A$192&gt;35,EJ95+EI96-ER95,IF(A96&lt;'Données projet'!$A$192,$EG$205^A96,IF(A96='Données projet'!$A$192,'Données projet'!$B$192,EJ95+EI96-ER95)))</f>
        <v>338.49900000000025</v>
      </c>
      <c r="EK96" s="18">
        <f>EJ96*VLOOKUP('Données projet'!$B$15,Paramètres!$A$1:$I$89,3,0)*VLOOKUP('Données projet'!$B$15,Paramètres!$A$1:$I$89,5,0)</f>
        <v>306.27389520000025</v>
      </c>
      <c r="EL96" s="14">
        <f t="shared" si="99"/>
        <v>72.490124377904692</v>
      </c>
      <c r="EM96" s="22">
        <f t="shared" si="73"/>
        <v>659.68066743151769</v>
      </c>
      <c r="EN96" s="62">
        <f t="shared" si="74"/>
        <v>953.01400076485106</v>
      </c>
      <c r="EO96" s="62">
        <f ca="1">AVERAGE(OFFSET($EN$3,0,0,'Données projet'!$E$15+1,1))-AVERAGE(OFFSET($H$3,0,0,'Données projet'!$E$15+1,1))</f>
        <v>581.88778927327667</v>
      </c>
      <c r="EP96" s="62">
        <f t="shared" si="100"/>
        <v>269.67340993773422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22.811205290926139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22.811205290926139</v>
      </c>
      <c r="EZ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8.2910000000000021</v>
      </c>
      <c r="FE96" s="13">
        <f>IF('Données projet'!$A$218&gt;35,FE95+FD96-FM95,IF(A96&lt;'Données projet'!$A$218,$FB$205^A96,IF(A96='Données projet'!$A$218,'Données projet'!$B$218,FE95+FD96-FM95)))</f>
        <v>338.49900000000025</v>
      </c>
      <c r="FF96" s="18">
        <f>FE96*VLOOKUP('Données projet'!$B$16,Paramètres!$A$1:$I$89,3,0)*VLOOKUP('Données projet'!$B$16,Paramètres!$A$1:$I$89,5,0)</f>
        <v>343.23798600000026</v>
      </c>
      <c r="FG96" s="14">
        <f t="shared" si="101"/>
        <v>80.16856533953208</v>
      </c>
      <c r="FH96" s="22">
        <f t="shared" si="76"/>
        <v>737.43307691635209</v>
      </c>
      <c r="FI96" s="62">
        <f t="shared" si="77"/>
        <v>1030.7664102496854</v>
      </c>
      <c r="FJ96" s="62">
        <f ca="1">AVERAGE(OFFSET($FI$3,0,0,'Données projet'!$E$16+1,1))-AVERAGE(OFFSET($H$3,0,0,'Données projet'!$E$16+1,1))</f>
        <v>646.50767193970182</v>
      </c>
      <c r="FK96" s="62">
        <f t="shared" si="102"/>
        <v>297.06786598620607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25.564281791555153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25.564281791555153</v>
      </c>
      <c r="FU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8.2910000000000021</v>
      </c>
      <c r="FZ96" s="13">
        <f>IF('Données projet'!$A$244&gt;35,FZ95+FY96-GH95,IF(A96&lt;'Données projet'!$A$244,$FW$205^A96,IF(A96='Données projet'!$A$244,'Données projet'!$B$244,FZ95+FY96-GH95)))</f>
        <v>338.49900000000025</v>
      </c>
      <c r="GA96" s="18">
        <f>FZ96*VLOOKUP('Données projet'!$B$17,Paramètres!$A$1:$I$89,3,0)*VLOOKUP('Données projet'!$B$17,Paramètres!$A$1:$I$89,5,0)</f>
        <v>227.06512920000017</v>
      </c>
      <c r="GB96" s="14">
        <f t="shared" si="103"/>
        <v>55.64762031729645</v>
      </c>
      <c r="GC96" s="22">
        <f t="shared" si="79"/>
        <v>492.39137207595832</v>
      </c>
      <c r="GD96" s="62">
        <f t="shared" si="80"/>
        <v>785.72470540929157</v>
      </c>
      <c r="GE96" s="62">
        <f ca="1">AVERAGE(OFFSET($GD$3,0,0,'Données projet'!$E$17+1,1))-AVERAGE(OFFSET($H$3,0,0,'Données projet'!$E$17+1,1))</f>
        <v>442.85175349826028</v>
      </c>
      <c r="GF96" s="62">
        <f t="shared" si="104"/>
        <v>210.70697808232501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20.844722076191118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20.844722076191118</v>
      </c>
      <c r="GP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5.4</v>
      </c>
      <c r="GU96" s="13">
        <f>IF('Données projet'!$A$270&gt;35,GU95+GT96-HC95,IF(A96&lt;'Données projet'!$A$270,$GR$205^A96,IF(A96='Données projet'!$A$270,'Données projet'!$B$270,GU95+GT96-HC95)))</f>
        <v>275.2</v>
      </c>
      <c r="GV96" s="18">
        <f>GU96*VLOOKUP('Données projet'!$B$18,Paramètres!$A$1:$I$89,3,0)*VLOOKUP('Données projet'!$B$18,Paramètres!$A$1:$I$89,5,0)</f>
        <v>261.88031999999998</v>
      </c>
      <c r="GW96" s="14">
        <f t="shared" si="105"/>
        <v>63.123017945851778</v>
      </c>
      <c r="GX96" s="22">
        <f t="shared" si="82"/>
        <v>566.04748025569177</v>
      </c>
      <c r="GY96" s="62">
        <f t="shared" si="83"/>
        <v>859.38081358902514</v>
      </c>
      <c r="GZ96" s="62">
        <f ca="1">AVERAGE(OFFSET($GY$3,0,0,'Données projet'!$E$18+1,1))-AVERAGE(OFFSET($H$3,0,0,'Données projet'!$E$18+1,1))</f>
        <v>420.2510366318939</v>
      </c>
      <c r="HA96" s="62">
        <f t="shared" si="106"/>
        <v>220.59884411514116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40.851379839519829</v>
      </c>
      <c r="HH96" s="23">
        <f>EXP(-LN(2)/25)*HH95+(1-EXP(-LN(2)/25))/(LN(2)/25)*Calculateur!HC96*Calculateur!HE96*VLOOKUP('Données projet'!$B$18,Paramètres!$A$1:$I$89,3,0)*0.475*44/12</f>
        <v>0</v>
      </c>
      <c r="HI96" s="23">
        <f>EXP(-LN(2)/2)*HI95+(1-EXP(-LN(2)/2))/(LN(2)/2)*HC96*HF96*VLOOKUP('Données projet'!$B$18,Paramètres!$A$1:$I$89,3,0)*0.475*44/12</f>
        <v>0</v>
      </c>
      <c r="HJ96" s="24">
        <f t="shared" si="84"/>
        <v>40.851379839519829</v>
      </c>
    </row>
    <row r="97" spans="1:218" s="5" customFormat="1" x14ac:dyDescent="0.2">
      <c r="A97" s="11">
        <f t="shared" si="85"/>
        <v>94</v>
      </c>
      <c r="B97" s="74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-4.5474735088646412E-13</v>
      </c>
      <c r="O97" s="14">
        <f>N97*VLOOKUP('Données projet'!$B$9,Paramètres!$A$1:$I$89,3,0)*VLOOKUP('Données projet'!$B$9,Paramètres!$A$1:$I$89,5,0)</f>
        <v>-3.9017322706058626E-13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623.31285537237943</v>
      </c>
      <c r="T97" s="62">
        <f t="shared" si="88"/>
        <v>462.33909258902241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316.8443234515093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316.8443234515093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projet'!$B$10,Paramètres!$A$1:$I$89,3,0)*VLOOKUP('Données projet'!$B$10,Paramètres!$A$1:$I$89,5,0)</f>
        <v>4.9658410716801891E-14</v>
      </c>
      <c r="AK97" s="14">
        <f t="shared" si="89"/>
        <v>8.0934058173791862E-13</v>
      </c>
      <c r="AL97" s="22">
        <f t="shared" si="58"/>
        <v>1.4960899118586383E-12</v>
      </c>
      <c r="AM97" s="62">
        <f t="shared" si="59"/>
        <v>293.33333333333479</v>
      </c>
      <c r="AN97" s="62">
        <f ca="1">AVERAGE(OFFSET($AM$3,0,0,'Données projet'!$E$10+1,1))-AVERAGE(OFFSET($H$3,0,0,'Données projet'!$E$10+1,1))</f>
        <v>390.70479111593545</v>
      </c>
      <c r="AO97" s="62">
        <f t="shared" si="90"/>
        <v>374.99493809709708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124.80876188699821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124.80876188699821</v>
      </c>
      <c r="AY97" s="7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5.6843418860808015E-14</v>
      </c>
      <c r="BE97" s="14">
        <f>BD97*VLOOKUP('Données projet'!$B$11,Paramètres!$A$1:$I$89,3,0)*VLOOKUP('Données projet'!$B$11,Paramètres!$A$1:$I$89,5,0)</f>
        <v>4.5224624045658861E-14</v>
      </c>
      <c r="BF97" s="14">
        <f t="shared" si="91"/>
        <v>7.4514601661523691E-13</v>
      </c>
      <c r="BG97" s="22">
        <f t="shared" si="61"/>
        <v>1.3765621991510601E-12</v>
      </c>
      <c r="BH97" s="62">
        <f t="shared" si="62"/>
        <v>293.33333333333468</v>
      </c>
      <c r="BI97" s="62">
        <f ca="1">AVERAGE(OFFSET($BH$3,0,0,'Données projet'!$E$11+1,1))-AVERAGE(OFFSET($H$3,0,0,'Données projet'!$E$11+1,1))</f>
        <v>359.18294335011535</v>
      </c>
      <c r="BJ97" s="62">
        <f t="shared" si="92"/>
        <v>345.47508134331241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113.66512243280191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113.66512243280191</v>
      </c>
      <c r="BT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5.6843418860808015E-14</v>
      </c>
      <c r="BZ97" s="14">
        <f>BY97*VLOOKUP('Données projet'!$B$12,Paramètres!$A$1:$I$89,3,0)*VLOOKUP('Données projet'!$B$12,Paramètres!$A$1:$I$89,5,0)</f>
        <v>4.1677594708744434E-14</v>
      </c>
      <c r="CA97" s="14">
        <f t="shared" si="93"/>
        <v>6.9326303456159188E-13</v>
      </c>
      <c r="CB97" s="22">
        <f t="shared" si="64"/>
        <v>1.2800215959791691E-12</v>
      </c>
      <c r="CC97" s="62">
        <f t="shared" si="65"/>
        <v>293.33333333333462</v>
      </c>
      <c r="CD97" s="62">
        <f ca="1">AVERAGE(OFFSET($CC$3,0,0,'Données projet'!$E$12+1,1))-AVERAGE(OFFSET($H$3,0,0,'Données projet'!$E$12+1,1))</f>
        <v>333.9187211440219</v>
      </c>
      <c r="CE97" s="62">
        <f t="shared" si="94"/>
        <v>321.81422611044997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84.98602013936096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84.98602013936096</v>
      </c>
      <c r="CO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5.6843418860808015E-14</v>
      </c>
      <c r="CU97" s="18">
        <f>CT97*VLOOKUP('Données projet'!$B$13,Paramètres!$A$1:$I$89,3,0)*VLOOKUP('Données projet'!$B$13,Paramètres!$A$1:$I$89,5,0)</f>
        <v>4.6111381379887463E-14</v>
      </c>
      <c r="CV97" s="14">
        <f t="shared" si="95"/>
        <v>7.5804141040779151E-13</v>
      </c>
      <c r="CW97" s="22">
        <f t="shared" si="67"/>
        <v>1.4005661123635408E-12</v>
      </c>
      <c r="CX97" s="62">
        <f t="shared" si="68"/>
        <v>293.33333333333474</v>
      </c>
      <c r="CY97" s="62">
        <f ca="1">AVERAGE(OFFSET($CX$3,0,0,'Données projet'!$E$13+1,1))-AVERAGE(OFFSET($H$3,0,0,'Données projet'!$E$13+1,1))</f>
        <v>365.492319515595</v>
      </c>
      <c r="CZ97" s="62">
        <f t="shared" si="96"/>
        <v>351.38386928091433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94.02708611163338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94.02708611163338</v>
      </c>
      <c r="DJ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>
        <f>VLOOKUP(A97,'Données projet'!$A$165:$I$185,2,0)</f>
        <v>346.79</v>
      </c>
      <c r="DM97" s="13">
        <f>VLOOKUP(A97,'Données projet'!$A$165:$I$185,9,0)</f>
        <v>8.2910000000000021</v>
      </c>
      <c r="DN97" s="13">
        <f t="array" ref="DN97">INDEX(DM:DM,MIN(IF(ISNUMBER(DM97:DM293),ROW(DM97:DM293),"")))</f>
        <v>8.2910000000000021</v>
      </c>
      <c r="DO97" s="13">
        <f>IF('Données projet'!$A$166&gt;35,DO96+DN97-DW96,IF(A97&lt;'Données projet'!$A$166,$DL$205^A97,IF(A97='Données projet'!$A$166,'Données projet'!$B$166,DO96+DN97-DW96)))</f>
        <v>346.79000000000025</v>
      </c>
      <c r="DP97" s="18">
        <f>DO97*VLOOKUP('Données projet'!$B$14,Paramètres!$A$1:$I$89,3,0)*VLOOKUP('Données projet'!$B$14,Paramètres!$A$1:$I$89,5,0)</f>
        <v>292.13589600000023</v>
      </c>
      <c r="DQ97" s="14">
        <f t="shared" si="97"/>
        <v>69.525305140442811</v>
      </c>
      <c r="DR97" s="22">
        <f t="shared" si="70"/>
        <v>629.89325865293824</v>
      </c>
      <c r="DS97" s="62">
        <f t="shared" si="71"/>
        <v>923.22659198627161</v>
      </c>
      <c r="DT97" s="62">
        <f ca="1">AVERAGE(OFFSET($DS$3,0,0,'Données projet'!$E$14+1,1))-AVERAGE(OFFSET($H$3,0,0,'Données projet'!$E$14+1,1))</f>
        <v>544.89250424794909</v>
      </c>
      <c r="DU97" s="62">
        <f t="shared" si="98"/>
        <v>253.98688498110715</v>
      </c>
      <c r="DV97" s="16">
        <f>IF(ISNA(VLOOKUP(A97,'Données projet'!$A$165:$I$185,3,0)),0,VLOOKUP(A97,'Données projet'!$A$165:$I$185,3,0))</f>
        <v>7</v>
      </c>
      <c r="DW97" s="16">
        <f>IF(ISNA(VLOOKUP(A97,'Données projet'!$A$165:$I$185,4,0)),0,VLOOKUP(A97,'Données projet'!$A$165:$I$185,4,0))</f>
        <v>61.85</v>
      </c>
      <c r="DX97" s="17">
        <f>IF(ISNA(VLOOKUP(A97,'Données projet'!$A$165:$I$185,5,0)),0%,VLOOKUP(A97,'Données projet'!$A$165:$I$185,5,0)*VLOOKUP('Données projet'!$B$14,Paramètres!$A$1:$I$89,7,0))</f>
        <v>0.215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33.205060512067597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33.205060512067597</v>
      </c>
      <c r="EE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>
        <f>VLOOKUP(A97,'Données projet'!$A$191:$I$211,2,0)</f>
        <v>346.79</v>
      </c>
      <c r="EH97" s="13">
        <f>VLOOKUP(A97,'Données projet'!$A$191:$I$211,9,0)</f>
        <v>8.2910000000000021</v>
      </c>
      <c r="EI97" s="13">
        <f t="array" ref="EI97">INDEX(EH:EH,MIN(IF(ISNUMBER(EH97:EH293),ROW(EH97:EH293),"")))</f>
        <v>8.2910000000000021</v>
      </c>
      <c r="EJ97" s="13">
        <f>IF('Données projet'!$A$192&gt;35,EJ96+EI97-ER96,IF(A97&lt;'Données projet'!$A$192,$EG$205^A97,IF(A97='Données projet'!$A$192,'Données projet'!$B$192,EJ96+EI97-ER96)))</f>
        <v>346.79000000000025</v>
      </c>
      <c r="EK97" s="18">
        <f>EJ97*VLOOKUP('Données projet'!$B$15,Paramètres!$A$1:$I$89,3,0)*VLOOKUP('Données projet'!$B$15,Paramètres!$A$1:$I$89,5,0)</f>
        <v>313.77559200000019</v>
      </c>
      <c r="EL97" s="14">
        <f t="shared" si="99"/>
        <v>74.056767657464533</v>
      </c>
      <c r="EM97" s="22">
        <f t="shared" si="73"/>
        <v>675.47469307008441</v>
      </c>
      <c r="EN97" s="62">
        <f t="shared" si="74"/>
        <v>968.80802640341767</v>
      </c>
      <c r="EO97" s="62">
        <f ca="1">AVERAGE(OFFSET($EN$3,0,0,'Données projet'!$E$15+1,1))-AVERAGE(OFFSET($H$3,0,0,'Données projet'!$E$15+1,1))</f>
        <v>581.88778927327667</v>
      </c>
      <c r="EP97" s="62">
        <f t="shared" si="100"/>
        <v>269.67340993773422</v>
      </c>
      <c r="EQ97" s="16">
        <f>IF(ISNA(VLOOKUP(A97,'Données projet'!$A$191:$I$211,3,0)),0,VLOOKUP(A97,'Données projet'!$A$191:$I$211,3,0))</f>
        <v>7</v>
      </c>
      <c r="ER97" s="16">
        <f>IF(ISNA(VLOOKUP(A97,'Données projet'!$A$191:$I$211,4,0)),0,VLOOKUP(A97,'Données projet'!$A$191:$I$211,4,0))</f>
        <v>61.85</v>
      </c>
      <c r="ES97" s="17">
        <f>IF(ISNA(VLOOKUP(A97,'Données projet'!$A$191:$I$211,5,0)),0%,VLOOKUP(A97,'Données projet'!$A$191:$I$211,5,0)*VLOOKUP('Données projet'!$B$15,Paramètres!$A$1:$I$89,7,0))</f>
        <v>0.215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35.664694624072609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35.664694624072609</v>
      </c>
      <c r="EZ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>
        <f>VLOOKUP(A97,'Données projet'!$A$217:$I$237,2,0)</f>
        <v>346.79</v>
      </c>
      <c r="FC97" s="13">
        <f>VLOOKUP(A97,'Données projet'!$A$217:$I$237,9,0)</f>
        <v>8.2910000000000021</v>
      </c>
      <c r="FD97" s="13">
        <f t="array" ref="FD97">INDEX(FC:FC,MIN(IF(ISNUMBER(FC97:FC293),ROW(FC97:FC293),"")))</f>
        <v>8.2910000000000021</v>
      </c>
      <c r="FE97" s="13">
        <f>IF('Données projet'!$A$218&gt;35,FE96+FD97-FM96,IF(A97&lt;'Données projet'!$A$218,$FB$205^A97,IF(A97='Données projet'!$A$218,'Données projet'!$B$218,FE96+FD97-FM96)))</f>
        <v>346.79000000000025</v>
      </c>
      <c r="FF97" s="18">
        <f>FE97*VLOOKUP('Données projet'!$B$16,Paramètres!$A$1:$I$89,3,0)*VLOOKUP('Données projet'!$B$16,Paramètres!$A$1:$I$89,5,0)</f>
        <v>351.64506000000029</v>
      </c>
      <c r="FG97" s="14">
        <f t="shared" si="101"/>
        <v>81.901153677584574</v>
      </c>
      <c r="FH97" s="22">
        <f t="shared" si="76"/>
        <v>755.09298882179371</v>
      </c>
      <c r="FI97" s="62">
        <f t="shared" si="77"/>
        <v>1048.4263221551271</v>
      </c>
      <c r="FJ97" s="62">
        <f ca="1">AVERAGE(OFFSET($FI$3,0,0,'Données projet'!$E$16+1,1))-AVERAGE(OFFSET($H$3,0,0,'Données projet'!$E$16+1,1))</f>
        <v>646.50767193970182</v>
      </c>
      <c r="FK97" s="62">
        <f t="shared" si="102"/>
        <v>297.06786598620607</v>
      </c>
      <c r="FL97" s="16">
        <f>IF(ISNA(VLOOKUP(A97,'Données projet'!$A$217:$I$237,3,0)),0,VLOOKUP(A97,'Données projet'!$A$217:$I$237,3,0))</f>
        <v>7</v>
      </c>
      <c r="FM97" s="16">
        <f>IF(ISNA(VLOOKUP(A97,'Données projet'!$A$217:$I$237,4,0)),0,VLOOKUP(A97,'Données projet'!$A$217:$I$237,4,0))</f>
        <v>61.85</v>
      </c>
      <c r="FN97" s="17">
        <f>IF(ISNA(VLOOKUP(A97,'Données projet'!$A$217:$I$237,5,0)),0%,VLOOKUP(A97,'Données projet'!$A$217:$I$237,5,0)*VLOOKUP('Données projet'!$B$16,Paramètres!$A$1:$I$89,7,0))</f>
        <v>0.215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39.969054320081369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39.969054320081369</v>
      </c>
      <c r="FU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>
        <f>VLOOKUP(A97,'Données projet'!$A$243:$I$263,2,0)</f>
        <v>346.79</v>
      </c>
      <c r="FX97" s="13">
        <f>VLOOKUP(A97,'Données projet'!$A$243:$I$263,9,0)</f>
        <v>8.2910000000000021</v>
      </c>
      <c r="FY97" s="13">
        <f t="array" ref="FY97">INDEX(FX:FX,MIN(IF(ISNUMBER(FX97:FX293),ROW(FX97:FX293),"")))</f>
        <v>8.2910000000000021</v>
      </c>
      <c r="FZ97" s="13">
        <f>IF('Données projet'!$A$244&gt;35,FZ96+FY97-GH96,IF(A97&lt;'Données projet'!$A$244,$FW$205^A97,IF(A97='Données projet'!$A$244,'Données projet'!$B$244,FZ96+FY97-GH96)))</f>
        <v>346.79000000000025</v>
      </c>
      <c r="GA97" s="18">
        <f>FZ97*VLOOKUP('Données projet'!$B$17,Paramètres!$A$1:$I$89,3,0)*VLOOKUP('Données projet'!$B$17,Paramètres!$A$1:$I$89,5,0)</f>
        <v>232.62673200000017</v>
      </c>
      <c r="GB97" s="14">
        <f t="shared" si="103"/>
        <v>56.850266486574739</v>
      </c>
      <c r="GC97" s="22">
        <f t="shared" si="79"/>
        <v>504.17243903078469</v>
      </c>
      <c r="GD97" s="62">
        <f t="shared" si="80"/>
        <v>797.505772364118</v>
      </c>
      <c r="GE97" s="62">
        <f ca="1">AVERAGE(OFFSET($GD$3,0,0,'Données projet'!$E$17+1,1))-AVERAGE(OFFSET($H$3,0,0,'Données projet'!$E$17+1,1))</f>
        <v>442.85175349826028</v>
      </c>
      <c r="GF97" s="62">
        <f t="shared" si="104"/>
        <v>210.70697808232501</v>
      </c>
      <c r="GG97" s="16">
        <f>IF(ISNA(VLOOKUP(A97,'Données projet'!$A$243:$I$263,3,0)),0,VLOOKUP(A97,'Données projet'!$A$243:$I$263,3,0))</f>
        <v>7</v>
      </c>
      <c r="GH97" s="16">
        <f>IF(ISNA(VLOOKUP(A97,'Données projet'!$A$243:$I$263,4,0)),0,VLOOKUP(A97,'Données projet'!$A$243:$I$263,4,0))</f>
        <v>61.85</v>
      </c>
      <c r="GI97" s="17">
        <f>IF(ISNA(VLOOKUP(A97,'Données projet'!$A$243:$I$263,5,0)),0%,VLOOKUP(A97,'Données projet'!$A$243:$I$263,5,0)*VLOOKUP('Données projet'!$B$17,Paramètres!$A$1:$I$89,7,0))</f>
        <v>0.26500000000000001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32.590151984066338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32.590151984066338</v>
      </c>
      <c r="GP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5.4</v>
      </c>
      <c r="GU97" s="13">
        <f>IF('Données projet'!$A$270&gt;35,GU96+GT97-HC96,IF(A97&lt;'Données projet'!$A$270,$GR$205^A97,IF(A97='Données projet'!$A$270,'Données projet'!$B$270,GU96+GT97-HC96)))</f>
        <v>280.59999999999997</v>
      </c>
      <c r="GV97" s="18">
        <f>GU97*VLOOKUP('Données projet'!$B$18,Paramètres!$A$1:$I$89,3,0)*VLOOKUP('Données projet'!$B$18,Paramètres!$A$1:$I$89,5,0)</f>
        <v>267.01895999999994</v>
      </c>
      <c r="GW97" s="14">
        <f t="shared" si="105"/>
        <v>64.216209154007785</v>
      </c>
      <c r="GX97" s="22">
        <f t="shared" si="82"/>
        <v>576.90125294323013</v>
      </c>
      <c r="GY97" s="62">
        <f t="shared" si="83"/>
        <v>870.2345862765635</v>
      </c>
      <c r="GZ97" s="62">
        <f ca="1">AVERAGE(OFFSET($GY$3,0,0,'Données projet'!$E$18+1,1))-AVERAGE(OFFSET($H$3,0,0,'Données projet'!$E$18+1,1))</f>
        <v>420.2510366318939</v>
      </c>
      <c r="HA97" s="62">
        <f t="shared" si="106"/>
        <v>220.59884411514116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40.050309197748213</v>
      </c>
      <c r="HH97" s="23">
        <f>EXP(-LN(2)/25)*HH96+(1-EXP(-LN(2)/25))/(LN(2)/25)*Calculateur!HC97*Calculateur!HE97*VLOOKUP('Données projet'!$B$18,Paramètres!$A$1:$I$89,3,0)*0.475*44/12</f>
        <v>0</v>
      </c>
      <c r="HI97" s="23">
        <f>EXP(-LN(2)/2)*HI96+(1-EXP(-LN(2)/2))/(LN(2)/2)*HC97*HF97*VLOOKUP('Données projet'!$B$18,Paramètres!$A$1:$I$89,3,0)*0.475*44/12</f>
        <v>0</v>
      </c>
      <c r="HJ97" s="24">
        <f t="shared" si="84"/>
        <v>40.050309197748213</v>
      </c>
    </row>
    <row r="98" spans="1:218" s="5" customFormat="1" x14ac:dyDescent="0.2">
      <c r="A98" s="11">
        <f t="shared" si="85"/>
        <v>95</v>
      </c>
      <c r="B98" s="74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-4.5474735088646412E-13</v>
      </c>
      <c r="O98" s="14">
        <f>N98*VLOOKUP('Données projet'!$B$9,Paramètres!$A$1:$I$89,3,0)*VLOOKUP('Données projet'!$B$9,Paramètres!$A$1:$I$89,5,0)</f>
        <v>-3.9017322706058626E-13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623.31285537237943</v>
      </c>
      <c r="T98" s="62">
        <f t="shared" si="88"/>
        <v>462.33909258902241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310.63119952458004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310.63119952458004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projet'!$B$10,Paramètres!$A$1:$I$89,3,0)*VLOOKUP('Données projet'!$B$10,Paramètres!$A$1:$I$89,5,0)</f>
        <v>4.9658410716801891E-14</v>
      </c>
      <c r="AK98" s="14">
        <f t="shared" si="89"/>
        <v>8.0934058173791862E-13</v>
      </c>
      <c r="AL98" s="22">
        <f t="shared" si="58"/>
        <v>1.4960899118586383E-12</v>
      </c>
      <c r="AM98" s="62">
        <f t="shared" si="59"/>
        <v>293.33333333333479</v>
      </c>
      <c r="AN98" s="62">
        <f ca="1">AVERAGE(OFFSET($AM$3,0,0,'Données projet'!$E$10+1,1))-AVERAGE(OFFSET($H$3,0,0,'Données projet'!$E$10+1,1))</f>
        <v>390.70479111593545</v>
      </c>
      <c r="AO98" s="62">
        <f t="shared" si="90"/>
        <v>374.99493809709708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122.36133819222212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122.36133819222212</v>
      </c>
      <c r="AY98" s="7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5.6843418860808015E-14</v>
      </c>
      <c r="BE98" s="14">
        <f>BD98*VLOOKUP('Données projet'!$B$11,Paramètres!$A$1:$I$89,3,0)*VLOOKUP('Données projet'!$B$11,Paramètres!$A$1:$I$89,5,0)</f>
        <v>4.5224624045658861E-14</v>
      </c>
      <c r="BF98" s="14">
        <f t="shared" si="91"/>
        <v>7.4514601661523691E-13</v>
      </c>
      <c r="BG98" s="22">
        <f t="shared" si="61"/>
        <v>1.3765621991510601E-12</v>
      </c>
      <c r="BH98" s="62">
        <f t="shared" si="62"/>
        <v>293.33333333333468</v>
      </c>
      <c r="BI98" s="62">
        <f ca="1">AVERAGE(OFFSET($BH$3,0,0,'Données projet'!$E$11+1,1))-AVERAGE(OFFSET($H$3,0,0,'Données projet'!$E$11+1,1))</f>
        <v>359.18294335011535</v>
      </c>
      <c r="BJ98" s="62">
        <f t="shared" si="92"/>
        <v>345.47508134331241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111.43621871077369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111.43621871077369</v>
      </c>
      <c r="BT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5.6843418860808015E-14</v>
      </c>
      <c r="BZ98" s="14">
        <f>BY98*VLOOKUP('Données projet'!$B$12,Paramètres!$A$1:$I$89,3,0)*VLOOKUP('Données projet'!$B$12,Paramètres!$A$1:$I$89,5,0)</f>
        <v>4.1677594708744434E-14</v>
      </c>
      <c r="CA98" s="14">
        <f t="shared" si="93"/>
        <v>6.9326303456159188E-13</v>
      </c>
      <c r="CB98" s="22">
        <f t="shared" si="64"/>
        <v>1.2800215959791691E-12</v>
      </c>
      <c r="CC98" s="62">
        <f t="shared" si="65"/>
        <v>293.33333333333462</v>
      </c>
      <c r="CD98" s="62">
        <f ca="1">AVERAGE(OFFSET($CC$3,0,0,'Données projet'!$E$12+1,1))-AVERAGE(OFFSET($H$3,0,0,'Données projet'!$E$12+1,1))</f>
        <v>333.9187211440219</v>
      </c>
      <c r="CE98" s="62">
        <f t="shared" si="94"/>
        <v>321.81422611044997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83.319496120781963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83.319496120781963</v>
      </c>
      <c r="CO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5.6843418860808015E-14</v>
      </c>
      <c r="CU98" s="18">
        <f>CT98*VLOOKUP('Données projet'!$B$13,Paramètres!$A$1:$I$89,3,0)*VLOOKUP('Données projet'!$B$13,Paramètres!$A$1:$I$89,5,0)</f>
        <v>4.6111381379887463E-14</v>
      </c>
      <c r="CV98" s="14">
        <f t="shared" si="95"/>
        <v>7.5804141040779151E-13</v>
      </c>
      <c r="CW98" s="22">
        <f t="shared" si="67"/>
        <v>1.4005661123635408E-12</v>
      </c>
      <c r="CX98" s="62">
        <f t="shared" si="68"/>
        <v>293.33333333333474</v>
      </c>
      <c r="CY98" s="62">
        <f ca="1">AVERAGE(OFFSET($CX$3,0,0,'Données projet'!$E$13+1,1))-AVERAGE(OFFSET($H$3,0,0,'Données projet'!$E$13+1,1))</f>
        <v>365.492319515595</v>
      </c>
      <c r="CZ98" s="62">
        <f t="shared" si="96"/>
        <v>351.38386928091433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92.18327230384385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92.18327230384385</v>
      </c>
      <c r="DJ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8.0470000000000024</v>
      </c>
      <c r="DO98" s="13">
        <f>IF('Données projet'!$A$166&gt;35,DO97+DN98-DW97,IF(A98&lt;'Données projet'!$A$166,$DL$205^A98,IF(A98='Données projet'!$A$166,'Données projet'!$B$166,DO97+DN98-DW97)))</f>
        <v>292.98700000000025</v>
      </c>
      <c r="DP98" s="18">
        <f>DO98*VLOOKUP('Données projet'!$B$14,Paramètres!$A$1:$I$89,3,0)*VLOOKUP('Données projet'!$B$14,Paramètres!$A$1:$I$89,5,0)</f>
        <v>246.81224880000025</v>
      </c>
      <c r="DQ98" s="14">
        <f t="shared" si="97"/>
        <v>59.902822920655026</v>
      </c>
      <c r="DR98" s="22">
        <f t="shared" si="70"/>
        <v>534.19541658014123</v>
      </c>
      <c r="DS98" s="62">
        <f t="shared" si="71"/>
        <v>827.52874991347448</v>
      </c>
      <c r="DT98" s="62">
        <f ca="1">AVERAGE(OFFSET($DS$3,0,0,'Données projet'!$E$14+1,1))-AVERAGE(OFFSET($H$3,0,0,'Données projet'!$E$14+1,1))</f>
        <v>544.89250424794909</v>
      </c>
      <c r="DU98" s="62">
        <f t="shared" si="98"/>
        <v>253.98688498110715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32.553929528513038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32.553929528513038</v>
      </c>
      <c r="EE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8.0470000000000024</v>
      </c>
      <c r="EJ98" s="13">
        <f>IF('Données projet'!$A$192&gt;35,EJ97+EI98-ER97,IF(A98&lt;'Données projet'!$A$192,$EG$205^A98,IF(A98='Données projet'!$A$192,'Données projet'!$B$192,EJ97+EI98-ER97)))</f>
        <v>292.98700000000025</v>
      </c>
      <c r="EK98" s="18">
        <f>EJ98*VLOOKUP('Données projet'!$B$15,Paramètres!$A$1:$I$89,3,0)*VLOOKUP('Données projet'!$B$15,Paramètres!$A$1:$I$89,5,0)</f>
        <v>265.09463760000023</v>
      </c>
      <c r="EL98" s="14">
        <f t="shared" si="99"/>
        <v>63.807119294189917</v>
      </c>
      <c r="EM98" s="22">
        <f t="shared" si="73"/>
        <v>572.83722659071452</v>
      </c>
      <c r="EN98" s="62">
        <f t="shared" si="74"/>
        <v>866.17055992404789</v>
      </c>
      <c r="EO98" s="62">
        <f ca="1">AVERAGE(OFFSET($EN$3,0,0,'Données projet'!$E$15+1,1))-AVERAGE(OFFSET($H$3,0,0,'Données projet'!$E$15+1,1))</f>
        <v>581.88778927327667</v>
      </c>
      <c r="EP98" s="62">
        <f t="shared" si="100"/>
        <v>269.67340993773422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34.965331715810308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34.965331715810308</v>
      </c>
      <c r="EZ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8.0470000000000024</v>
      </c>
      <c r="FE98" s="13">
        <f>IF('Données projet'!$A$218&gt;35,FE97+FD98-FM97,IF(A98&lt;'Données projet'!$A$218,$FB$205^A98,IF(A98='Données projet'!$A$218,'Données projet'!$B$218,FE97+FD98-FM97)))</f>
        <v>292.98700000000025</v>
      </c>
      <c r="FF98" s="18">
        <f>FE98*VLOOKUP('Données projet'!$B$16,Paramètres!$A$1:$I$89,3,0)*VLOOKUP('Données projet'!$B$16,Paramètres!$A$1:$I$89,5,0)</f>
        <v>297.08881800000029</v>
      </c>
      <c r="FG98" s="14">
        <f t="shared" si="101"/>
        <v>70.565821981438845</v>
      </c>
      <c r="FH98" s="22">
        <f t="shared" si="76"/>
        <v>640.33183130100645</v>
      </c>
      <c r="FI98" s="62">
        <f t="shared" si="77"/>
        <v>933.66516463433982</v>
      </c>
      <c r="FJ98" s="62">
        <f ca="1">AVERAGE(OFFSET($FI$3,0,0,'Données projet'!$E$16+1,1))-AVERAGE(OFFSET($H$3,0,0,'Données projet'!$E$16+1,1))</f>
        <v>646.50767193970182</v>
      </c>
      <c r="FK98" s="62">
        <f t="shared" si="102"/>
        <v>297.06786598620607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39.185285543580513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39.185285543580513</v>
      </c>
      <c r="FU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8.0470000000000024</v>
      </c>
      <c r="FZ98" s="13">
        <f>IF('Données projet'!$A$244&gt;35,FZ97+FY98-GH97,IF(A98&lt;'Données projet'!$A$244,$FW$205^A98,IF(A98='Données projet'!$A$244,'Données projet'!$B$244,FZ97+FY98-GH97)))</f>
        <v>292.98700000000025</v>
      </c>
      <c r="GA98" s="18">
        <f>FZ98*VLOOKUP('Données projet'!$B$17,Paramètres!$A$1:$I$89,3,0)*VLOOKUP('Données projet'!$B$17,Paramètres!$A$1:$I$89,5,0)</f>
        <v>196.53567960000018</v>
      </c>
      <c r="GB98" s="14">
        <f t="shared" si="103"/>
        <v>48.982042429848526</v>
      </c>
      <c r="GC98" s="22">
        <f t="shared" si="79"/>
        <v>427.61003253531982</v>
      </c>
      <c r="GD98" s="62">
        <f t="shared" si="80"/>
        <v>720.94336586865313</v>
      </c>
      <c r="GE98" s="62">
        <f ca="1">AVERAGE(OFFSET($GD$3,0,0,'Données projet'!$E$17+1,1))-AVERAGE(OFFSET($H$3,0,0,'Données projet'!$E$17+1,1))</f>
        <v>442.85175349826028</v>
      </c>
      <c r="GF98" s="62">
        <f t="shared" si="104"/>
        <v>210.70697808232501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31.951078981688717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31.951078981688717</v>
      </c>
      <c r="GP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>
        <f>VLOOKUP(A98,'Données projet'!$A$269:$I$289,2,0)</f>
        <v>286</v>
      </c>
      <c r="GS98" s="13">
        <f>VLOOKUP(A98,'Données projet'!$A$269:$I$289,9,0)</f>
        <v>5.4</v>
      </c>
      <c r="GT98" s="13">
        <f t="array" ref="GT98">INDEX(GS:GS,MIN(IF(ISNUMBER(GS98:GS294),ROW(GS98:GS294),"")))</f>
        <v>5.4</v>
      </c>
      <c r="GU98" s="13">
        <f>IF('Données projet'!$A$270&gt;35,GU97+GT98-HC97,IF(A98&lt;'Données projet'!$A$270,$GR$205^A98,IF(A98='Données projet'!$A$270,'Données projet'!$B$270,GU97+GT98-HC97)))</f>
        <v>285.99999999999994</v>
      </c>
      <c r="GV98" s="18">
        <f>GU98*VLOOKUP('Données projet'!$B$18,Paramètres!$A$1:$I$89,3,0)*VLOOKUP('Données projet'!$B$18,Paramètres!$A$1:$I$89,5,0)</f>
        <v>272.15759999999995</v>
      </c>
      <c r="GW98" s="14">
        <f t="shared" si="105"/>
        <v>65.306954132597255</v>
      </c>
      <c r="GX98" s="22">
        <f t="shared" si="82"/>
        <v>587.75076511427346</v>
      </c>
      <c r="GY98" s="62">
        <f t="shared" si="83"/>
        <v>881.08409844760672</v>
      </c>
      <c r="GZ98" s="62">
        <f ca="1">AVERAGE(OFFSET($GY$3,0,0,'Données projet'!$E$18+1,1))-AVERAGE(OFFSET($H$3,0,0,'Données projet'!$E$18+1,1))</f>
        <v>420.2510366318939</v>
      </c>
      <c r="HA98" s="62">
        <f t="shared" si="106"/>
        <v>220.59884411514116</v>
      </c>
      <c r="HB98" s="16">
        <f>IF(ISNA(VLOOKUP(A98,'Données projet'!$A$269:$I$289,3,0)),0,VLOOKUP(A98,'Données projet'!$A$269:$I$289,3,0))</f>
        <v>15</v>
      </c>
      <c r="HC98" s="16">
        <f>IF(ISNA(VLOOKUP(A98,'Données projet'!$A$269:$I$289,4,0)),0,VLOOKUP(A98,'Données projet'!$A$269:$I$289,4,0))</f>
        <v>23</v>
      </c>
      <c r="HD98" s="17">
        <f>IF(ISNA(VLOOKUP(A98,'Données projet'!$A$269:$I$289,5,0)),0%,VLOOKUP(A98,'Données projet'!$A$269:$I$289,5,0)*VLOOKUP('Données projet'!$B$18,Paramètres!$A$1:$I$89,7,0))</f>
        <v>0.30099999999999999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46.547705002588181</v>
      </c>
      <c r="HH98" s="23">
        <f>EXP(-LN(2)/25)*HH97+(1-EXP(-LN(2)/25))/(LN(2)/25)*Calculateur!HC98*Calculateur!HE98*VLOOKUP('Données projet'!$B$18,Paramètres!$A$1:$I$89,3,0)*0.475*44/12</f>
        <v>0</v>
      </c>
      <c r="HI98" s="23">
        <f>EXP(-LN(2)/2)*HI97+(1-EXP(-LN(2)/2))/(LN(2)/2)*HC98*HF98*VLOOKUP('Données projet'!$B$18,Paramètres!$A$1:$I$89,3,0)*0.475*44/12</f>
        <v>0</v>
      </c>
      <c r="HJ98" s="24">
        <f t="shared" si="84"/>
        <v>46.547705002588181</v>
      </c>
    </row>
    <row r="99" spans="1:218" s="5" customFormat="1" x14ac:dyDescent="0.2">
      <c r="A99" s="11">
        <f t="shared" si="85"/>
        <v>96</v>
      </c>
      <c r="B99" s="74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-4.5474735088646412E-13</v>
      </c>
      <c r="O99" s="14">
        <f>N99*VLOOKUP('Données projet'!$B$9,Paramètres!$A$1:$I$89,3,0)*VLOOKUP('Données projet'!$B$9,Paramètres!$A$1:$I$89,5,0)</f>
        <v>-3.9017322706058626E-13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623.31285537237943</v>
      </c>
      <c r="T99" s="62">
        <f t="shared" si="88"/>
        <v>462.33909258902241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304.53991116822647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304.53991116822647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projet'!$B$10,Paramètres!$A$1:$I$89,3,0)*VLOOKUP('Données projet'!$B$10,Paramètres!$A$1:$I$89,5,0)</f>
        <v>4.9658410716801891E-14</v>
      </c>
      <c r="AK99" s="14">
        <f t="shared" si="89"/>
        <v>8.0934058173791862E-13</v>
      </c>
      <c r="AL99" s="22">
        <f t="shared" si="58"/>
        <v>1.4960899118586383E-12</v>
      </c>
      <c r="AM99" s="62">
        <f t="shared" si="59"/>
        <v>293.33333333333479</v>
      </c>
      <c r="AN99" s="62">
        <f ca="1">AVERAGE(OFFSET($AM$3,0,0,'Données projet'!$E$10+1,1))-AVERAGE(OFFSET($H$3,0,0,'Données projet'!$E$10+1,1))</f>
        <v>390.70479111593545</v>
      </c>
      <c r="AO99" s="62">
        <f t="shared" si="90"/>
        <v>374.99493809709708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119.96190698331954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119.96190698331954</v>
      </c>
      <c r="AY99" s="7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5.6843418860808015E-14</v>
      </c>
      <c r="BE99" s="14">
        <f>BD99*VLOOKUP('Données projet'!$B$11,Paramètres!$A$1:$I$89,3,0)*VLOOKUP('Données projet'!$B$11,Paramètres!$A$1:$I$89,5,0)</f>
        <v>4.5224624045658861E-14</v>
      </c>
      <c r="BF99" s="14">
        <f t="shared" si="91"/>
        <v>7.4514601661523691E-13</v>
      </c>
      <c r="BG99" s="22">
        <f t="shared" si="61"/>
        <v>1.3765621991510601E-12</v>
      </c>
      <c r="BH99" s="62">
        <f t="shared" si="62"/>
        <v>293.33333333333468</v>
      </c>
      <c r="BI99" s="62">
        <f ca="1">AVERAGE(OFFSET($BH$3,0,0,'Données projet'!$E$11+1,1))-AVERAGE(OFFSET($H$3,0,0,'Données projet'!$E$11+1,1))</f>
        <v>359.18294335011535</v>
      </c>
      <c r="BJ99" s="62">
        <f t="shared" si="92"/>
        <v>345.47508134331241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109.25102243123742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109.25102243123742</v>
      </c>
      <c r="BT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5.6843418860808015E-14</v>
      </c>
      <c r="BZ99" s="14">
        <f>BY99*VLOOKUP('Données projet'!$B$12,Paramètres!$A$1:$I$89,3,0)*VLOOKUP('Données projet'!$B$12,Paramètres!$A$1:$I$89,5,0)</f>
        <v>4.1677594708744434E-14</v>
      </c>
      <c r="CA99" s="14">
        <f t="shared" si="93"/>
        <v>6.9326303456159188E-13</v>
      </c>
      <c r="CB99" s="22">
        <f t="shared" si="64"/>
        <v>1.2800215959791691E-12</v>
      </c>
      <c r="CC99" s="62">
        <f t="shared" si="65"/>
        <v>293.33333333333462</v>
      </c>
      <c r="CD99" s="62">
        <f ca="1">AVERAGE(OFFSET($CC$3,0,0,'Données projet'!$E$12+1,1))-AVERAGE(OFFSET($H$3,0,0,'Données projet'!$E$12+1,1))</f>
        <v>333.9187211440219</v>
      </c>
      <c r="CE99" s="62">
        <f t="shared" si="94"/>
        <v>321.81422611044997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81.685651621728013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81.685651621728013</v>
      </c>
      <c r="CO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5.6843418860808015E-14</v>
      </c>
      <c r="CU99" s="18">
        <f>CT99*VLOOKUP('Données projet'!$B$13,Paramètres!$A$1:$I$89,3,0)*VLOOKUP('Données projet'!$B$13,Paramètres!$A$1:$I$89,5,0)</f>
        <v>4.6111381379887463E-14</v>
      </c>
      <c r="CV99" s="14">
        <f t="shared" si="95"/>
        <v>7.5804141040779151E-13</v>
      </c>
      <c r="CW99" s="22">
        <f t="shared" si="67"/>
        <v>1.4005661123635408E-12</v>
      </c>
      <c r="CX99" s="62">
        <f t="shared" si="68"/>
        <v>293.33333333333474</v>
      </c>
      <c r="CY99" s="62">
        <f ca="1">AVERAGE(OFFSET($CX$3,0,0,'Données projet'!$E$13+1,1))-AVERAGE(OFFSET($H$3,0,0,'Données projet'!$E$13+1,1))</f>
        <v>365.492319515595</v>
      </c>
      <c r="CZ99" s="62">
        <f t="shared" si="96"/>
        <v>351.38386928091433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90.375614560209698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90.375614560209698</v>
      </c>
      <c r="DJ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8.0470000000000024</v>
      </c>
      <c r="DO99" s="13">
        <f>IF('Données projet'!$A$166&gt;35,DO98+DN99-DW98,IF(A99&lt;'Données projet'!$A$166,$DL$205^A99,IF(A99='Données projet'!$A$166,'Données projet'!$B$166,DO98+DN99-DW98)))</f>
        <v>301.03400000000028</v>
      </c>
      <c r="DP99" s="18">
        <f>DO99*VLOOKUP('Données projet'!$B$14,Paramètres!$A$1:$I$89,3,0)*VLOOKUP('Données projet'!$B$14,Paramètres!$A$1:$I$89,5,0)</f>
        <v>253.59104160000027</v>
      </c>
      <c r="DQ99" s="14">
        <f t="shared" si="97"/>
        <v>61.35426892128136</v>
      </c>
      <c r="DR99" s="22">
        <f t="shared" si="70"/>
        <v>548.52974915789878</v>
      </c>
      <c r="DS99" s="62">
        <f t="shared" si="71"/>
        <v>841.86308249123203</v>
      </c>
      <c r="DT99" s="62">
        <f ca="1">AVERAGE(OFFSET($DS$3,0,0,'Données projet'!$E$14+1,1))-AVERAGE(OFFSET($H$3,0,0,'Données projet'!$E$14+1,1))</f>
        <v>544.89250424794909</v>
      </c>
      <c r="DU99" s="62">
        <f t="shared" si="98"/>
        <v>253.98688498110715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31.915566826395299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31.915566826395299</v>
      </c>
      <c r="EE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8.0470000000000024</v>
      </c>
      <c r="EJ99" s="13">
        <f>IF('Données projet'!$A$192&gt;35,EJ98+EI99-ER98,IF(A99&lt;'Données projet'!$A$192,$EG$205^A99,IF(A99='Données projet'!$A$192,'Données projet'!$B$192,EJ98+EI99-ER98)))</f>
        <v>301.03400000000028</v>
      </c>
      <c r="EK99" s="18">
        <f>EJ99*VLOOKUP('Données projet'!$B$15,Paramètres!$A$1:$I$89,3,0)*VLOOKUP('Données projet'!$B$15,Paramètres!$A$1:$I$89,5,0)</f>
        <v>272.37556320000027</v>
      </c>
      <c r="EL99" s="14">
        <f t="shared" si="99"/>
        <v>65.35316643513535</v>
      </c>
      <c r="EM99" s="22">
        <f t="shared" si="73"/>
        <v>588.21087078119456</v>
      </c>
      <c r="EN99" s="62">
        <f t="shared" si="74"/>
        <v>881.54420411452793</v>
      </c>
      <c r="EO99" s="62">
        <f ca="1">AVERAGE(OFFSET($EN$3,0,0,'Données projet'!$E$15+1,1))-AVERAGE(OFFSET($H$3,0,0,'Données projet'!$E$15+1,1))</f>
        <v>581.88778927327667</v>
      </c>
      <c r="EP99" s="62">
        <f t="shared" si="100"/>
        <v>269.67340993773422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34.279682887609773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34.279682887609773</v>
      </c>
      <c r="EZ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8.0470000000000024</v>
      </c>
      <c r="FE99" s="13">
        <f>IF('Données projet'!$A$218&gt;35,FE98+FD99-FM98,IF(A99&lt;'Données projet'!$A$218,$FB$205^A99,IF(A99='Données projet'!$A$218,'Données projet'!$B$218,FE98+FD99-FM98)))</f>
        <v>301.03400000000028</v>
      </c>
      <c r="FF99" s="18">
        <f>FE99*VLOOKUP('Données projet'!$B$16,Paramètres!$A$1:$I$89,3,0)*VLOOKUP('Données projet'!$B$16,Paramètres!$A$1:$I$89,5,0)</f>
        <v>305.24847600000032</v>
      </c>
      <c r="FG99" s="14">
        <f t="shared" si="101"/>
        <v>72.275632556335026</v>
      </c>
      <c r="FH99" s="22">
        <f t="shared" si="76"/>
        <v>657.52115573561741</v>
      </c>
      <c r="FI99" s="62">
        <f t="shared" si="77"/>
        <v>950.85448906895067</v>
      </c>
      <c r="FJ99" s="62">
        <f ca="1">AVERAGE(OFFSET($FI$3,0,0,'Données projet'!$E$16+1,1))-AVERAGE(OFFSET($H$3,0,0,'Données projet'!$E$16+1,1))</f>
        <v>646.50767193970182</v>
      </c>
      <c r="FK99" s="62">
        <f t="shared" si="102"/>
        <v>297.06786598620607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38.416885994735082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38.416885994735082</v>
      </c>
      <c r="FU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8.0470000000000024</v>
      </c>
      <c r="FZ99" s="13">
        <f>IF('Données projet'!$A$244&gt;35,FZ98+FY99-GH98,IF(A99&lt;'Données projet'!$A$244,$FW$205^A99,IF(A99='Données projet'!$A$244,'Données projet'!$B$244,FZ98+FY99-GH98)))</f>
        <v>301.03400000000028</v>
      </c>
      <c r="GA99" s="18">
        <f>FZ99*VLOOKUP('Données projet'!$B$17,Paramètres!$A$1:$I$89,3,0)*VLOOKUP('Données projet'!$B$17,Paramètres!$A$1:$I$89,5,0)</f>
        <v>201.93360720000021</v>
      </c>
      <c r="GB99" s="14">
        <f t="shared" si="103"/>
        <v>50.168877809568144</v>
      </c>
      <c r="GC99" s="22">
        <f t="shared" si="79"/>
        <v>439.07849472499817</v>
      </c>
      <c r="GD99" s="62">
        <f t="shared" si="80"/>
        <v>732.41182805833148</v>
      </c>
      <c r="GE99" s="62">
        <f ca="1">AVERAGE(OFFSET($GD$3,0,0,'Données projet'!$E$17+1,1))-AVERAGE(OFFSET($H$3,0,0,'Données projet'!$E$17+1,1))</f>
        <v>442.85175349826028</v>
      </c>
      <c r="GF99" s="62">
        <f t="shared" si="104"/>
        <v>210.70697808232501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31.324537811091677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31.324537811091677</v>
      </c>
      <c r="GP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5.2</v>
      </c>
      <c r="GU99" s="13">
        <f>IF('Données projet'!$A$270&gt;35,GU98+GT99-HC98,IF(A99&lt;'Données projet'!$A$270,$GR$205^A99,IF(A99='Données projet'!$A$270,'Données projet'!$B$270,GU98+GT99-HC98)))</f>
        <v>268.19999999999993</v>
      </c>
      <c r="GV99" s="18">
        <f>GU99*VLOOKUP('Données projet'!$B$18,Paramètres!$A$1:$I$89,3,0)*VLOOKUP('Données projet'!$B$18,Paramètres!$A$1:$I$89,5,0)</f>
        <v>255.21911999999992</v>
      </c>
      <c r="GW99" s="14">
        <f t="shared" si="105"/>
        <v>61.702189391811984</v>
      </c>
      <c r="GX99" s="22">
        <f t="shared" si="82"/>
        <v>551.97128052407243</v>
      </c>
      <c r="GY99" s="62">
        <f t="shared" si="83"/>
        <v>845.30461385740568</v>
      </c>
      <c r="GZ99" s="62">
        <f ca="1">AVERAGE(OFFSET($GY$3,0,0,'Données projet'!$E$18+1,1))-AVERAGE(OFFSET($H$3,0,0,'Données projet'!$E$18+1,1))</f>
        <v>420.2510366318939</v>
      </c>
      <c r="HA99" s="62">
        <f t="shared" si="106"/>
        <v>220.59884411514116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45.634932898784072</v>
      </c>
      <c r="HH99" s="23">
        <f>EXP(-LN(2)/25)*HH98+(1-EXP(-LN(2)/25))/(LN(2)/25)*Calculateur!HC99*Calculateur!HE99*VLOOKUP('Données projet'!$B$18,Paramètres!$A$1:$I$89,3,0)*0.475*44/12</f>
        <v>0</v>
      </c>
      <c r="HI99" s="23">
        <f>EXP(-LN(2)/2)*HI98+(1-EXP(-LN(2)/2))/(LN(2)/2)*HC99*HF99*VLOOKUP('Données projet'!$B$18,Paramètres!$A$1:$I$89,3,0)*0.475*44/12</f>
        <v>0</v>
      </c>
      <c r="HJ99" s="24">
        <f t="shared" si="84"/>
        <v>45.634932898784072</v>
      </c>
    </row>
    <row r="100" spans="1:218" s="5" customFormat="1" x14ac:dyDescent="0.2">
      <c r="A100" s="11">
        <f t="shared" si="85"/>
        <v>97</v>
      </c>
      <c r="B100" s="74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-4.5474735088646412E-13</v>
      </c>
      <c r="O100" s="14">
        <f>N100*VLOOKUP('Données projet'!$B$9,Paramètres!$A$1:$I$89,3,0)*VLOOKUP('Données projet'!$B$9,Paramètres!$A$1:$I$89,5,0)</f>
        <v>-3.9017322706058626E-13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623.31285537237943</v>
      </c>
      <c r="T100" s="62">
        <f t="shared" si="88"/>
        <v>462.33909258902241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298.56806926122198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298.56806926122198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projet'!$B$10,Paramètres!$A$1:$I$89,3,0)*VLOOKUP('Données projet'!$B$10,Paramètres!$A$1:$I$89,5,0)</f>
        <v>4.9658410716801891E-14</v>
      </c>
      <c r="AK100" s="14">
        <f t="shared" si="89"/>
        <v>8.0934058173791862E-13</v>
      </c>
      <c r="AL100" s="22">
        <f t="shared" si="58"/>
        <v>1.4960899118586383E-12</v>
      </c>
      <c r="AM100" s="62">
        <f t="shared" si="59"/>
        <v>293.33333333333479</v>
      </c>
      <c r="AN100" s="62">
        <f ca="1">AVERAGE(OFFSET($AM$3,0,0,'Données projet'!$E$10+1,1))-AVERAGE(OFFSET($H$3,0,0,'Données projet'!$E$10+1,1))</f>
        <v>390.70479111593545</v>
      </c>
      <c r="AO100" s="62">
        <f t="shared" si="90"/>
        <v>374.99493809709708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117.60952715691501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117.60952715691501</v>
      </c>
      <c r="AY100" s="7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5.6843418860808015E-14</v>
      </c>
      <c r="BE100" s="14">
        <f>BD100*VLOOKUP('Données projet'!$B$11,Paramètres!$A$1:$I$89,3,0)*VLOOKUP('Données projet'!$B$11,Paramètres!$A$1:$I$89,5,0)</f>
        <v>4.5224624045658861E-14</v>
      </c>
      <c r="BF100" s="14">
        <f t="shared" si="91"/>
        <v>7.4514601661523691E-13</v>
      </c>
      <c r="BG100" s="22">
        <f t="shared" si="61"/>
        <v>1.3765621991510601E-12</v>
      </c>
      <c r="BH100" s="62">
        <f t="shared" si="62"/>
        <v>293.33333333333468</v>
      </c>
      <c r="BI100" s="62">
        <f ca="1">AVERAGE(OFFSET($BH$3,0,0,'Données projet'!$E$11+1,1))-AVERAGE(OFFSET($H$3,0,0,'Données projet'!$E$11+1,1))</f>
        <v>359.18294335011535</v>
      </c>
      <c r="BJ100" s="62">
        <f t="shared" si="92"/>
        <v>345.47508134331241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107.10867651790473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107.10867651790473</v>
      </c>
      <c r="BT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5.6843418860808015E-14</v>
      </c>
      <c r="BZ100" s="14">
        <f>BY100*VLOOKUP('Données projet'!$B$12,Paramètres!$A$1:$I$89,3,0)*VLOOKUP('Données projet'!$B$12,Paramètres!$A$1:$I$89,5,0)</f>
        <v>4.1677594708744434E-14</v>
      </c>
      <c r="CA100" s="14">
        <f t="shared" si="93"/>
        <v>6.9326303456159188E-13</v>
      </c>
      <c r="CB100" s="22">
        <f t="shared" si="64"/>
        <v>1.2800215959791691E-12</v>
      </c>
      <c r="CC100" s="62">
        <f t="shared" si="65"/>
        <v>293.33333333333462</v>
      </c>
      <c r="CD100" s="62">
        <f ca="1">AVERAGE(OFFSET($CC$3,0,0,'Données projet'!$E$12+1,1))-AVERAGE(OFFSET($H$3,0,0,'Données projet'!$E$12+1,1))</f>
        <v>333.9187211440219</v>
      </c>
      <c r="CE100" s="62">
        <f t="shared" si="94"/>
        <v>321.81422611044997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80.083845816753765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80.083845816753765</v>
      </c>
      <c r="CO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5.6843418860808015E-14</v>
      </c>
      <c r="CU100" s="18">
        <f>CT100*VLOOKUP('Données projet'!$B$13,Paramètres!$A$1:$I$89,3,0)*VLOOKUP('Données projet'!$B$13,Paramètres!$A$1:$I$89,5,0)</f>
        <v>4.6111381379887463E-14</v>
      </c>
      <c r="CV100" s="14">
        <f t="shared" si="95"/>
        <v>7.5804141040779151E-13</v>
      </c>
      <c r="CW100" s="22">
        <f t="shared" si="67"/>
        <v>1.4005661123635408E-12</v>
      </c>
      <c r="CX100" s="62">
        <f t="shared" si="68"/>
        <v>293.33333333333474</v>
      </c>
      <c r="CY100" s="62">
        <f ca="1">AVERAGE(OFFSET($CX$3,0,0,'Données projet'!$E$13+1,1))-AVERAGE(OFFSET($H$3,0,0,'Données projet'!$E$13+1,1))</f>
        <v>365.492319515595</v>
      </c>
      <c r="CZ100" s="62">
        <f t="shared" si="96"/>
        <v>351.38386928091433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88.603403882365853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88.603403882365853</v>
      </c>
      <c r="DJ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8.0470000000000024</v>
      </c>
      <c r="DO100" s="13">
        <f>IF('Données projet'!$A$166&gt;35,DO99+DN100-DW99,IF(A100&lt;'Données projet'!$A$166,$DL$205^A100,IF(A100='Données projet'!$A$166,'Données projet'!$B$166,DO99+DN100-DW99)))</f>
        <v>309.0810000000003</v>
      </c>
      <c r="DP100" s="18">
        <f>DO100*VLOOKUP('Données projet'!$B$14,Paramètres!$A$1:$I$89,3,0)*VLOOKUP('Données projet'!$B$14,Paramètres!$A$1:$I$89,5,0)</f>
        <v>260.36983440000029</v>
      </c>
      <c r="DQ100" s="14">
        <f t="shared" si="97"/>
        <v>62.801205182016865</v>
      </c>
      <c r="DR100" s="22">
        <f t="shared" si="70"/>
        <v>562.85622727201314</v>
      </c>
      <c r="DS100" s="62">
        <f t="shared" si="71"/>
        <v>856.18956060534651</v>
      </c>
      <c r="DT100" s="62">
        <f ca="1">AVERAGE(OFFSET($DS$3,0,0,'Données projet'!$E$14+1,1))-AVERAGE(OFFSET($H$3,0,0,'Données projet'!$E$14+1,1))</f>
        <v>544.89250424794909</v>
      </c>
      <c r="DU100" s="62">
        <f t="shared" si="98"/>
        <v>253.98688498110715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31.289722027503288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31.289722027503288</v>
      </c>
      <c r="EE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8.0470000000000024</v>
      </c>
      <c r="EJ100" s="13">
        <f>IF('Données projet'!$A$192&gt;35,EJ99+EI100-ER99,IF(A100&lt;'Données projet'!$A$192,$EG$205^A100,IF(A100='Données projet'!$A$192,'Données projet'!$B$192,EJ99+EI100-ER99)))</f>
        <v>309.0810000000003</v>
      </c>
      <c r="EK100" s="18">
        <f>EJ100*VLOOKUP('Données projet'!$B$15,Paramètres!$A$1:$I$89,3,0)*VLOOKUP('Données projet'!$B$15,Paramètres!$A$1:$I$89,5,0)</f>
        <v>279.65648880000026</v>
      </c>
      <c r="EL100" s="14">
        <f t="shared" si="99"/>
        <v>66.894409904113928</v>
      </c>
      <c r="EM100" s="22">
        <f t="shared" si="73"/>
        <v>603.57614857633223</v>
      </c>
      <c r="EN100" s="62">
        <f t="shared" si="74"/>
        <v>896.9094819096656</v>
      </c>
      <c r="EO100" s="62">
        <f ca="1">AVERAGE(OFFSET($EN$3,0,0,'Données projet'!$E$15+1,1))-AVERAGE(OFFSET($H$3,0,0,'Données projet'!$E$15+1,1))</f>
        <v>581.88778927327667</v>
      </c>
      <c r="EP100" s="62">
        <f t="shared" si="100"/>
        <v>269.67340993773422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33.607479214725757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33.607479214725757</v>
      </c>
      <c r="EZ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8.0470000000000024</v>
      </c>
      <c r="FE100" s="13">
        <f>IF('Données projet'!$A$218&gt;35,FE99+FD100-FM99,IF(A100&lt;'Données projet'!$A$218,$FB$205^A100,IF(A100='Données projet'!$A$218,'Données projet'!$B$218,FE99+FD100-FM99)))</f>
        <v>309.0810000000003</v>
      </c>
      <c r="FF100" s="18">
        <f>FE100*VLOOKUP('Données projet'!$B$16,Paramètres!$A$1:$I$89,3,0)*VLOOKUP('Données projet'!$B$16,Paramètres!$A$1:$I$89,5,0)</f>
        <v>313.4081340000003</v>
      </c>
      <c r="FG100" s="14">
        <f t="shared" si="101"/>
        <v>73.980130635311994</v>
      </c>
      <c r="FH100" s="22">
        <f t="shared" si="76"/>
        <v>674.70122757316892</v>
      </c>
      <c r="FI100" s="62">
        <f t="shared" si="77"/>
        <v>968.03456090650229</v>
      </c>
      <c r="FJ100" s="62">
        <f ca="1">AVERAGE(OFFSET($FI$3,0,0,'Données projet'!$E$16+1,1))-AVERAGE(OFFSET($H$3,0,0,'Données projet'!$E$16+1,1))</f>
        <v>646.50767193970182</v>
      </c>
      <c r="FK100" s="62">
        <f t="shared" si="102"/>
        <v>297.06786598620607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37.66355429236507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37.66355429236507</v>
      </c>
      <c r="FU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8.0470000000000024</v>
      </c>
      <c r="FZ100" s="13">
        <f>IF('Données projet'!$A$244&gt;35,FZ99+FY100-GH99,IF(A100&lt;'Données projet'!$A$244,$FW$205^A100,IF(A100='Données projet'!$A$244,'Données projet'!$B$244,FZ99+FY100-GH99)))</f>
        <v>309.0810000000003</v>
      </c>
      <c r="GA100" s="18">
        <f>FZ100*VLOOKUP('Données projet'!$B$17,Paramètres!$A$1:$I$89,3,0)*VLOOKUP('Données projet'!$B$17,Paramètres!$A$1:$I$89,5,0)</f>
        <v>207.33153480000018</v>
      </c>
      <c r="GB100" s="14">
        <f t="shared" si="103"/>
        <v>51.352025612310428</v>
      </c>
      <c r="GC100" s="22">
        <f t="shared" si="79"/>
        <v>450.54053438477428</v>
      </c>
      <c r="GD100" s="62">
        <f t="shared" si="80"/>
        <v>743.87386771810759</v>
      </c>
      <c r="GE100" s="62">
        <f ca="1">AVERAGE(OFFSET($GD$3,0,0,'Données projet'!$E$17+1,1))-AVERAGE(OFFSET($H$3,0,0,'Données projet'!$E$17+1,1))</f>
        <v>442.85175349826028</v>
      </c>
      <c r="GF100" s="62">
        <f t="shared" si="104"/>
        <v>210.70697808232501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30.710282730697664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30.710282730697664</v>
      </c>
      <c r="GP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5.2</v>
      </c>
      <c r="GU100" s="13">
        <f>IF('Données projet'!$A$270&gt;35,GU99+GT100-HC99,IF(A100&lt;'Données projet'!$A$270,$GR$205^A100,IF(A100='Données projet'!$A$270,'Données projet'!$B$270,GU99+GT100-HC99)))</f>
        <v>273.39999999999992</v>
      </c>
      <c r="GV100" s="18">
        <f>GU100*VLOOKUP('Données projet'!$B$18,Paramètres!$A$1:$I$89,3,0)*VLOOKUP('Données projet'!$B$18,Paramètres!$A$1:$I$89,5,0)</f>
        <v>260.16743999999994</v>
      </c>
      <c r="GW100" s="14">
        <f t="shared" si="105"/>
        <v>62.758068060335759</v>
      </c>
      <c r="GX100" s="22">
        <f t="shared" si="82"/>
        <v>562.42859320508467</v>
      </c>
      <c r="GY100" s="62">
        <f t="shared" si="83"/>
        <v>855.76192653841804</v>
      </c>
      <c r="GZ100" s="62">
        <f ca="1">AVERAGE(OFFSET($GY$3,0,0,'Données projet'!$E$18+1,1))-AVERAGE(OFFSET($H$3,0,0,'Données projet'!$E$18+1,1))</f>
        <v>420.2510366318939</v>
      </c>
      <c r="HA100" s="62">
        <f t="shared" si="106"/>
        <v>220.59884411514116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44.740059699199549</v>
      </c>
      <c r="HH100" s="23">
        <f>EXP(-LN(2)/25)*HH99+(1-EXP(-LN(2)/25))/(LN(2)/25)*Calculateur!HC100*Calculateur!HE100*VLOOKUP('Données projet'!$B$18,Paramètres!$A$1:$I$89,3,0)*0.475*44/12</f>
        <v>0</v>
      </c>
      <c r="HI100" s="23">
        <f>EXP(-LN(2)/2)*HI99+(1-EXP(-LN(2)/2))/(LN(2)/2)*HC100*HF100*VLOOKUP('Données projet'!$B$18,Paramètres!$A$1:$I$89,3,0)*0.475*44/12</f>
        <v>0</v>
      </c>
      <c r="HJ100" s="24">
        <f t="shared" si="84"/>
        <v>44.740059699199549</v>
      </c>
    </row>
    <row r="101" spans="1:218" s="5" customFormat="1" x14ac:dyDescent="0.2">
      <c r="A101" s="11">
        <f t="shared" si="85"/>
        <v>98</v>
      </c>
      <c r="B101" s="74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-4.5474735088646412E-13</v>
      </c>
      <c r="O101" s="14">
        <f>N101*VLOOKUP('Données projet'!$B$9,Paramètres!$A$1:$I$89,3,0)*VLOOKUP('Données projet'!$B$9,Paramètres!$A$1:$I$89,5,0)</f>
        <v>-3.9017322706058626E-13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623.31285537237943</v>
      </c>
      <c r="T101" s="62">
        <f t="shared" si="88"/>
        <v>462.33909258902241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292.71333153154995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292.71333153154995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projet'!$B$10,Paramètres!$A$1:$I$89,3,0)*VLOOKUP('Données projet'!$B$10,Paramètres!$A$1:$I$89,5,0)</f>
        <v>4.9658410716801891E-14</v>
      </c>
      <c r="AK101" s="14">
        <f t="shared" si="89"/>
        <v>8.0934058173791862E-13</v>
      </c>
      <c r="AL101" s="22">
        <f t="shared" si="58"/>
        <v>1.4960899118586383E-12</v>
      </c>
      <c r="AM101" s="62">
        <f t="shared" si="59"/>
        <v>293.33333333333479</v>
      </c>
      <c r="AN101" s="62">
        <f ca="1">AVERAGE(OFFSET($AM$3,0,0,'Données projet'!$E$10+1,1))-AVERAGE(OFFSET($H$3,0,0,'Données projet'!$E$10+1,1))</f>
        <v>390.70479111593545</v>
      </c>
      <c r="AO101" s="62">
        <f t="shared" si="90"/>
        <v>374.99493809709708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115.30327606409625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115.30327606409625</v>
      </c>
      <c r="AY101" s="7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5.6843418860808015E-14</v>
      </c>
      <c r="BE101" s="14">
        <f>BD101*VLOOKUP('Données projet'!$B$11,Paramètres!$A$1:$I$89,3,0)*VLOOKUP('Données projet'!$B$11,Paramètres!$A$1:$I$89,5,0)</f>
        <v>4.5224624045658861E-14</v>
      </c>
      <c r="BF101" s="14">
        <f t="shared" si="91"/>
        <v>7.4514601661523691E-13</v>
      </c>
      <c r="BG101" s="22">
        <f t="shared" si="61"/>
        <v>1.3765621991510601E-12</v>
      </c>
      <c r="BH101" s="62">
        <f t="shared" si="62"/>
        <v>293.33333333333468</v>
      </c>
      <c r="BI101" s="62">
        <f ca="1">AVERAGE(OFFSET($BH$3,0,0,'Données projet'!$E$11+1,1))-AVERAGE(OFFSET($H$3,0,0,'Données projet'!$E$11+1,1))</f>
        <v>359.18294335011535</v>
      </c>
      <c r="BJ101" s="62">
        <f t="shared" si="92"/>
        <v>345.47508134331241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105.00834070123051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105.00834070123051</v>
      </c>
      <c r="BT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5.6843418860808015E-14</v>
      </c>
      <c r="BZ101" s="14">
        <f>BY101*VLOOKUP('Données projet'!$B$12,Paramètres!$A$1:$I$89,3,0)*VLOOKUP('Données projet'!$B$12,Paramètres!$A$1:$I$89,5,0)</f>
        <v>4.1677594708744434E-14</v>
      </c>
      <c r="CA101" s="14">
        <f t="shared" si="93"/>
        <v>6.9326303456159188E-13</v>
      </c>
      <c r="CB101" s="22">
        <f t="shared" si="64"/>
        <v>1.2800215959791691E-12</v>
      </c>
      <c r="CC101" s="62">
        <f t="shared" si="65"/>
        <v>293.33333333333462</v>
      </c>
      <c r="CD101" s="62">
        <f ca="1">AVERAGE(OFFSET($CC$3,0,0,'Données projet'!$E$12+1,1))-AVERAGE(OFFSET($H$3,0,0,'Données projet'!$E$12+1,1))</f>
        <v>333.9187211440219</v>
      </c>
      <c r="CE101" s="62">
        <f t="shared" si="94"/>
        <v>321.81422611044997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78.513450446609994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78.513450446609994</v>
      </c>
      <c r="CO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5.6843418860808015E-14</v>
      </c>
      <c r="CU101" s="18">
        <f>CT101*VLOOKUP('Données projet'!$B$13,Paramètres!$A$1:$I$89,3,0)*VLOOKUP('Données projet'!$B$13,Paramètres!$A$1:$I$89,5,0)</f>
        <v>4.6111381379887463E-14</v>
      </c>
      <c r="CV101" s="14">
        <f t="shared" si="95"/>
        <v>7.5804141040779151E-13</v>
      </c>
      <c r="CW101" s="22">
        <f t="shared" si="67"/>
        <v>1.4005661123635408E-12</v>
      </c>
      <c r="CX101" s="62">
        <f t="shared" si="68"/>
        <v>293.33333333333474</v>
      </c>
      <c r="CY101" s="62">
        <f ca="1">AVERAGE(OFFSET($CX$3,0,0,'Données projet'!$E$13+1,1))-AVERAGE(OFFSET($H$3,0,0,'Données projet'!$E$13+1,1))</f>
        <v>365.492319515595</v>
      </c>
      <c r="CZ101" s="62">
        <f t="shared" si="96"/>
        <v>351.38386928091433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86.865945174972751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86.865945174972751</v>
      </c>
      <c r="DJ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8.0470000000000024</v>
      </c>
      <c r="DO101" s="13">
        <f>IF('Données projet'!$A$166&gt;35,DO100+DN101-DW100,IF(A101&lt;'Données projet'!$A$166,$DL$205^A101,IF(A101='Données projet'!$A$166,'Données projet'!$B$166,DO100+DN101-DW100)))</f>
        <v>317.12800000000033</v>
      </c>
      <c r="DP101" s="18">
        <f>DO101*VLOOKUP('Données projet'!$B$14,Paramètres!$A$1:$I$89,3,0)*VLOOKUP('Données projet'!$B$14,Paramètres!$A$1:$I$89,5,0)</f>
        <v>267.14862720000031</v>
      </c>
      <c r="DQ101" s="14">
        <f t="shared" si="97"/>
        <v>64.243762613346362</v>
      </c>
      <c r="DR101" s="22">
        <f t="shared" si="70"/>
        <v>577.1750789249121</v>
      </c>
      <c r="DS101" s="62">
        <f t="shared" si="71"/>
        <v>870.50841225824547</v>
      </c>
      <c r="DT101" s="62">
        <f ca="1">AVERAGE(OFFSET($DS$3,0,0,'Données projet'!$E$14+1,1))-AVERAGE(OFFSET($H$3,0,0,'Données projet'!$E$14+1,1))</f>
        <v>544.89250424794909</v>
      </c>
      <c r="DU101" s="62">
        <f t="shared" si="98"/>
        <v>253.98688498110715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30.676149663389914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30.676149663389914</v>
      </c>
      <c r="EE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8.0470000000000024</v>
      </c>
      <c r="EJ101" s="13">
        <f>IF('Données projet'!$A$192&gt;35,EJ100+EI101-ER100,IF(A101&lt;'Données projet'!$A$192,$EG$205^A101,IF(A101='Données projet'!$A$192,'Données projet'!$B$192,EJ100+EI101-ER100)))</f>
        <v>317.12800000000033</v>
      </c>
      <c r="EK101" s="18">
        <f>EJ101*VLOOKUP('Données projet'!$B$15,Paramètres!$A$1:$I$89,3,0)*VLOOKUP('Données projet'!$B$15,Paramètres!$A$1:$I$89,5,0)</f>
        <v>286.93741440000031</v>
      </c>
      <c r="EL101" s="14">
        <f t="shared" si="99"/>
        <v>68.430989143985158</v>
      </c>
      <c r="EM101" s="22">
        <f t="shared" si="73"/>
        <v>618.93330283910791</v>
      </c>
      <c r="EN101" s="62">
        <f t="shared" si="74"/>
        <v>912.26663617244117</v>
      </c>
      <c r="EO101" s="62">
        <f ca="1">AVERAGE(OFFSET($EN$3,0,0,'Données projet'!$E$15+1,1))-AVERAGE(OFFSET($H$3,0,0,'Données projet'!$E$15+1,1))</f>
        <v>581.88778927327667</v>
      </c>
      <c r="EP101" s="62">
        <f t="shared" si="100"/>
        <v>269.67340993773422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32.948457045863243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32.948457045863243</v>
      </c>
      <c r="EZ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8.0470000000000024</v>
      </c>
      <c r="FE101" s="13">
        <f>IF('Données projet'!$A$218&gt;35,FE100+FD101-FM100,IF(A101&lt;'Données projet'!$A$218,$FB$205^A101,IF(A101='Données projet'!$A$218,'Données projet'!$B$218,FE100+FD101-FM100)))</f>
        <v>317.12800000000033</v>
      </c>
      <c r="FF101" s="18">
        <f>FE101*VLOOKUP('Données projet'!$B$16,Paramètres!$A$1:$I$89,3,0)*VLOOKUP('Données projet'!$B$16,Paramètres!$A$1:$I$89,5,0)</f>
        <v>321.56779200000034</v>
      </c>
      <c r="FG101" s="14">
        <f t="shared" si="101"/>
        <v>75.679470431568902</v>
      </c>
      <c r="FH101" s="22">
        <f t="shared" si="76"/>
        <v>691.87231540164976</v>
      </c>
      <c r="FI101" s="62">
        <f t="shared" si="77"/>
        <v>985.20564873498301</v>
      </c>
      <c r="FJ101" s="62">
        <f ca="1">AVERAGE(OFFSET($FI$3,0,0,'Données projet'!$E$16+1,1))-AVERAGE(OFFSET($H$3,0,0,'Données projet'!$E$16+1,1))</f>
        <v>646.50767193970182</v>
      </c>
      <c r="FK101" s="62">
        <f t="shared" si="102"/>
        <v>297.06786598620607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36.924994965191566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36.924994965191566</v>
      </c>
      <c r="FU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8.0470000000000024</v>
      </c>
      <c r="FZ101" s="13">
        <f>IF('Données projet'!$A$244&gt;35,FZ100+FY101-GH100,IF(A101&lt;'Données projet'!$A$244,$FW$205^A101,IF(A101='Données projet'!$A$244,'Données projet'!$B$244,FZ100+FY101-GH100)))</f>
        <v>317.12800000000033</v>
      </c>
      <c r="GA101" s="18">
        <f>FZ101*VLOOKUP('Données projet'!$B$17,Paramètres!$A$1:$I$89,3,0)*VLOOKUP('Données projet'!$B$17,Paramètres!$A$1:$I$89,5,0)</f>
        <v>212.72946240000022</v>
      </c>
      <c r="GB101" s="14">
        <f t="shared" si="103"/>
        <v>52.531592882495133</v>
      </c>
      <c r="GC101" s="22">
        <f t="shared" si="79"/>
        <v>461.99633795034606</v>
      </c>
      <c r="GD101" s="62">
        <f t="shared" si="80"/>
        <v>755.32967128367932</v>
      </c>
      <c r="GE101" s="62">
        <f ca="1">AVERAGE(OFFSET($GD$3,0,0,'Données projet'!$E$17+1,1))-AVERAGE(OFFSET($H$3,0,0,'Données projet'!$E$17+1,1))</f>
        <v>442.85175349826028</v>
      </c>
      <c r="GF101" s="62">
        <f t="shared" si="104"/>
        <v>210.70697808232501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30.108072817771575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30.108072817771575</v>
      </c>
      <c r="GP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5.2</v>
      </c>
      <c r="GU101" s="13">
        <f>IF('Données projet'!$A$270&gt;35,GU100+GT101-HC100,IF(A101&lt;'Données projet'!$A$270,$GR$205^A101,IF(A101='Données projet'!$A$270,'Données projet'!$B$270,GU100+GT101-HC100)))</f>
        <v>278.59999999999991</v>
      </c>
      <c r="GV101" s="18">
        <f>GU101*VLOOKUP('Données projet'!$B$18,Paramètres!$A$1:$I$89,3,0)*VLOOKUP('Données projet'!$B$18,Paramètres!$A$1:$I$89,5,0)</f>
        <v>265.11575999999991</v>
      </c>
      <c r="GW101" s="14">
        <f t="shared" si="105"/>
        <v>63.811611556951746</v>
      </c>
      <c r="GX101" s="22">
        <f t="shared" si="82"/>
        <v>572.88183879502412</v>
      </c>
      <c r="GY101" s="62">
        <f t="shared" si="83"/>
        <v>866.21517212835738</v>
      </c>
      <c r="GZ101" s="62">
        <f ca="1">AVERAGE(OFFSET($GY$3,0,0,'Données projet'!$E$18+1,1))-AVERAGE(OFFSET($H$3,0,0,'Données projet'!$E$18+1,1))</f>
        <v>420.2510366318939</v>
      </c>
      <c r="HA101" s="62">
        <f t="shared" si="106"/>
        <v>220.59884411514116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43.862734417240119</v>
      </c>
      <c r="HH101" s="23">
        <f>EXP(-LN(2)/25)*HH100+(1-EXP(-LN(2)/25))/(LN(2)/25)*Calculateur!HC101*Calculateur!HE101*VLOOKUP('Données projet'!$B$18,Paramètres!$A$1:$I$89,3,0)*0.475*44/12</f>
        <v>0</v>
      </c>
      <c r="HI101" s="23">
        <f>EXP(-LN(2)/2)*HI100+(1-EXP(-LN(2)/2))/(LN(2)/2)*HC101*HF101*VLOOKUP('Données projet'!$B$18,Paramètres!$A$1:$I$89,3,0)*0.475*44/12</f>
        <v>0</v>
      </c>
      <c r="HJ101" s="24">
        <f t="shared" si="84"/>
        <v>43.862734417240119</v>
      </c>
    </row>
    <row r="102" spans="1:218" s="5" customFormat="1" x14ac:dyDescent="0.2">
      <c r="A102" s="11">
        <f t="shared" si="85"/>
        <v>99</v>
      </c>
      <c r="B102" s="74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-4.5474735088646412E-13</v>
      </c>
      <c r="O102" s="14">
        <f>N102*VLOOKUP('Données projet'!$B$9,Paramètres!$A$1:$I$89,3,0)*VLOOKUP('Données projet'!$B$9,Paramètres!$A$1:$I$89,5,0)</f>
        <v>-3.9017322706058626E-13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623.31285537237943</v>
      </c>
      <c r="T102" s="62">
        <f t="shared" si="88"/>
        <v>462.33909258902241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286.97340163771941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286.97340163771941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projet'!$B$10,Paramètres!$A$1:$I$89,3,0)*VLOOKUP('Données projet'!$B$10,Paramètres!$A$1:$I$89,5,0)</f>
        <v>4.9658410716801891E-14</v>
      </c>
      <c r="AK102" s="14">
        <f t="shared" si="89"/>
        <v>8.0934058173791862E-13</v>
      </c>
      <c r="AL102" s="22">
        <f t="shared" si="58"/>
        <v>1.4960899118586383E-12</v>
      </c>
      <c r="AM102" s="62">
        <f t="shared" si="59"/>
        <v>293.33333333333479</v>
      </c>
      <c r="AN102" s="62">
        <f ca="1">AVERAGE(OFFSET($AM$3,0,0,'Données projet'!$E$10+1,1))-AVERAGE(OFFSET($H$3,0,0,'Données projet'!$E$10+1,1))</f>
        <v>390.70479111593545</v>
      </c>
      <c r="AO102" s="62">
        <f t="shared" si="90"/>
        <v>374.99493809709708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113.0422491485334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113.0422491485334</v>
      </c>
      <c r="AY102" s="7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5.6843418860808015E-14</v>
      </c>
      <c r="BE102" s="14">
        <f>BD102*VLOOKUP('Données projet'!$B$11,Paramètres!$A$1:$I$89,3,0)*VLOOKUP('Données projet'!$B$11,Paramètres!$A$1:$I$89,5,0)</f>
        <v>4.5224624045658861E-14</v>
      </c>
      <c r="BF102" s="14">
        <f t="shared" si="91"/>
        <v>7.4514601661523691E-13</v>
      </c>
      <c r="BG102" s="22">
        <f t="shared" si="61"/>
        <v>1.3765621991510601E-12</v>
      </c>
      <c r="BH102" s="62">
        <f t="shared" si="62"/>
        <v>293.33333333333468</v>
      </c>
      <c r="BI102" s="62">
        <f ca="1">AVERAGE(OFFSET($BH$3,0,0,'Données projet'!$E$11+1,1))-AVERAGE(OFFSET($H$3,0,0,'Données projet'!$E$11+1,1))</f>
        <v>359.18294335011535</v>
      </c>
      <c r="BJ102" s="62">
        <f t="shared" si="92"/>
        <v>345.47508134331241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102.94919118884292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102.94919118884292</v>
      </c>
      <c r="BT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5.6843418860808015E-14</v>
      </c>
      <c r="BZ102" s="14">
        <f>BY102*VLOOKUP('Données projet'!$B$12,Paramètres!$A$1:$I$89,3,0)*VLOOKUP('Données projet'!$B$12,Paramètres!$A$1:$I$89,5,0)</f>
        <v>4.1677594708744434E-14</v>
      </c>
      <c r="CA102" s="14">
        <f t="shared" si="93"/>
        <v>6.9326303456159188E-13</v>
      </c>
      <c r="CB102" s="22">
        <f t="shared" si="64"/>
        <v>1.2800215959791691E-12</v>
      </c>
      <c r="CC102" s="62">
        <f t="shared" si="65"/>
        <v>293.33333333333462</v>
      </c>
      <c r="CD102" s="62">
        <f ca="1">AVERAGE(OFFSET($CC$3,0,0,'Données projet'!$E$12+1,1))-AVERAGE(OFFSET($H$3,0,0,'Données projet'!$E$12+1,1))</f>
        <v>333.9187211440219</v>
      </c>
      <c r="CE102" s="62">
        <f t="shared" si="94"/>
        <v>321.81422611044997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76.973849571828154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76.973849571828154</v>
      </c>
      <c r="CO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5.6843418860808015E-14</v>
      </c>
      <c r="CU102" s="18">
        <f>CT102*VLOOKUP('Données projet'!$B$13,Paramètres!$A$1:$I$89,3,0)*VLOOKUP('Données projet'!$B$13,Paramètres!$A$1:$I$89,5,0)</f>
        <v>4.6111381379887463E-14</v>
      </c>
      <c r="CV102" s="14">
        <f t="shared" si="95"/>
        <v>7.5804141040779151E-13</v>
      </c>
      <c r="CW102" s="22">
        <f t="shared" si="67"/>
        <v>1.4005661123635408E-12</v>
      </c>
      <c r="CX102" s="62">
        <f t="shared" si="68"/>
        <v>293.33333333333474</v>
      </c>
      <c r="CY102" s="62">
        <f ca="1">AVERAGE(OFFSET($CX$3,0,0,'Données projet'!$E$13+1,1))-AVERAGE(OFFSET($H$3,0,0,'Données projet'!$E$13+1,1))</f>
        <v>365.492319515595</v>
      </c>
      <c r="CZ102" s="62">
        <f t="shared" si="96"/>
        <v>351.38386928091433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85.162556973086453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85.162556973086453</v>
      </c>
      <c r="DJ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8.0470000000000024</v>
      </c>
      <c r="DO102" s="13">
        <f>IF('Données projet'!$A$166&gt;35,DO101+DN102-DW101,IF(A102&lt;'Données projet'!$A$166,$DL$205^A102,IF(A102='Données projet'!$A$166,'Données projet'!$B$166,DO101+DN102-DW101)))</f>
        <v>325.17500000000035</v>
      </c>
      <c r="DP102" s="18">
        <f>DO102*VLOOKUP('Données projet'!$B$14,Paramètres!$A$1:$I$89,3,0)*VLOOKUP('Données projet'!$B$14,Paramètres!$A$1:$I$89,5,0)</f>
        <v>273.92742000000032</v>
      </c>
      <c r="DQ102" s="14">
        <f t="shared" si="97"/>
        <v>65.682065103590759</v>
      </c>
      <c r="DR102" s="22">
        <f t="shared" si="70"/>
        <v>591.4865198887544</v>
      </c>
      <c r="DS102" s="62">
        <f t="shared" si="71"/>
        <v>884.81985322208766</v>
      </c>
      <c r="DT102" s="62">
        <f ca="1">AVERAGE(OFFSET($DS$3,0,0,'Données projet'!$E$14+1,1))-AVERAGE(OFFSET($H$3,0,0,'Données projet'!$E$14+1,1))</f>
        <v>544.89250424794909</v>
      </c>
      <c r="DU102" s="62">
        <f t="shared" si="98"/>
        <v>253.98688498110715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30.074609079094614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30.074609079094614</v>
      </c>
      <c r="EE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8.0470000000000024</v>
      </c>
      <c r="EJ102" s="13">
        <f>IF('Données projet'!$A$192&gt;35,EJ101+EI102-ER101,IF(A102&lt;'Données projet'!$A$192,$EG$205^A102,IF(A102='Données projet'!$A$192,'Données projet'!$B$192,EJ101+EI102-ER101)))</f>
        <v>325.17500000000035</v>
      </c>
      <c r="EK102" s="18">
        <f>EJ102*VLOOKUP('Données projet'!$B$15,Paramètres!$A$1:$I$89,3,0)*VLOOKUP('Données projet'!$B$15,Paramètres!$A$1:$I$89,5,0)</f>
        <v>294.2183400000003</v>
      </c>
      <c r="EL102" s="14">
        <f t="shared" si="99"/>
        <v>69.963036117759913</v>
      </c>
      <c r="EM102" s="22">
        <f t="shared" si="73"/>
        <v>634.28256340509904</v>
      </c>
      <c r="EN102" s="62">
        <f t="shared" si="74"/>
        <v>927.61589673843241</v>
      </c>
      <c r="EO102" s="62">
        <f ca="1">AVERAGE(OFFSET($EN$3,0,0,'Données projet'!$E$15+1,1))-AVERAGE(OFFSET($H$3,0,0,'Données projet'!$E$15+1,1))</f>
        <v>581.88778927327667</v>
      </c>
      <c r="EP102" s="62">
        <f t="shared" si="100"/>
        <v>269.67340993773422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32.302357899768289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32.302357899768289</v>
      </c>
      <c r="EZ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8.0470000000000024</v>
      </c>
      <c r="FE102" s="13">
        <f>IF('Données projet'!$A$218&gt;35,FE101+FD102-FM101,IF(A102&lt;'Données projet'!$A$218,$FB$205^A102,IF(A102='Données projet'!$A$218,'Données projet'!$B$218,FE101+FD102-FM101)))</f>
        <v>325.17500000000035</v>
      </c>
      <c r="FF102" s="18">
        <f>FE102*VLOOKUP('Données projet'!$B$16,Paramètres!$A$1:$I$89,3,0)*VLOOKUP('Données projet'!$B$16,Paramètres!$A$1:$I$89,5,0)</f>
        <v>329.72745000000037</v>
      </c>
      <c r="FG102" s="14">
        <f t="shared" si="101"/>
        <v>77.373797886161128</v>
      </c>
      <c r="FH102" s="22">
        <f t="shared" si="76"/>
        <v>709.0346734017312</v>
      </c>
      <c r="FI102" s="62">
        <f t="shared" si="77"/>
        <v>1002.3680067350645</v>
      </c>
      <c r="FJ102" s="62">
        <f ca="1">AVERAGE(OFFSET($FI$3,0,0,'Données projet'!$E$16+1,1))-AVERAGE(OFFSET($H$3,0,0,'Données projet'!$E$16+1,1))</f>
        <v>646.50767193970182</v>
      </c>
      <c r="FK102" s="62">
        <f t="shared" si="102"/>
        <v>297.06786598620607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36.200918335947222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36.200918335947222</v>
      </c>
      <c r="FU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8.0470000000000024</v>
      </c>
      <c r="FZ102" s="13">
        <f>IF('Données projet'!$A$244&gt;35,FZ101+FY102-GH101,IF(A102&lt;'Données projet'!$A$244,$FW$205^A102,IF(A102='Données projet'!$A$244,'Données projet'!$B$244,FZ101+FY102-GH101)))</f>
        <v>325.17500000000035</v>
      </c>
      <c r="GA102" s="18">
        <f>FZ102*VLOOKUP('Données projet'!$B$17,Paramètres!$A$1:$I$89,3,0)*VLOOKUP('Données projet'!$B$17,Paramètres!$A$1:$I$89,5,0)</f>
        <v>218.12739000000025</v>
      </c>
      <c r="GB102" s="14">
        <f t="shared" si="103"/>
        <v>53.707680922576678</v>
      </c>
      <c r="GC102" s="22">
        <f t="shared" si="79"/>
        <v>473.44608185682137</v>
      </c>
      <c r="GD102" s="62">
        <f t="shared" si="80"/>
        <v>766.77941519015462</v>
      </c>
      <c r="GE102" s="62">
        <f ca="1">AVERAGE(OFFSET($GD$3,0,0,'Données projet'!$E$17+1,1))-AVERAGE(OFFSET($H$3,0,0,'Données projet'!$E$17+1,1))</f>
        <v>442.85175349826028</v>
      </c>
      <c r="GF102" s="62">
        <f t="shared" si="104"/>
        <v>210.70697808232501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29.517671873926187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29.517671873926187</v>
      </c>
      <c r="GP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5.2</v>
      </c>
      <c r="GU102" s="13">
        <f>IF('Données projet'!$A$270&gt;35,GU101+GT102-HC101,IF(A102&lt;'Données projet'!$A$270,$GR$205^A102,IF(A102='Données projet'!$A$270,'Données projet'!$B$270,GU101+GT102-HC101)))</f>
        <v>283.7999999999999</v>
      </c>
      <c r="GV102" s="18">
        <f>GU102*VLOOKUP('Données projet'!$B$18,Paramètres!$A$1:$I$89,3,0)*VLOOKUP('Données projet'!$B$18,Paramètres!$A$1:$I$89,5,0)</f>
        <v>270.06407999999993</v>
      </c>
      <c r="GW102" s="14">
        <f t="shared" si="105"/>
        <v>64.86286849328026</v>
      </c>
      <c r="GX102" s="22">
        <f t="shared" si="82"/>
        <v>583.33110195912968</v>
      </c>
      <c r="GY102" s="62">
        <f t="shared" si="83"/>
        <v>876.66443529246294</v>
      </c>
      <c r="GZ102" s="62">
        <f ca="1">AVERAGE(OFFSET($GY$3,0,0,'Données projet'!$E$18+1,1))-AVERAGE(OFFSET($H$3,0,0,'Données projet'!$E$18+1,1))</f>
        <v>420.2510366318939</v>
      </c>
      <c r="HA102" s="62">
        <f t="shared" si="106"/>
        <v>220.59884411514116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43.002612948944332</v>
      </c>
      <c r="HH102" s="23">
        <f>EXP(-LN(2)/25)*HH101+(1-EXP(-LN(2)/25))/(LN(2)/25)*Calculateur!HC102*Calculateur!HE102*VLOOKUP('Données projet'!$B$18,Paramètres!$A$1:$I$89,3,0)*0.475*44/12</f>
        <v>0</v>
      </c>
      <c r="HI102" s="23">
        <f>EXP(-LN(2)/2)*HI101+(1-EXP(-LN(2)/2))/(LN(2)/2)*HC102*HF102*VLOOKUP('Données projet'!$B$18,Paramètres!$A$1:$I$89,3,0)*0.475*44/12</f>
        <v>0</v>
      </c>
      <c r="HJ102" s="24">
        <f t="shared" si="84"/>
        <v>43.002612948944332</v>
      </c>
    </row>
    <row r="103" spans="1:218" s="5" customFormat="1" x14ac:dyDescent="0.2">
      <c r="A103" s="11">
        <f t="shared" si="85"/>
        <v>100</v>
      </c>
      <c r="B103" s="74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-4.5474735088646412E-13</v>
      </c>
      <c r="O103" s="14">
        <f>N103*VLOOKUP('Données projet'!$B$9,Paramètres!$A$1:$I$89,3,0)*VLOOKUP('Données projet'!$B$9,Paramètres!$A$1:$I$89,5,0)</f>
        <v>-3.9017322706058626E-13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623.31285537237943</v>
      </c>
      <c r="T103" s="62">
        <f t="shared" si="88"/>
        <v>462.33909258902241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281.34602826809532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281.34602826809532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projet'!$B$10,Paramètres!$A$1:$I$89,3,0)*VLOOKUP('Données projet'!$B$10,Paramètres!$A$1:$I$89,5,0)</f>
        <v>4.9658410716801891E-14</v>
      </c>
      <c r="AK103" s="14">
        <f t="shared" si="89"/>
        <v>8.0934058173791862E-13</v>
      </c>
      <c r="AL103" s="22">
        <f t="shared" si="58"/>
        <v>1.4960899118586383E-12</v>
      </c>
      <c r="AM103" s="62">
        <f t="shared" si="59"/>
        <v>293.33333333333479</v>
      </c>
      <c r="AN103" s="62">
        <f ca="1">AVERAGE(OFFSET($AM$3,0,0,'Données projet'!$E$10+1,1))-AVERAGE(OFFSET($H$3,0,0,'Données projet'!$E$10+1,1))</f>
        <v>390.70479111593545</v>
      </c>
      <c r="AO103" s="62">
        <f t="shared" si="90"/>
        <v>374.99493809709708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110.8255595916945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110.8255595916945</v>
      </c>
      <c r="AY103" s="7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5.6843418860808015E-14</v>
      </c>
      <c r="BE103" s="14">
        <f>BD103*VLOOKUP('Données projet'!$B$11,Paramètres!$A$1:$I$89,3,0)*VLOOKUP('Données projet'!$B$11,Paramètres!$A$1:$I$89,5,0)</f>
        <v>4.5224624045658861E-14</v>
      </c>
      <c r="BF103" s="14">
        <f t="shared" si="91"/>
        <v>7.4514601661523691E-13</v>
      </c>
      <c r="BG103" s="22">
        <f t="shared" si="61"/>
        <v>1.3765621991510601E-12</v>
      </c>
      <c r="BH103" s="62">
        <f t="shared" si="62"/>
        <v>293.33333333333468</v>
      </c>
      <c r="BI103" s="62">
        <f ca="1">AVERAGE(OFFSET($BH$3,0,0,'Données projet'!$E$11+1,1))-AVERAGE(OFFSET($H$3,0,0,'Données projet'!$E$11+1,1))</f>
        <v>359.18294335011535</v>
      </c>
      <c r="BJ103" s="62">
        <f t="shared" si="92"/>
        <v>345.47508134331241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100.93042034243607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100.93042034243607</v>
      </c>
      <c r="BT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5.6843418860808015E-14</v>
      </c>
      <c r="BZ103" s="14">
        <f>BY103*VLOOKUP('Données projet'!$B$12,Paramètres!$A$1:$I$89,3,0)*VLOOKUP('Données projet'!$B$12,Paramètres!$A$1:$I$89,5,0)</f>
        <v>4.1677594708744434E-14</v>
      </c>
      <c r="CA103" s="14">
        <f t="shared" si="93"/>
        <v>6.9326303456159188E-13</v>
      </c>
      <c r="CB103" s="22">
        <f t="shared" si="64"/>
        <v>1.2800215959791691E-12</v>
      </c>
      <c r="CC103" s="62">
        <f t="shared" si="65"/>
        <v>293.33333333333462</v>
      </c>
      <c r="CD103" s="62">
        <f ca="1">AVERAGE(OFFSET($CC$3,0,0,'Données projet'!$E$12+1,1))-AVERAGE(OFFSET($H$3,0,0,'Données projet'!$E$12+1,1))</f>
        <v>333.9187211440219</v>
      </c>
      <c r="CE103" s="62">
        <f t="shared" si="94"/>
        <v>321.81422611044997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75.464439331136973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75.464439331136973</v>
      </c>
      <c r="CO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5.6843418860808015E-14</v>
      </c>
      <c r="CU103" s="18">
        <f>CT103*VLOOKUP('Données projet'!$B$13,Paramètres!$A$1:$I$89,3,0)*VLOOKUP('Données projet'!$B$13,Paramètres!$A$1:$I$89,5,0)</f>
        <v>4.6111381379887463E-14</v>
      </c>
      <c r="CV103" s="14">
        <f t="shared" si="95"/>
        <v>7.5804141040779151E-13</v>
      </c>
      <c r="CW103" s="22">
        <f t="shared" si="67"/>
        <v>1.4005661123635408E-12</v>
      </c>
      <c r="CX103" s="62">
        <f t="shared" si="68"/>
        <v>293.33333333333474</v>
      </c>
      <c r="CY103" s="62">
        <f ca="1">AVERAGE(OFFSET($CX$3,0,0,'Données projet'!$E$13+1,1))-AVERAGE(OFFSET($H$3,0,0,'Données projet'!$E$13+1,1))</f>
        <v>365.492319515595</v>
      </c>
      <c r="CZ103" s="62">
        <f t="shared" si="96"/>
        <v>351.38386928091433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83.492571174874939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83.492571174874939</v>
      </c>
      <c r="DJ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8.0470000000000024</v>
      </c>
      <c r="DO103" s="13">
        <f>IF('Données projet'!$A$166&gt;35,DO102+DN103-DW102,IF(A103&lt;'Données projet'!$A$166,$DL$205^A103,IF(A103='Données projet'!$A$166,'Données projet'!$B$166,DO102+DN103-DW102)))</f>
        <v>333.22200000000038</v>
      </c>
      <c r="DP103" s="18">
        <f>DO103*VLOOKUP('Données projet'!$B$14,Paramètres!$A$1:$I$89,3,0)*VLOOKUP('Données projet'!$B$14,Paramètres!$A$1:$I$89,5,0)</f>
        <v>280.70621280000034</v>
      </c>
      <c r="DQ103" s="14">
        <f t="shared" si="97"/>
        <v>67.116230059903302</v>
      </c>
      <c r="DR103" s="22">
        <f t="shared" si="70"/>
        <v>605.79075464766549</v>
      </c>
      <c r="DS103" s="62">
        <f t="shared" si="71"/>
        <v>899.12408798099887</v>
      </c>
      <c r="DT103" s="62">
        <f ca="1">AVERAGE(OFFSET($DS$3,0,0,'Données projet'!$E$14+1,1))-AVERAGE(OFFSET($H$3,0,0,'Données projet'!$E$14+1,1))</f>
        <v>544.89250424794909</v>
      </c>
      <c r="DU103" s="62">
        <f t="shared" si="98"/>
        <v>253.98688498110715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29.484864338753816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29.484864338753816</v>
      </c>
      <c r="EE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8.0470000000000024</v>
      </c>
      <c r="EJ103" s="13">
        <f>IF('Données projet'!$A$192&gt;35,EJ102+EI103-ER102,IF(A103&lt;'Données projet'!$A$192,$EG$205^A103,IF(A103='Données projet'!$A$192,'Données projet'!$B$192,EJ102+EI103-ER102)))</f>
        <v>333.22200000000038</v>
      </c>
      <c r="EK103" s="18">
        <f>EJ103*VLOOKUP('Données projet'!$B$15,Paramètres!$A$1:$I$89,3,0)*VLOOKUP('Données projet'!$B$15,Paramètres!$A$1:$I$89,5,0)</f>
        <v>301.49926560000034</v>
      </c>
      <c r="EL103" s="14">
        <f t="shared" si="99"/>
        <v>71.490675884857296</v>
      </c>
      <c r="EM103" s="22">
        <f t="shared" si="73"/>
        <v>649.62414808612709</v>
      </c>
      <c r="EN103" s="62">
        <f t="shared" si="74"/>
        <v>942.95748141946046</v>
      </c>
      <c r="EO103" s="62">
        <f ca="1">AVERAGE(OFFSET($EN$3,0,0,'Données projet'!$E$15+1,1))-AVERAGE(OFFSET($H$3,0,0,'Données projet'!$E$15+1,1))</f>
        <v>581.88778927327667</v>
      </c>
      <c r="EP103" s="62">
        <f t="shared" si="100"/>
        <v>269.67340993773422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31.668928363846693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31.668928363846693</v>
      </c>
      <c r="EZ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8.0470000000000024</v>
      </c>
      <c r="FE103" s="13">
        <f>IF('Données projet'!$A$218&gt;35,FE102+FD103-FM102,IF(A103&lt;'Données projet'!$A$218,$FB$205^A103,IF(A103='Données projet'!$A$218,'Données projet'!$B$218,FE102+FD103-FM102)))</f>
        <v>333.22200000000038</v>
      </c>
      <c r="FF103" s="18">
        <f>FE103*VLOOKUP('Données projet'!$B$16,Paramètres!$A$1:$I$89,3,0)*VLOOKUP('Données projet'!$B$16,Paramètres!$A$1:$I$89,5,0)</f>
        <v>337.88710800000041</v>
      </c>
      <c r="FG103" s="14">
        <f t="shared" si="101"/>
        <v>79.063251305296689</v>
      </c>
      <c r="FH103" s="22">
        <f t="shared" si="76"/>
        <v>726.18854245672571</v>
      </c>
      <c r="FI103" s="62">
        <f t="shared" si="77"/>
        <v>1019.5218757900591</v>
      </c>
      <c r="FJ103" s="62">
        <f ca="1">AVERAGE(OFFSET($FI$3,0,0,'Données projet'!$E$16+1,1))-AVERAGE(OFFSET($H$3,0,0,'Données projet'!$E$16+1,1))</f>
        <v>646.50767193970182</v>
      </c>
      <c r="FK103" s="62">
        <f t="shared" si="102"/>
        <v>297.06786598620607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35.491040407759222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35.491040407759222</v>
      </c>
      <c r="FU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8.0470000000000024</v>
      </c>
      <c r="FZ103" s="13">
        <f>IF('Données projet'!$A$244&gt;35,FZ102+FY103-GH102,IF(A103&lt;'Données projet'!$A$244,$FW$205^A103,IF(A103='Données projet'!$A$244,'Données projet'!$B$244,FZ102+FY103-GH102)))</f>
        <v>333.22200000000038</v>
      </c>
      <c r="GA103" s="18">
        <f>FZ103*VLOOKUP('Données projet'!$B$17,Paramètres!$A$1:$I$89,3,0)*VLOOKUP('Données projet'!$B$17,Paramètres!$A$1:$I$89,5,0)</f>
        <v>223.52531760000028</v>
      </c>
      <c r="GB103" s="14">
        <f t="shared" si="103"/>
        <v>54.880385735412574</v>
      </c>
      <c r="GC103" s="22">
        <f t="shared" si="79"/>
        <v>484.88993330917737</v>
      </c>
      <c r="GD103" s="62">
        <f t="shared" si="80"/>
        <v>778.22326664251068</v>
      </c>
      <c r="GE103" s="62">
        <f ca="1">AVERAGE(OFFSET($GD$3,0,0,'Données projet'!$E$17+1,1))-AVERAGE(OFFSET($H$3,0,0,'Données projet'!$E$17+1,1))</f>
        <v>442.85175349826028</v>
      </c>
      <c r="GF103" s="62">
        <f t="shared" si="104"/>
        <v>210.70697808232501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28.938848332480589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28.938848332480589</v>
      </c>
      <c r="GP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>
        <f>VLOOKUP(A103,'Données projet'!$A$269:$I$289,2,0)</f>
        <v>289</v>
      </c>
      <c r="GS103" s="13">
        <f>VLOOKUP(A103,'Données projet'!$A$269:$I$289,9,0)</f>
        <v>5.2</v>
      </c>
      <c r="GT103" s="13">
        <f t="array" ref="GT103">INDEX(GS:GS,MIN(IF(ISNUMBER(GS103:GS299),ROW(GS103:GS299),"")))</f>
        <v>5.2</v>
      </c>
      <c r="GU103" s="13">
        <f>IF('Données projet'!$A$270&gt;35,GU102+GT103-HC102,IF(A103&lt;'Données projet'!$A$270,$GR$205^A103,IF(A103='Données projet'!$A$270,'Données projet'!$B$270,GU102+GT103-HC102)))</f>
        <v>288.99999999999989</v>
      </c>
      <c r="GV103" s="18">
        <f>GU103*VLOOKUP('Données projet'!$B$18,Paramètres!$A$1:$I$89,3,0)*VLOOKUP('Données projet'!$B$18,Paramètres!$A$1:$I$89,5,0)</f>
        <v>275.0123999999999</v>
      </c>
      <c r="GW103" s="14">
        <f t="shared" si="105"/>
        <v>65.911885597558978</v>
      </c>
      <c r="GX103" s="22">
        <f t="shared" si="82"/>
        <v>593.77646408241492</v>
      </c>
      <c r="GY103" s="62">
        <f t="shared" si="83"/>
        <v>887.10979741574829</v>
      </c>
      <c r="GZ103" s="62">
        <f ca="1">AVERAGE(OFFSET($GY$3,0,0,'Données projet'!$E$18+1,1))-AVERAGE(OFFSET($H$3,0,0,'Données projet'!$E$18+1,1))</f>
        <v>420.2510366318939</v>
      </c>
      <c r="HA103" s="62">
        <f t="shared" si="106"/>
        <v>220.59884411514116</v>
      </c>
      <c r="HB103" s="16">
        <f>IF(ISNA(VLOOKUP(A103,'Données projet'!$A$269:$I$289,3,0)),0,VLOOKUP(A103,'Données projet'!$A$269:$I$289,3,0))</f>
        <v>16</v>
      </c>
      <c r="HC103" s="16">
        <f>IF(ISNA(VLOOKUP(A103,'Données projet'!$A$269:$I$289,4,0)),0,VLOOKUP(A103,'Données projet'!$A$269:$I$289,4,0))</f>
        <v>23</v>
      </c>
      <c r="HD103" s="17">
        <f>IF(ISNA(VLOOKUP(A103,'Données projet'!$A$269:$I$289,5,0)),0%,VLOOKUP(A103,'Données projet'!$A$269:$I$289,5,0)*VLOOKUP('Données projet'!$B$18,Paramètres!$A$1:$I$89,7,0))</f>
        <v>0.30099999999999999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49.442115877950826</v>
      </c>
      <c r="HH103" s="23">
        <f>EXP(-LN(2)/25)*HH102+(1-EXP(-LN(2)/25))/(LN(2)/25)*Calculateur!HC103*Calculateur!HE103*VLOOKUP('Données projet'!$B$18,Paramètres!$A$1:$I$89,3,0)*0.475*44/12</f>
        <v>0</v>
      </c>
      <c r="HI103" s="23">
        <f>EXP(-LN(2)/2)*HI102+(1-EXP(-LN(2)/2))/(LN(2)/2)*HC103*HF103*VLOOKUP('Données projet'!$B$18,Paramètres!$A$1:$I$89,3,0)*0.475*44/12</f>
        <v>0</v>
      </c>
      <c r="HJ103" s="24">
        <f t="shared" si="84"/>
        <v>49.442115877950826</v>
      </c>
    </row>
    <row r="104" spans="1:218" s="5" customFormat="1" x14ac:dyDescent="0.2">
      <c r="A104" s="11">
        <f t="shared" si="85"/>
        <v>101</v>
      </c>
      <c r="B104" s="74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-4.5474735088646412E-13</v>
      </c>
      <c r="O104" s="14">
        <f>N104*VLOOKUP('Données projet'!$B$9,Paramètres!$A$1:$I$89,3,0)*VLOOKUP('Données projet'!$B$9,Paramètres!$A$1:$I$89,5,0)</f>
        <v>-3.9017322706058626E-13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623.31285537237943</v>
      </c>
      <c r="T104" s="62">
        <f t="shared" si="88"/>
        <v>462.33909258902241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275.82900425789074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275.82900425789074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projet'!$B$10,Paramètres!$A$1:$I$89,3,0)*VLOOKUP('Données projet'!$B$10,Paramètres!$A$1:$I$89,5,0)</f>
        <v>4.9658410716801891E-14</v>
      </c>
      <c r="AK104" s="14">
        <f t="shared" si="89"/>
        <v>8.0934058173791862E-13</v>
      </c>
      <c r="AL104" s="22">
        <f t="shared" si="58"/>
        <v>1.4960899118586383E-12</v>
      </c>
      <c r="AM104" s="62">
        <f t="shared" si="59"/>
        <v>293.33333333333479</v>
      </c>
      <c r="AN104" s="62">
        <f ca="1">AVERAGE(OFFSET($AM$3,0,0,'Données projet'!$E$10+1,1))-AVERAGE(OFFSET($H$3,0,0,'Données projet'!$E$10+1,1))</f>
        <v>390.70479111593545</v>
      </c>
      <c r="AO104" s="62">
        <f t="shared" si="90"/>
        <v>374.99493809709708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108.65233796501808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108.65233796501808</v>
      </c>
      <c r="AY104" s="7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5.6843418860808015E-14</v>
      </c>
      <c r="BE104" s="14">
        <f>BD104*VLOOKUP('Données projet'!$B$11,Paramètres!$A$1:$I$89,3,0)*VLOOKUP('Données projet'!$B$11,Paramètres!$A$1:$I$89,5,0)</f>
        <v>4.5224624045658861E-14</v>
      </c>
      <c r="BF104" s="14">
        <f t="shared" si="91"/>
        <v>7.4514601661523691E-13</v>
      </c>
      <c r="BG104" s="22">
        <f t="shared" si="61"/>
        <v>1.3765621991510601E-12</v>
      </c>
      <c r="BH104" s="62">
        <f t="shared" si="62"/>
        <v>293.33333333333468</v>
      </c>
      <c r="BI104" s="62">
        <f ca="1">AVERAGE(OFFSET($BH$3,0,0,'Données projet'!$E$11+1,1))-AVERAGE(OFFSET($H$3,0,0,'Données projet'!$E$11+1,1))</f>
        <v>359.18294335011535</v>
      </c>
      <c r="BJ104" s="62">
        <f t="shared" si="92"/>
        <v>345.47508134331241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98.951236360998607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98.951236360998607</v>
      </c>
      <c r="BT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5.6843418860808015E-14</v>
      </c>
      <c r="BZ104" s="14">
        <f>BY104*VLOOKUP('Données projet'!$B$12,Paramètres!$A$1:$I$89,3,0)*VLOOKUP('Données projet'!$B$12,Paramètres!$A$1:$I$89,5,0)</f>
        <v>4.1677594708744434E-14</v>
      </c>
      <c r="CA104" s="14">
        <f t="shared" si="93"/>
        <v>6.9326303456159188E-13</v>
      </c>
      <c r="CB104" s="22">
        <f t="shared" si="64"/>
        <v>1.2800215959791691E-12</v>
      </c>
      <c r="CC104" s="62">
        <f t="shared" si="65"/>
        <v>293.33333333333462</v>
      </c>
      <c r="CD104" s="62">
        <f ca="1">AVERAGE(OFFSET($CC$3,0,0,'Données projet'!$E$12+1,1))-AVERAGE(OFFSET($H$3,0,0,'Données projet'!$E$12+1,1))</f>
        <v>333.9187211440219</v>
      </c>
      <c r="CE104" s="62">
        <f t="shared" si="94"/>
        <v>321.81422611044997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73.9846277046164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73.9846277046164</v>
      </c>
      <c r="CO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5.6843418860808015E-14</v>
      </c>
      <c r="CU104" s="18">
        <f>CT104*VLOOKUP('Données projet'!$B$13,Paramètres!$A$1:$I$89,3,0)*VLOOKUP('Données projet'!$B$13,Paramètres!$A$1:$I$89,5,0)</f>
        <v>4.6111381379887463E-14</v>
      </c>
      <c r="CV104" s="14">
        <f t="shared" si="95"/>
        <v>7.5804141040779151E-13</v>
      </c>
      <c r="CW104" s="22">
        <f t="shared" si="67"/>
        <v>1.4005661123635408E-12</v>
      </c>
      <c r="CX104" s="62">
        <f t="shared" si="68"/>
        <v>293.33333333333474</v>
      </c>
      <c r="CY104" s="62">
        <f ca="1">AVERAGE(OFFSET($CX$3,0,0,'Données projet'!$E$13+1,1))-AVERAGE(OFFSET($H$3,0,0,'Données projet'!$E$13+1,1))</f>
        <v>365.492319515595</v>
      </c>
      <c r="CZ104" s="62">
        <f t="shared" si="96"/>
        <v>351.38386928091433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81.855332779575591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81.855332779575591</v>
      </c>
      <c r="DJ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8.0470000000000024</v>
      </c>
      <c r="DO104" s="13">
        <f>IF('Données projet'!$A$166&gt;35,DO103+DN104-DW103,IF(A104&lt;'Données projet'!$A$166,$DL$205^A104,IF(A104='Données projet'!$A$166,'Données projet'!$B$166,DO103+DN104-DW103)))</f>
        <v>341.2690000000004</v>
      </c>
      <c r="DP104" s="18">
        <f>DO104*VLOOKUP('Données projet'!$B$14,Paramètres!$A$1:$I$89,3,0)*VLOOKUP('Données projet'!$B$14,Paramètres!$A$1:$I$89,5,0)</f>
        <v>287.48500560000036</v>
      </c>
      <c r="DQ104" s="14">
        <f t="shared" si="97"/>
        <v>68.546368895536688</v>
      </c>
      <c r="DR104" s="22">
        <f t="shared" si="70"/>
        <v>620.08797724639373</v>
      </c>
      <c r="DS104" s="62">
        <f t="shared" si="71"/>
        <v>913.42131057972711</v>
      </c>
      <c r="DT104" s="62">
        <f ca="1">AVERAGE(OFFSET($DS$3,0,0,'Données projet'!$E$14+1,1))-AVERAGE(OFFSET($H$3,0,0,'Données projet'!$E$14+1,1))</f>
        <v>544.89250424794909</v>
      </c>
      <c r="DU104" s="62">
        <f t="shared" si="98"/>
        <v>253.98688498110715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28.906684133062328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28.906684133062328</v>
      </c>
      <c r="EE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8.0470000000000024</v>
      </c>
      <c r="EJ104" s="13">
        <f>IF('Données projet'!$A$192&gt;35,EJ103+EI104-ER103,IF(A104&lt;'Données projet'!$A$192,$EG$205^A104,IF(A104='Données projet'!$A$192,'Données projet'!$B$192,EJ103+EI104-ER103)))</f>
        <v>341.2690000000004</v>
      </c>
      <c r="EK104" s="18">
        <f>EJ104*VLOOKUP('Données projet'!$B$15,Paramètres!$A$1:$I$89,3,0)*VLOOKUP('Données projet'!$B$15,Paramètres!$A$1:$I$89,5,0)</f>
        <v>308.78019120000033</v>
      </c>
      <c r="EL104" s="14">
        <f t="shared" si="99"/>
        <v>73.014027120130123</v>
      </c>
      <c r="EM104" s="22">
        <f t="shared" si="73"/>
        <v>664.95826357422709</v>
      </c>
      <c r="EN104" s="62">
        <f t="shared" si="74"/>
        <v>958.29159690756046</v>
      </c>
      <c r="EO104" s="62">
        <f ca="1">AVERAGE(OFFSET($EN$3,0,0,'Données projet'!$E$15+1,1))-AVERAGE(OFFSET($H$3,0,0,'Données projet'!$E$15+1,1))</f>
        <v>581.88778927327667</v>
      </c>
      <c r="EP104" s="62">
        <f t="shared" si="100"/>
        <v>269.67340993773422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31.047919994770652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31.047919994770652</v>
      </c>
      <c r="EZ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8.0470000000000024</v>
      </c>
      <c r="FE104" s="13">
        <f>IF('Données projet'!$A$218&gt;35,FE103+FD104-FM103,IF(A104&lt;'Données projet'!$A$218,$FB$205^A104,IF(A104='Données projet'!$A$218,'Données projet'!$B$218,FE103+FD104-FM103)))</f>
        <v>341.2690000000004</v>
      </c>
      <c r="FF104" s="18">
        <f>FE104*VLOOKUP('Données projet'!$B$16,Paramètres!$A$1:$I$89,3,0)*VLOOKUP('Données projet'!$B$16,Paramètres!$A$1:$I$89,5,0)</f>
        <v>346.04676600000045</v>
      </c>
      <c r="FG104" s="14">
        <f t="shared" si="101"/>
        <v>80.747961934338676</v>
      </c>
      <c r="FH104" s="22">
        <f t="shared" si="76"/>
        <v>743.33415115230719</v>
      </c>
      <c r="FI104" s="62">
        <f t="shared" si="77"/>
        <v>1036.6674844856404</v>
      </c>
      <c r="FJ104" s="62">
        <f ca="1">AVERAGE(OFFSET($FI$3,0,0,'Données projet'!$E$16+1,1))-AVERAGE(OFFSET($H$3,0,0,'Données projet'!$E$16+1,1))</f>
        <v>646.50767193970182</v>
      </c>
      <c r="FK104" s="62">
        <f t="shared" si="102"/>
        <v>297.06786598620607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34.795082752760209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34.795082752760209</v>
      </c>
      <c r="FU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8.0470000000000024</v>
      </c>
      <c r="FZ104" s="13">
        <f>IF('Données projet'!$A$244&gt;35,FZ103+FY104-GH103,IF(A104&lt;'Données projet'!$A$244,$FW$205^A104,IF(A104='Données projet'!$A$244,'Données projet'!$B$244,FZ103+FY104-GH103)))</f>
        <v>341.2690000000004</v>
      </c>
      <c r="GA104" s="18">
        <f>FZ104*VLOOKUP('Données projet'!$B$17,Paramètres!$A$1:$I$89,3,0)*VLOOKUP('Données projet'!$B$17,Paramètres!$A$1:$I$89,5,0)</f>
        <v>228.92324520000025</v>
      </c>
      <c r="GB104" s="14">
        <f t="shared" si="103"/>
        <v>56.049798422696988</v>
      </c>
      <c r="GC104" s="22">
        <f t="shared" si="79"/>
        <v>496.32805097619757</v>
      </c>
      <c r="GD104" s="62">
        <f t="shared" si="80"/>
        <v>789.66138430953083</v>
      </c>
      <c r="GE104" s="62">
        <f ca="1">AVERAGE(OFFSET($GD$3,0,0,'Données projet'!$E$17+1,1))-AVERAGE(OFFSET($H$3,0,0,'Données projet'!$E$17+1,1))</f>
        <v>442.85175349826028</v>
      </c>
      <c r="GF104" s="62">
        <f t="shared" si="104"/>
        <v>210.70697808232501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28.371375167635239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28.371375167635239</v>
      </c>
      <c r="GP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5.2</v>
      </c>
      <c r="GU104" s="13">
        <f>IF('Données projet'!$A$270&gt;35,GU103+GT104-HC103,IF(A104&lt;'Données projet'!$A$270,$GR$205^A104,IF(A104='Données projet'!$A$270,'Données projet'!$B$270,GU103+GT104-HC103)))</f>
        <v>271.19999999999987</v>
      </c>
      <c r="GV104" s="18">
        <f>GU104*VLOOKUP('Données projet'!$B$18,Paramètres!$A$1:$I$89,3,0)*VLOOKUP('Données projet'!$B$18,Paramètres!$A$1:$I$89,5,0)</f>
        <v>258.07391999999987</v>
      </c>
      <c r="GW104" s="14">
        <f t="shared" si="105"/>
        <v>62.311638032734272</v>
      </c>
      <c r="GX104" s="22">
        <f t="shared" si="82"/>
        <v>558.00484690701194</v>
      </c>
      <c r="GY104" s="62">
        <f t="shared" si="83"/>
        <v>851.33818024034531</v>
      </c>
      <c r="GZ104" s="62">
        <f ca="1">AVERAGE(OFFSET($GY$3,0,0,'Données projet'!$E$18+1,1))-AVERAGE(OFFSET($H$3,0,0,'Données projet'!$E$18+1,1))</f>
        <v>420.2510366318939</v>
      </c>
      <c r="HA104" s="62">
        <f t="shared" si="106"/>
        <v>220.59884411514116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48.472586142297168</v>
      </c>
      <c r="HH104" s="23">
        <f>EXP(-LN(2)/25)*HH103+(1-EXP(-LN(2)/25))/(LN(2)/25)*Calculateur!HC104*Calculateur!HE104*VLOOKUP('Données projet'!$B$18,Paramètres!$A$1:$I$89,3,0)*0.475*44/12</f>
        <v>0</v>
      </c>
      <c r="HI104" s="23">
        <f>EXP(-LN(2)/2)*HI103+(1-EXP(-LN(2)/2))/(LN(2)/2)*HC104*HF104*VLOOKUP('Données projet'!$B$18,Paramètres!$A$1:$I$89,3,0)*0.475*44/12</f>
        <v>0</v>
      </c>
      <c r="HJ104" s="24">
        <f t="shared" si="84"/>
        <v>48.472586142297168</v>
      </c>
    </row>
    <row r="105" spans="1:218" s="5" customFormat="1" x14ac:dyDescent="0.2">
      <c r="A105" s="11">
        <f t="shared" si="85"/>
        <v>102</v>
      </c>
      <c r="B105" s="74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-4.5474735088646412E-13</v>
      </c>
      <c r="O105" s="14">
        <f>N105*VLOOKUP('Données projet'!$B$9,Paramètres!$A$1:$I$89,3,0)*VLOOKUP('Données projet'!$B$9,Paramètres!$A$1:$I$89,5,0)</f>
        <v>-3.9017322706058626E-13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623.31285537237943</v>
      </c>
      <c r="T105" s="62">
        <f t="shared" si="88"/>
        <v>462.33909258902241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270.42016572347387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270.42016572347387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projet'!$B$10,Paramètres!$A$1:$I$89,3,0)*VLOOKUP('Données projet'!$B$10,Paramètres!$A$1:$I$89,5,0)</f>
        <v>4.9658410716801891E-14</v>
      </c>
      <c r="AK105" s="14">
        <f t="shared" si="89"/>
        <v>8.0934058173791862E-13</v>
      </c>
      <c r="AL105" s="22">
        <f t="shared" si="58"/>
        <v>1.4960899118586383E-12</v>
      </c>
      <c r="AM105" s="62">
        <f t="shared" si="59"/>
        <v>293.33333333333479</v>
      </c>
      <c r="AN105" s="62">
        <f ca="1">AVERAGE(OFFSET($AM$3,0,0,'Données projet'!$E$10+1,1))-AVERAGE(OFFSET($H$3,0,0,'Données projet'!$E$10+1,1))</f>
        <v>390.70479111593545</v>
      </c>
      <c r="AO105" s="62">
        <f t="shared" si="90"/>
        <v>374.99493809709708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106.52173188890647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106.52173188890647</v>
      </c>
      <c r="AY105" s="7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5.6843418860808015E-14</v>
      </c>
      <c r="BE105" s="14">
        <f>BD105*VLOOKUP('Données projet'!$B$11,Paramètres!$A$1:$I$89,3,0)*VLOOKUP('Données projet'!$B$11,Paramètres!$A$1:$I$89,5,0)</f>
        <v>4.5224624045658861E-14</v>
      </c>
      <c r="BF105" s="14">
        <f t="shared" si="91"/>
        <v>7.4514601661523691E-13</v>
      </c>
      <c r="BG105" s="22">
        <f t="shared" si="61"/>
        <v>1.3765621991510601E-12</v>
      </c>
      <c r="BH105" s="62">
        <f t="shared" si="62"/>
        <v>293.33333333333468</v>
      </c>
      <c r="BI105" s="62">
        <f ca="1">AVERAGE(OFFSET($BH$3,0,0,'Données projet'!$E$11+1,1))-AVERAGE(OFFSET($H$3,0,0,'Données projet'!$E$11+1,1))</f>
        <v>359.18294335011535</v>
      </c>
      <c r="BJ105" s="62">
        <f t="shared" si="92"/>
        <v>345.47508134331241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97.010862970254109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97.010862970254109</v>
      </c>
      <c r="BT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5.6843418860808015E-14</v>
      </c>
      <c r="BZ105" s="14">
        <f>BY105*VLOOKUP('Données projet'!$B$12,Paramètres!$A$1:$I$89,3,0)*VLOOKUP('Données projet'!$B$12,Paramètres!$A$1:$I$89,5,0)</f>
        <v>4.1677594708744434E-14</v>
      </c>
      <c r="CA105" s="14">
        <f t="shared" si="93"/>
        <v>6.9326303456159188E-13</v>
      </c>
      <c r="CB105" s="22">
        <f t="shared" si="64"/>
        <v>1.2800215959791691E-12</v>
      </c>
      <c r="CC105" s="62">
        <f t="shared" si="65"/>
        <v>293.33333333333462</v>
      </c>
      <c r="CD105" s="62">
        <f ca="1">AVERAGE(OFFSET($CC$3,0,0,'Données projet'!$E$12+1,1))-AVERAGE(OFFSET($H$3,0,0,'Données projet'!$E$12+1,1))</f>
        <v>333.9187211440219</v>
      </c>
      <c r="CE105" s="62">
        <f t="shared" si="94"/>
        <v>321.81422611044997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72.533834281495928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72.533834281495928</v>
      </c>
      <c r="CO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5.6843418860808015E-14</v>
      </c>
      <c r="CU105" s="18">
        <f>CT105*VLOOKUP('Données projet'!$B$13,Paramètres!$A$1:$I$89,3,0)*VLOOKUP('Données projet'!$B$13,Paramètres!$A$1:$I$89,5,0)</f>
        <v>4.6111381379887463E-14</v>
      </c>
      <c r="CV105" s="14">
        <f t="shared" si="95"/>
        <v>7.5804141040779151E-13</v>
      </c>
      <c r="CW105" s="22">
        <f t="shared" si="67"/>
        <v>1.4005661123635408E-12</v>
      </c>
      <c r="CX105" s="62">
        <f t="shared" si="68"/>
        <v>293.33333333333474</v>
      </c>
      <c r="CY105" s="62">
        <f ca="1">AVERAGE(OFFSET($CX$3,0,0,'Données projet'!$E$13+1,1))-AVERAGE(OFFSET($H$3,0,0,'Données projet'!$E$13+1,1))</f>
        <v>365.492319515595</v>
      </c>
      <c r="CZ105" s="62">
        <f t="shared" si="96"/>
        <v>351.38386928091433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80.25019963059124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80.25019963059124</v>
      </c>
      <c r="DJ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8.0470000000000024</v>
      </c>
      <c r="DO105" s="13">
        <f>IF('Données projet'!$A$166&gt;35,DO104+DN105-DW104,IF(A105&lt;'Données projet'!$A$166,$DL$205^A105,IF(A105='Données projet'!$A$166,'Données projet'!$B$166,DO104+DN105-DW104)))</f>
        <v>349.31600000000043</v>
      </c>
      <c r="DP105" s="18">
        <f>DO105*VLOOKUP('Données projet'!$B$14,Paramètres!$A$1:$I$89,3,0)*VLOOKUP('Données projet'!$B$14,Paramètres!$A$1:$I$89,5,0)</f>
        <v>294.26379840000038</v>
      </c>
      <c r="DQ105" s="14">
        <f t="shared" si="97"/>
        <v>69.972587469855753</v>
      </c>
      <c r="DR105" s="22">
        <f t="shared" si="70"/>
        <v>634.37837205666608</v>
      </c>
      <c r="DS105" s="62">
        <f t="shared" si="71"/>
        <v>927.71170538999945</v>
      </c>
      <c r="DT105" s="62">
        <f ca="1">AVERAGE(OFFSET($DS$3,0,0,'Données projet'!$E$14+1,1))-AVERAGE(OFFSET($H$3,0,0,'Données projet'!$E$14+1,1))</f>
        <v>544.89250424794909</v>
      </c>
      <c r="DU105" s="62">
        <f t="shared" si="98"/>
        <v>253.98688498110715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28.339841688549345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28.339841688549345</v>
      </c>
      <c r="EE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8.0470000000000024</v>
      </c>
      <c r="EJ105" s="13">
        <f>IF('Données projet'!$A$192&gt;35,EJ104+EI105-ER104,IF(A105&lt;'Données projet'!$A$192,$EG$205^A105,IF(A105='Données projet'!$A$192,'Données projet'!$B$192,EJ104+EI105-ER104)))</f>
        <v>349.31600000000043</v>
      </c>
      <c r="EK105" s="18">
        <f>EJ105*VLOOKUP('Données projet'!$B$15,Paramètres!$A$1:$I$89,3,0)*VLOOKUP('Données projet'!$B$15,Paramètres!$A$1:$I$89,5,0)</f>
        <v>316.06111680000038</v>
      </c>
      <c r="EL105" s="14">
        <f t="shared" si="99"/>
        <v>74.533202582557081</v>
      </c>
      <c r="EM105" s="22">
        <f t="shared" si="73"/>
        <v>680.28510625795423</v>
      </c>
      <c r="EN105" s="62">
        <f t="shared" si="74"/>
        <v>973.6184395912876</v>
      </c>
      <c r="EO105" s="62">
        <f ca="1">AVERAGE(OFFSET($EN$3,0,0,'Données projet'!$E$15+1,1))-AVERAGE(OFFSET($H$3,0,0,'Données projet'!$E$15+1,1))</f>
        <v>581.88778927327667</v>
      </c>
      <c r="EP105" s="62">
        <f t="shared" si="100"/>
        <v>269.67340993773422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30.439089221034486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30.439089221034486</v>
      </c>
      <c r="EZ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8.0470000000000024</v>
      </c>
      <c r="FE105" s="13">
        <f>IF('Données projet'!$A$218&gt;35,FE104+FD105-FM104,IF(A105&lt;'Données projet'!$A$218,$FB$205^A105,IF(A105='Données projet'!$A$218,'Données projet'!$B$218,FE104+FD105-FM104)))</f>
        <v>349.31600000000043</v>
      </c>
      <c r="FF105" s="18">
        <f>FE105*VLOOKUP('Données projet'!$B$16,Paramètres!$A$1:$I$89,3,0)*VLOOKUP('Données projet'!$B$16,Paramètres!$A$1:$I$89,5,0)</f>
        <v>354.20642400000042</v>
      </c>
      <c r="FG105" s="14">
        <f t="shared" si="101"/>
        <v>82.42805447614306</v>
      </c>
      <c r="FH105" s="22">
        <f t="shared" si="76"/>
        <v>760.4717166792833</v>
      </c>
      <c r="FI105" s="62">
        <f t="shared" si="77"/>
        <v>1053.8050500126167</v>
      </c>
      <c r="FJ105" s="62">
        <f ca="1">AVERAGE(OFFSET($FI$3,0,0,'Données projet'!$E$16+1,1))-AVERAGE(OFFSET($H$3,0,0,'Données projet'!$E$16+1,1))</f>
        <v>646.50767193970182</v>
      </c>
      <c r="FK105" s="62">
        <f t="shared" si="102"/>
        <v>297.06786598620607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34.112772402883472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34.112772402883472</v>
      </c>
      <c r="FU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8.0470000000000024</v>
      </c>
      <c r="FZ105" s="13">
        <f>IF('Données projet'!$A$244&gt;35,FZ104+FY105-GH104,IF(A105&lt;'Données projet'!$A$244,$FW$205^A105,IF(A105='Données projet'!$A$244,'Données projet'!$B$244,FZ104+FY105-GH104)))</f>
        <v>349.31600000000043</v>
      </c>
      <c r="GA105" s="18">
        <f>FZ105*VLOOKUP('Données projet'!$B$17,Paramètres!$A$1:$I$89,3,0)*VLOOKUP('Données projet'!$B$17,Paramètres!$A$1:$I$89,5,0)</f>
        <v>234.32117280000028</v>
      </c>
      <c r="GB105" s="14">
        <f t="shared" si="103"/>
        <v>57.216005544756449</v>
      </c>
      <c r="GC105" s="22">
        <f t="shared" si="79"/>
        <v>507.7605856171179</v>
      </c>
      <c r="GD105" s="62">
        <f t="shared" si="80"/>
        <v>801.09391895045121</v>
      </c>
      <c r="GE105" s="62">
        <f ca="1">AVERAGE(OFFSET($GD$3,0,0,'Données projet'!$E$17+1,1))-AVERAGE(OFFSET($H$3,0,0,'Données projet'!$E$17+1,1))</f>
        <v>442.85175349826028</v>
      </c>
      <c r="GF105" s="62">
        <f t="shared" si="104"/>
        <v>210.70697808232501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27.815029805428054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27.815029805428054</v>
      </c>
      <c r="GP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5.2</v>
      </c>
      <c r="GU105" s="13">
        <f>IF('Données projet'!$A$270&gt;35,GU104+GT105-HC104,IF(A105&lt;'Données projet'!$A$270,$GR$205^A105,IF(A105='Données projet'!$A$270,'Données projet'!$B$270,GU104+GT105-HC104)))</f>
        <v>276.39999999999986</v>
      </c>
      <c r="GV105" s="18">
        <f>GU105*VLOOKUP('Données projet'!$B$18,Paramètres!$A$1:$I$89,3,0)*VLOOKUP('Données projet'!$B$18,Paramètres!$A$1:$I$89,5,0)</f>
        <v>263.02223999999984</v>
      </c>
      <c r="GW105" s="14">
        <f t="shared" si="105"/>
        <v>63.3661634411352</v>
      </c>
      <c r="GX105" s="22">
        <f t="shared" si="82"/>
        <v>568.45980265997684</v>
      </c>
      <c r="GY105" s="62">
        <f t="shared" si="83"/>
        <v>861.79313599331022</v>
      </c>
      <c r="GZ105" s="62">
        <f ca="1">AVERAGE(OFFSET($GY$3,0,0,'Données projet'!$E$18+1,1))-AVERAGE(OFFSET($H$3,0,0,'Données projet'!$E$18+1,1))</f>
        <v>420.2510366318939</v>
      </c>
      <c r="HA105" s="62">
        <f t="shared" si="106"/>
        <v>220.59884411514116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47.522068293404928</v>
      </c>
      <c r="HH105" s="23">
        <f>EXP(-LN(2)/25)*HH104+(1-EXP(-LN(2)/25))/(LN(2)/25)*Calculateur!HC105*Calculateur!HE105*VLOOKUP('Données projet'!$B$18,Paramètres!$A$1:$I$89,3,0)*0.475*44/12</f>
        <v>0</v>
      </c>
      <c r="HI105" s="23">
        <f>EXP(-LN(2)/2)*HI104+(1-EXP(-LN(2)/2))/(LN(2)/2)*HC105*HF105*VLOOKUP('Données projet'!$B$18,Paramètres!$A$1:$I$89,3,0)*0.475*44/12</f>
        <v>0</v>
      </c>
      <c r="HJ105" s="24">
        <f t="shared" si="84"/>
        <v>47.522068293404928</v>
      </c>
    </row>
    <row r="106" spans="1:218" s="5" customFormat="1" x14ac:dyDescent="0.2">
      <c r="A106" s="11">
        <f t="shared" si="85"/>
        <v>103</v>
      </c>
      <c r="B106" s="74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-4.5474735088646412E-13</v>
      </c>
      <c r="O106" s="14">
        <f>N106*VLOOKUP('Données projet'!$B$9,Paramètres!$A$1:$I$89,3,0)*VLOOKUP('Données projet'!$B$9,Paramètres!$A$1:$I$89,5,0)</f>
        <v>-3.9017322706058626E-13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623.31285537237943</v>
      </c>
      <c r="T106" s="62">
        <f t="shared" si="88"/>
        <v>462.33909258902241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265.11739121365116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265.11739121365116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projet'!$B$10,Paramètres!$A$1:$I$89,3,0)*VLOOKUP('Données projet'!$B$10,Paramètres!$A$1:$I$89,5,0)</f>
        <v>4.9658410716801891E-14</v>
      </c>
      <c r="AK106" s="14">
        <f t="shared" si="89"/>
        <v>8.0934058173791862E-13</v>
      </c>
      <c r="AL106" s="22">
        <f t="shared" si="58"/>
        <v>1.4960899118586383E-12</v>
      </c>
      <c r="AM106" s="62">
        <f t="shared" si="59"/>
        <v>293.33333333333479</v>
      </c>
      <c r="AN106" s="62">
        <f ca="1">AVERAGE(OFFSET($AM$3,0,0,'Données projet'!$E$10+1,1))-AVERAGE(OFFSET($H$3,0,0,'Données projet'!$E$10+1,1))</f>
        <v>390.70479111593545</v>
      </c>
      <c r="AO106" s="62">
        <f t="shared" si="90"/>
        <v>374.99493809709708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104.43290569840603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104.43290569840603</v>
      </c>
      <c r="AY106" s="7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5.6843418860808015E-14</v>
      </c>
      <c r="BE106" s="14">
        <f>BD106*VLOOKUP('Données projet'!$B$11,Paramètres!$A$1:$I$89,3,0)*VLOOKUP('Données projet'!$B$11,Paramètres!$A$1:$I$89,5,0)</f>
        <v>4.5224624045658861E-14</v>
      </c>
      <c r="BF106" s="14">
        <f t="shared" si="91"/>
        <v>7.4514601661523691E-13</v>
      </c>
      <c r="BG106" s="22">
        <f t="shared" si="61"/>
        <v>1.3765621991510601E-12</v>
      </c>
      <c r="BH106" s="62">
        <f t="shared" si="62"/>
        <v>293.33333333333468</v>
      </c>
      <c r="BI106" s="62">
        <f ca="1">AVERAGE(OFFSET($BH$3,0,0,'Données projet'!$E$11+1,1))-AVERAGE(OFFSET($H$3,0,0,'Données projet'!$E$11+1,1))</f>
        <v>359.18294335011535</v>
      </c>
      <c r="BJ106" s="62">
        <f t="shared" si="92"/>
        <v>345.47508134331241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95.108539118191203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95.108539118191203</v>
      </c>
      <c r="BT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5.6843418860808015E-14</v>
      </c>
      <c r="BZ106" s="14">
        <f>BY106*VLOOKUP('Données projet'!$B$12,Paramètres!$A$1:$I$89,3,0)*VLOOKUP('Données projet'!$B$12,Paramètres!$A$1:$I$89,5,0)</f>
        <v>4.1677594708744434E-14</v>
      </c>
      <c r="CA106" s="14">
        <f t="shared" si="93"/>
        <v>6.9326303456159188E-13</v>
      </c>
      <c r="CB106" s="22">
        <f t="shared" si="64"/>
        <v>1.2800215959791691E-12</v>
      </c>
      <c r="CC106" s="62">
        <f t="shared" si="65"/>
        <v>293.33333333333462</v>
      </c>
      <c r="CD106" s="62">
        <f ca="1">AVERAGE(OFFSET($CC$3,0,0,'Données projet'!$E$12+1,1))-AVERAGE(OFFSET($H$3,0,0,'Données projet'!$E$12+1,1))</f>
        <v>333.9187211440219</v>
      </c>
      <c r="CE106" s="62">
        <f t="shared" si="94"/>
        <v>321.81422611044997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71.111490032506239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71.111490032506239</v>
      </c>
      <c r="CO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5.6843418860808015E-14</v>
      </c>
      <c r="CU106" s="18">
        <f>CT106*VLOOKUP('Données projet'!$B$13,Paramètres!$A$1:$I$89,3,0)*VLOOKUP('Données projet'!$B$13,Paramètres!$A$1:$I$89,5,0)</f>
        <v>4.6111381379887463E-14</v>
      </c>
      <c r="CV106" s="14">
        <f t="shared" si="95"/>
        <v>7.5804141040779151E-13</v>
      </c>
      <c r="CW106" s="22">
        <f t="shared" si="67"/>
        <v>1.4005661123635408E-12</v>
      </c>
      <c r="CX106" s="62">
        <f t="shared" si="68"/>
        <v>293.33333333333474</v>
      </c>
      <c r="CY106" s="62">
        <f ca="1">AVERAGE(OFFSET($CX$3,0,0,'Données projet'!$E$13+1,1))-AVERAGE(OFFSET($H$3,0,0,'Données projet'!$E$13+1,1))</f>
        <v>365.492319515595</v>
      </c>
      <c r="CZ106" s="62">
        <f t="shared" si="96"/>
        <v>351.38386928091433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78.676542163623921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78.676542163623921</v>
      </c>
      <c r="DJ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8.0470000000000024</v>
      </c>
      <c r="DO106" s="13">
        <f>IF('Données projet'!$A$166&gt;35,DO105+DN106-DW105,IF(A106&lt;'Données projet'!$A$166,$DL$205^A106,IF(A106='Données projet'!$A$166,'Données projet'!$B$166,DO105+DN106-DW105)))</f>
        <v>357.36300000000045</v>
      </c>
      <c r="DP106" s="18">
        <f>DO106*VLOOKUP('Données projet'!$B$14,Paramètres!$A$1:$I$89,3,0)*VLOOKUP('Données projet'!$B$14,Paramètres!$A$1:$I$89,5,0)</f>
        <v>301.0425912000004</v>
      </c>
      <c r="DQ106" s="14">
        <f t="shared" si="97"/>
        <v>71.394986486663669</v>
      </c>
      <c r="DR106" s="22">
        <f t="shared" si="70"/>
        <v>648.66211447093985</v>
      </c>
      <c r="DS106" s="62">
        <f t="shared" si="71"/>
        <v>941.99544780427323</v>
      </c>
      <c r="DT106" s="62">
        <f ca="1">AVERAGE(OFFSET($DS$3,0,0,'Données projet'!$E$14+1,1))-AVERAGE(OFFSET($H$3,0,0,'Données projet'!$E$14+1,1))</f>
        <v>544.89250424794909</v>
      </c>
      <c r="DU106" s="62">
        <f t="shared" si="98"/>
        <v>253.98688498110715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27.784114678633511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27.784114678633511</v>
      </c>
      <c r="EE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8.0470000000000024</v>
      </c>
      <c r="EJ106" s="13">
        <f>IF('Données projet'!$A$192&gt;35,EJ105+EI106-ER105,IF(A106&lt;'Données projet'!$A$192,$EG$205^A106,IF(A106='Données projet'!$A$192,'Données projet'!$B$192,EJ105+EI106-ER105)))</f>
        <v>357.36300000000045</v>
      </c>
      <c r="EK106" s="18">
        <f>EJ106*VLOOKUP('Données projet'!$B$15,Paramètres!$A$1:$I$89,3,0)*VLOOKUP('Données projet'!$B$15,Paramètres!$A$1:$I$89,5,0)</f>
        <v>323.34204240000037</v>
      </c>
      <c r="EL106" s="14">
        <f t="shared" si="99"/>
        <v>76.048309539529996</v>
      </c>
      <c r="EM106" s="22">
        <f t="shared" si="73"/>
        <v>695.60486296134877</v>
      </c>
      <c r="EN106" s="62">
        <f t="shared" si="74"/>
        <v>988.93819629468203</v>
      </c>
      <c r="EO106" s="62">
        <f ca="1">AVERAGE(OFFSET($EN$3,0,0,'Données projet'!$E$15+1,1))-AVERAGE(OFFSET($H$3,0,0,'Données projet'!$E$15+1,1))</f>
        <v>581.88778927327667</v>
      </c>
      <c r="EP106" s="62">
        <f t="shared" si="100"/>
        <v>269.67340993773422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29.842197247421183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29.842197247421183</v>
      </c>
      <c r="EZ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8.0470000000000024</v>
      </c>
      <c r="FE106" s="13">
        <f>IF('Données projet'!$A$218&gt;35,FE105+FD106-FM105,IF(A106&lt;'Données projet'!$A$218,$FB$205^A106,IF(A106='Données projet'!$A$218,'Données projet'!$B$218,FE105+FD106-FM105)))</f>
        <v>357.36300000000045</v>
      </c>
      <c r="FF106" s="18">
        <f>FE106*VLOOKUP('Données projet'!$B$16,Paramètres!$A$1:$I$89,3,0)*VLOOKUP('Données projet'!$B$16,Paramètres!$A$1:$I$89,5,0)</f>
        <v>362.36608200000046</v>
      </c>
      <c r="FG106" s="14">
        <f t="shared" si="101"/>
        <v>84.103647560288479</v>
      </c>
      <c r="FH106" s="22">
        <f t="shared" si="76"/>
        <v>777.60144565083658</v>
      </c>
      <c r="FI106" s="62">
        <f t="shared" si="77"/>
        <v>1070.93477898417</v>
      </c>
      <c r="FJ106" s="62">
        <f ca="1">AVERAGE(OFFSET($FI$3,0,0,'Données projet'!$E$16+1,1))-AVERAGE(OFFSET($H$3,0,0,'Données projet'!$E$16+1,1))</f>
        <v>646.50767193970182</v>
      </c>
      <c r="FK106" s="62">
        <f t="shared" si="102"/>
        <v>297.06786598620607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33.443841742799599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33.443841742799599</v>
      </c>
      <c r="FU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8.0470000000000024</v>
      </c>
      <c r="FZ106" s="13">
        <f>IF('Données projet'!$A$244&gt;35,FZ105+FY106-GH105,IF(A106&lt;'Données projet'!$A$244,$FW$205^A106,IF(A106='Données projet'!$A$244,'Données projet'!$B$244,FZ105+FY106-GH105)))</f>
        <v>357.36300000000045</v>
      </c>
      <c r="GA106" s="18">
        <f>FZ106*VLOOKUP('Données projet'!$B$17,Paramètres!$A$1:$I$89,3,0)*VLOOKUP('Données projet'!$B$17,Paramètres!$A$1:$I$89,5,0)</f>
        <v>239.71910040000031</v>
      </c>
      <c r="GB106" s="14">
        <f t="shared" si="103"/>
        <v>58.37908944625714</v>
      </c>
      <c r="GC106" s="22">
        <f t="shared" si="79"/>
        <v>519.18768064889844</v>
      </c>
      <c r="GD106" s="62">
        <f t="shared" si="80"/>
        <v>812.52101398223181</v>
      </c>
      <c r="GE106" s="62">
        <f ca="1">AVERAGE(OFFSET($GD$3,0,0,'Données projet'!$E$17+1,1))-AVERAGE(OFFSET($H$3,0,0,'Données projet'!$E$17+1,1))</f>
        <v>442.85175349826028</v>
      </c>
      <c r="GF106" s="62">
        <f t="shared" si="104"/>
        <v>210.70697808232501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27.269594036436587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27.269594036436587</v>
      </c>
      <c r="GP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5.2</v>
      </c>
      <c r="GU106" s="13">
        <f>IF('Données projet'!$A$270&gt;35,GU105+GT106-HC105,IF(A106&lt;'Données projet'!$A$270,$GR$205^A106,IF(A106='Données projet'!$A$270,'Données projet'!$B$270,GU105+GT106-HC105)))</f>
        <v>281.59999999999985</v>
      </c>
      <c r="GV106" s="18">
        <f>GU106*VLOOKUP('Données projet'!$B$18,Paramètres!$A$1:$I$89,3,0)*VLOOKUP('Données projet'!$B$18,Paramètres!$A$1:$I$89,5,0)</f>
        <v>267.97055999999986</v>
      </c>
      <c r="GW106" s="14">
        <f t="shared" si="105"/>
        <v>64.418381959040033</v>
      </c>
      <c r="GX106" s="22">
        <f t="shared" si="82"/>
        <v>578.91074057866115</v>
      </c>
      <c r="GY106" s="62">
        <f t="shared" si="83"/>
        <v>872.24407391199452</v>
      </c>
      <c r="GZ106" s="62">
        <f ca="1">AVERAGE(OFFSET($GY$3,0,0,'Données projet'!$E$18+1,1))-AVERAGE(OFFSET($H$3,0,0,'Données projet'!$E$18+1,1))</f>
        <v>420.2510366318939</v>
      </c>
      <c r="HA106" s="62">
        <f t="shared" si="106"/>
        <v>220.59884411514116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46.590189519770824</v>
      </c>
      <c r="HH106" s="23">
        <f>EXP(-LN(2)/25)*HH105+(1-EXP(-LN(2)/25))/(LN(2)/25)*Calculateur!HC106*Calculateur!HE106*VLOOKUP('Données projet'!$B$18,Paramètres!$A$1:$I$89,3,0)*0.475*44/12</f>
        <v>0</v>
      </c>
      <c r="HI106" s="23">
        <f>EXP(-LN(2)/2)*HI105+(1-EXP(-LN(2)/2))/(LN(2)/2)*HC106*HF106*VLOOKUP('Données projet'!$B$18,Paramètres!$A$1:$I$89,3,0)*0.475*44/12</f>
        <v>0</v>
      </c>
      <c r="HJ106" s="24">
        <f t="shared" si="84"/>
        <v>46.590189519770824</v>
      </c>
    </row>
    <row r="107" spans="1:218" s="5" customFormat="1" x14ac:dyDescent="0.2">
      <c r="A107" s="11">
        <f t="shared" si="85"/>
        <v>104</v>
      </c>
      <c r="B107" s="74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-4.5474735088646412E-13</v>
      </c>
      <c r="O107" s="14">
        <f>N107*VLOOKUP('Données projet'!$B$9,Paramètres!$A$1:$I$89,3,0)*VLOOKUP('Données projet'!$B$9,Paramètres!$A$1:$I$89,5,0)</f>
        <v>-3.9017322706058626E-13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623.31285537237943</v>
      </c>
      <c r="T107" s="62">
        <f t="shared" si="88"/>
        <v>462.33909258902241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259.91860087759301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259.91860087759301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projet'!$B$10,Paramètres!$A$1:$I$89,3,0)*VLOOKUP('Données projet'!$B$10,Paramètres!$A$1:$I$89,5,0)</f>
        <v>4.9658410716801891E-14</v>
      </c>
      <c r="AK107" s="14">
        <f t="shared" si="89"/>
        <v>8.0934058173791862E-13</v>
      </c>
      <c r="AL107" s="22">
        <f t="shared" si="58"/>
        <v>1.4960899118586383E-12</v>
      </c>
      <c r="AM107" s="62">
        <f t="shared" si="59"/>
        <v>293.33333333333479</v>
      </c>
      <c r="AN107" s="62">
        <f ca="1">AVERAGE(OFFSET($AM$3,0,0,'Données projet'!$E$10+1,1))-AVERAGE(OFFSET($H$3,0,0,'Données projet'!$E$10+1,1))</f>
        <v>390.70479111593545</v>
      </c>
      <c r="AO107" s="62">
        <f t="shared" si="90"/>
        <v>374.99493809709708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102.38504011544313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102.38504011544313</v>
      </c>
      <c r="AY107" s="7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5.6843418860808015E-14</v>
      </c>
      <c r="BE107" s="14">
        <f>BD107*VLOOKUP('Données projet'!$B$11,Paramètres!$A$1:$I$89,3,0)*VLOOKUP('Données projet'!$B$11,Paramètres!$A$1:$I$89,5,0)</f>
        <v>4.5224624045658861E-14</v>
      </c>
      <c r="BF107" s="14">
        <f t="shared" si="91"/>
        <v>7.4514601661523691E-13</v>
      </c>
      <c r="BG107" s="22">
        <f t="shared" si="61"/>
        <v>1.3765621991510601E-12</v>
      </c>
      <c r="BH107" s="62">
        <f t="shared" si="62"/>
        <v>293.33333333333468</v>
      </c>
      <c r="BI107" s="62">
        <f ca="1">AVERAGE(OFFSET($BH$3,0,0,'Données projet'!$E$11+1,1))-AVERAGE(OFFSET($H$3,0,0,'Données projet'!$E$11+1,1))</f>
        <v>359.18294335011535</v>
      </c>
      <c r="BJ107" s="62">
        <f t="shared" si="92"/>
        <v>345.47508134331241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93.243518676564278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93.243518676564278</v>
      </c>
      <c r="BT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5.6843418860808015E-14</v>
      </c>
      <c r="BZ107" s="14">
        <f>BY107*VLOOKUP('Données projet'!$B$12,Paramètres!$A$1:$I$89,3,0)*VLOOKUP('Données projet'!$B$12,Paramètres!$A$1:$I$89,5,0)</f>
        <v>4.1677594708744434E-14</v>
      </c>
      <c r="CA107" s="14">
        <f t="shared" si="93"/>
        <v>6.9326303456159188E-13</v>
      </c>
      <c r="CB107" s="22">
        <f t="shared" si="64"/>
        <v>1.2800215959791691E-12</v>
      </c>
      <c r="CC107" s="62">
        <f t="shared" si="65"/>
        <v>293.33333333333462</v>
      </c>
      <c r="CD107" s="62">
        <f ca="1">AVERAGE(OFFSET($CC$3,0,0,'Données projet'!$E$12+1,1))-AVERAGE(OFFSET($H$3,0,0,'Données projet'!$E$12+1,1))</f>
        <v>333.9187211440219</v>
      </c>
      <c r="CE107" s="62">
        <f t="shared" si="94"/>
        <v>321.81422611044997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69.717037086694916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69.717037086694916</v>
      </c>
      <c r="CO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5.6843418860808015E-14</v>
      </c>
      <c r="CU107" s="18">
        <f>CT107*VLOOKUP('Données projet'!$B$13,Paramètres!$A$1:$I$89,3,0)*VLOOKUP('Données projet'!$B$13,Paramètres!$A$1:$I$89,5,0)</f>
        <v>4.6111381379887463E-14</v>
      </c>
      <c r="CV107" s="14">
        <f t="shared" si="95"/>
        <v>7.5804141040779151E-13</v>
      </c>
      <c r="CW107" s="22">
        <f t="shared" si="67"/>
        <v>1.4005661123635408E-12</v>
      </c>
      <c r="CX107" s="62">
        <f t="shared" si="68"/>
        <v>293.33333333333474</v>
      </c>
      <c r="CY107" s="62">
        <f ca="1">AVERAGE(OFFSET($CX$3,0,0,'Données projet'!$E$13+1,1))-AVERAGE(OFFSET($H$3,0,0,'Données projet'!$E$13+1,1))</f>
        <v>365.492319515595</v>
      </c>
      <c r="CZ107" s="62">
        <f t="shared" si="96"/>
        <v>351.38386928091433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77.133743159747553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77.133743159747553</v>
      </c>
      <c r="DJ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>
        <f>VLOOKUP(A107,'Données projet'!$A$165:$I$185,2,0)</f>
        <v>365.41</v>
      </c>
      <c r="DM107" s="13">
        <f>VLOOKUP(A107,'Données projet'!$A$165:$I$185,9,0)</f>
        <v>8.0470000000000024</v>
      </c>
      <c r="DN107" s="13">
        <f t="array" ref="DN107">INDEX(DM:DM,MIN(IF(ISNUMBER(DM107:DM303),ROW(DM107:DM303),"")))</f>
        <v>8.0470000000000024</v>
      </c>
      <c r="DO107" s="13">
        <f>IF('Données projet'!$A$166&gt;35,DO106+DN107-DW106,IF(A107&lt;'Données projet'!$A$166,$DL$205^A107,IF(A107='Données projet'!$A$166,'Données projet'!$B$166,DO106+DN107-DW106)))</f>
        <v>365.41000000000048</v>
      </c>
      <c r="DP107" s="18">
        <f>DO107*VLOOKUP('Données projet'!$B$14,Paramètres!$A$1:$I$89,3,0)*VLOOKUP('Données projet'!$B$14,Paramètres!$A$1:$I$89,5,0)</f>
        <v>307.82138400000042</v>
      </c>
      <c r="DQ107" s="14">
        <f t="shared" si="97"/>
        <v>72.813661855638173</v>
      </c>
      <c r="DR107" s="22">
        <f t="shared" si="70"/>
        <v>662.93937153190393</v>
      </c>
      <c r="DS107" s="62">
        <f t="shared" si="71"/>
        <v>956.2727048652373</v>
      </c>
      <c r="DT107" s="62">
        <f ca="1">AVERAGE(OFFSET($DS$3,0,0,'Données projet'!$E$14+1,1))-AVERAGE(OFFSET($H$3,0,0,'Données projet'!$E$14+1,1))</f>
        <v>544.89250424794909</v>
      </c>
      <c r="DU107" s="62">
        <f t="shared" si="98"/>
        <v>253.98688498110715</v>
      </c>
      <c r="DV107" s="16">
        <f>IF(ISNA(VLOOKUP(A107,'Données projet'!$A$165:$I$185,3,0)),0,VLOOKUP(A107,'Données projet'!$A$165:$I$185,3,0))</f>
        <v>8</v>
      </c>
      <c r="DW107" s="16">
        <f>IF(ISNA(VLOOKUP(A107,'Données projet'!$A$165:$I$185,4,0)),0,VLOOKUP(A107,'Données projet'!$A$165:$I$185,4,0))</f>
        <v>60.19</v>
      </c>
      <c r="DX107" s="17">
        <f>IF(ISNA(VLOOKUP(A107,'Données projet'!$A$165:$I$185,5,0)),0%,VLOOKUP(A107,'Données projet'!$A$165:$I$185,5,0)*VLOOKUP('Données projet'!$B$14,Paramètres!$A$1:$I$89,7,0))</f>
        <v>0.215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39.290429022910814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39.290429022910814</v>
      </c>
      <c r="EE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>
        <f>VLOOKUP(A107,'Données projet'!$A$191:$I$211,2,0)</f>
        <v>365.41</v>
      </c>
      <c r="EH107" s="13">
        <f>VLOOKUP(A107,'Données projet'!$A$191:$I$211,9,0)</f>
        <v>8.0470000000000024</v>
      </c>
      <c r="EI107" s="13">
        <f t="array" ref="EI107">INDEX(EH:EH,MIN(IF(ISNUMBER(EH107:EH303),ROW(EH107:EH303),"")))</f>
        <v>8.0470000000000024</v>
      </c>
      <c r="EJ107" s="13">
        <f>IF('Données projet'!$A$192&gt;35,EJ106+EI107-ER106,IF(A107&lt;'Données projet'!$A$192,$EG$205^A107,IF(A107='Données projet'!$A$192,'Données projet'!$B$192,EJ106+EI107-ER106)))</f>
        <v>365.41000000000048</v>
      </c>
      <c r="EK107" s="18">
        <f>EJ107*VLOOKUP('Données projet'!$B$15,Paramètres!$A$1:$I$89,3,0)*VLOOKUP('Données projet'!$B$15,Paramètres!$A$1:$I$89,5,0)</f>
        <v>330.62296800000041</v>
      </c>
      <c r="EL107" s="14">
        <f t="shared" si="99"/>
        <v>77.559450151847827</v>
      </c>
      <c r="EM107" s="22">
        <f t="shared" si="73"/>
        <v>710.91771161446911</v>
      </c>
      <c r="EN107" s="62">
        <f t="shared" si="74"/>
        <v>1004.2510449478025</v>
      </c>
      <c r="EO107" s="62">
        <f ca="1">AVERAGE(OFFSET($EN$3,0,0,'Données projet'!$E$15+1,1))-AVERAGE(OFFSET($H$3,0,0,'Données projet'!$E$15+1,1))</f>
        <v>581.88778927327667</v>
      </c>
      <c r="EP107" s="62">
        <f t="shared" si="100"/>
        <v>269.67340993773422</v>
      </c>
      <c r="EQ107" s="16">
        <f>IF(ISNA(VLOOKUP(A107,'Données projet'!$A$191:$I$211,3,0)),0,VLOOKUP(A107,'Données projet'!$A$191:$I$211,3,0))</f>
        <v>8</v>
      </c>
      <c r="ER107" s="16">
        <f>IF(ISNA(VLOOKUP(A107,'Données projet'!$A$191:$I$211,4,0)),0,VLOOKUP(A107,'Données projet'!$A$191:$I$211,4,0))</f>
        <v>60.19</v>
      </c>
      <c r="ES107" s="17">
        <f>IF(ISNA(VLOOKUP(A107,'Données projet'!$A$191:$I$211,5,0)),0%,VLOOKUP(A107,'Données projet'!$A$191:$I$211,5,0)*VLOOKUP('Données projet'!$B$15,Paramètres!$A$1:$I$89,7,0))</f>
        <v>0.215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42.200831172756061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42.200831172756061</v>
      </c>
      <c r="EZ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>
        <f>VLOOKUP(A107,'Données projet'!$A$217:$I$237,2,0)</f>
        <v>365.41</v>
      </c>
      <c r="FC107" s="13">
        <f>VLOOKUP(A107,'Données projet'!$A$217:$I$237,9,0)</f>
        <v>8.0470000000000024</v>
      </c>
      <c r="FD107" s="13">
        <f t="array" ref="FD107">INDEX(FC:FC,MIN(IF(ISNUMBER(FC107:FC303),ROW(FC107:FC303),"")))</f>
        <v>8.0470000000000024</v>
      </c>
      <c r="FE107" s="13">
        <f>IF('Données projet'!$A$218&gt;35,FE106+FD107-FM106,IF(A107&lt;'Données projet'!$A$218,$FB$205^A107,IF(A107='Données projet'!$A$218,'Données projet'!$B$218,FE106+FD107-FM106)))</f>
        <v>365.41000000000048</v>
      </c>
      <c r="FF107" s="18">
        <f>FE107*VLOOKUP('Données projet'!$B$16,Paramètres!$A$1:$I$89,3,0)*VLOOKUP('Données projet'!$B$16,Paramètres!$A$1:$I$89,5,0)</f>
        <v>370.5257400000005</v>
      </c>
      <c r="FG107" s="14">
        <f t="shared" si="101"/>
        <v>85.774854168850283</v>
      </c>
      <c r="FH107" s="22">
        <f t="shared" si="76"/>
        <v>794.72353484408177</v>
      </c>
      <c r="FI107" s="62">
        <f t="shared" si="77"/>
        <v>1088.056868177415</v>
      </c>
      <c r="FJ107" s="62">
        <f ca="1">AVERAGE(OFFSET($FI$3,0,0,'Données projet'!$E$16+1,1))-AVERAGE(OFFSET($H$3,0,0,'Données projet'!$E$16+1,1))</f>
        <v>646.50767193970182</v>
      </c>
      <c r="FK107" s="62">
        <f t="shared" si="102"/>
        <v>297.06786598620607</v>
      </c>
      <c r="FL107" s="16">
        <f>IF(ISNA(VLOOKUP(A107,'Données projet'!$A$217:$I$237,3,0)),0,VLOOKUP(A107,'Données projet'!$A$217:$I$237,3,0))</f>
        <v>8</v>
      </c>
      <c r="FM107" s="16">
        <f>IF(ISNA(VLOOKUP(A107,'Données projet'!$A$217:$I$237,4,0)),0,VLOOKUP(A107,'Données projet'!$A$217:$I$237,4,0))</f>
        <v>60.19</v>
      </c>
      <c r="FN107" s="17">
        <f>IF(ISNA(VLOOKUP(A107,'Données projet'!$A$217:$I$237,5,0)),0%,VLOOKUP(A107,'Données projet'!$A$217:$I$237,5,0)*VLOOKUP('Données projet'!$B$16,Paramètres!$A$1:$I$89,7,0))</f>
        <v>0.215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47.294034934985241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47.294034934985241</v>
      </c>
      <c r="FU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>
        <f>VLOOKUP(A107,'Données projet'!$A$243:$I$263,2,0)</f>
        <v>365.41</v>
      </c>
      <c r="FX107" s="13">
        <f>VLOOKUP(A107,'Données projet'!$A$243:$I$263,9,0)</f>
        <v>8.0470000000000024</v>
      </c>
      <c r="FY107" s="13">
        <f t="array" ref="FY107">INDEX(FX:FX,MIN(IF(ISNUMBER(FX107:FX303),ROW(FX107:FX303),"")))</f>
        <v>8.0470000000000024</v>
      </c>
      <c r="FZ107" s="13">
        <f>IF('Données projet'!$A$244&gt;35,FZ106+FY107-GH106,IF(A107&lt;'Données projet'!$A$244,$FW$205^A107,IF(A107='Données projet'!$A$244,'Données projet'!$B$244,FZ106+FY107-GH106)))</f>
        <v>365.41000000000048</v>
      </c>
      <c r="GA107" s="18">
        <f>FZ107*VLOOKUP('Données projet'!$B$17,Paramètres!$A$1:$I$89,3,0)*VLOOKUP('Données projet'!$B$17,Paramètres!$A$1:$I$89,5,0)</f>
        <v>245.11702800000035</v>
      </c>
      <c r="GB107" s="14">
        <f t="shared" si="103"/>
        <v>59.539128551748597</v>
      </c>
      <c r="GC107" s="22">
        <f t="shared" si="79"/>
        <v>530.60947266096275</v>
      </c>
      <c r="GD107" s="62">
        <f t="shared" si="80"/>
        <v>823.94280599429612</v>
      </c>
      <c r="GE107" s="62">
        <f ca="1">AVERAGE(OFFSET($GD$3,0,0,'Données projet'!$E$17+1,1))-AVERAGE(OFFSET($H$3,0,0,'Données projet'!$E$17+1,1))</f>
        <v>442.85175349826028</v>
      </c>
      <c r="GF107" s="62">
        <f t="shared" si="104"/>
        <v>210.70697808232501</v>
      </c>
      <c r="GG107" s="16">
        <f>IF(ISNA(VLOOKUP(A107,'Données projet'!$A$243:$I$263,3,0)),0,VLOOKUP(A107,'Données projet'!$A$243:$I$263,3,0))</f>
        <v>8</v>
      </c>
      <c r="GH107" s="16">
        <f>IF(ISNA(VLOOKUP(A107,'Données projet'!$A$243:$I$263,4,0)),0,VLOOKUP(A107,'Données projet'!$A$243:$I$263,4,0))</f>
        <v>60.19</v>
      </c>
      <c r="GI107" s="17">
        <f>IF(ISNA(VLOOKUP(A107,'Données projet'!$A$243:$I$263,5,0)),0%,VLOOKUP(A107,'Données projet'!$A$243:$I$263,5,0)*VLOOKUP('Données projet'!$B$17,Paramètres!$A$1:$I$89,7,0))</f>
        <v>0.26500000000000001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38.562828485449494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38.562828485449494</v>
      </c>
      <c r="GP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5.2</v>
      </c>
      <c r="GU107" s="13">
        <f>IF('Données projet'!$A$270&gt;35,GU106+GT107-HC106,IF(A107&lt;'Données projet'!$A$270,$GR$205^A107,IF(A107='Données projet'!$A$270,'Données projet'!$B$270,GU106+GT107-HC106)))</f>
        <v>286.79999999999984</v>
      </c>
      <c r="GV107" s="18">
        <f>GU107*VLOOKUP('Données projet'!$B$18,Paramètres!$A$1:$I$89,3,0)*VLOOKUP('Données projet'!$B$18,Paramètres!$A$1:$I$89,5,0)</f>
        <v>272.91887999999983</v>
      </c>
      <c r="GW107" s="14">
        <f t="shared" si="105"/>
        <v>65.468341098154511</v>
      </c>
      <c r="GX107" s="22">
        <f t="shared" si="82"/>
        <v>589.35774341261879</v>
      </c>
      <c r="GY107" s="62">
        <f t="shared" si="83"/>
        <v>882.69107674595216</v>
      </c>
      <c r="GZ107" s="62">
        <f ca="1">AVERAGE(OFFSET($GY$3,0,0,'Données projet'!$E$18+1,1))-AVERAGE(OFFSET($H$3,0,0,'Données projet'!$E$18+1,1))</f>
        <v>420.2510366318939</v>
      </c>
      <c r="HA107" s="62">
        <f t="shared" si="106"/>
        <v>220.59884411514116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45.67658432049776</v>
      </c>
      <c r="HH107" s="23">
        <f>EXP(-LN(2)/25)*HH106+(1-EXP(-LN(2)/25))/(LN(2)/25)*Calculateur!HC107*Calculateur!HE107*VLOOKUP('Données projet'!$B$18,Paramètres!$A$1:$I$89,3,0)*0.475*44/12</f>
        <v>0</v>
      </c>
      <c r="HI107" s="23">
        <f>EXP(-LN(2)/2)*HI106+(1-EXP(-LN(2)/2))/(LN(2)/2)*HC107*HF107*VLOOKUP('Données projet'!$B$18,Paramètres!$A$1:$I$89,3,0)*0.475*44/12</f>
        <v>0</v>
      </c>
      <c r="HJ107" s="24">
        <f t="shared" si="84"/>
        <v>45.67658432049776</v>
      </c>
    </row>
    <row r="108" spans="1:218" s="5" customFormat="1" x14ac:dyDescent="0.2">
      <c r="A108" s="11">
        <f t="shared" si="85"/>
        <v>105</v>
      </c>
      <c r="B108" s="74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-4.5474735088646412E-13</v>
      </c>
      <c r="O108" s="14">
        <f>N108*VLOOKUP('Données projet'!$B$9,Paramètres!$A$1:$I$89,3,0)*VLOOKUP('Données projet'!$B$9,Paramètres!$A$1:$I$89,5,0)</f>
        <v>-3.9017322706058626E-13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623.31285537237943</v>
      </c>
      <c r="T108" s="62">
        <f t="shared" si="88"/>
        <v>462.33909258902241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254.82175564907595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254.82175564907595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projet'!$B$10,Paramètres!$A$1:$I$89,3,0)*VLOOKUP('Données projet'!$B$10,Paramètres!$A$1:$I$89,5,0)</f>
        <v>4.9658410716801891E-14</v>
      </c>
      <c r="AK108" s="14">
        <f t="shared" si="89"/>
        <v>8.0934058173791862E-13</v>
      </c>
      <c r="AL108" s="22">
        <f t="shared" si="58"/>
        <v>1.4960899118586383E-12</v>
      </c>
      <c r="AM108" s="62">
        <f t="shared" si="59"/>
        <v>293.33333333333479</v>
      </c>
      <c r="AN108" s="62">
        <f ca="1">AVERAGE(OFFSET($AM$3,0,0,'Données projet'!$E$10+1,1))-AVERAGE(OFFSET($H$3,0,0,'Données projet'!$E$10+1,1))</f>
        <v>390.70479111593545</v>
      </c>
      <c r="AO108" s="62">
        <f t="shared" si="90"/>
        <v>374.99493809709708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100.37733192748746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100.37733192748746</v>
      </c>
      <c r="AY108" s="7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5.6843418860808015E-14</v>
      </c>
      <c r="BE108" s="14">
        <f>BD108*VLOOKUP('Données projet'!$B$11,Paramètres!$A$1:$I$89,3,0)*VLOOKUP('Données projet'!$B$11,Paramètres!$A$1:$I$89,5,0)</f>
        <v>4.5224624045658861E-14</v>
      </c>
      <c r="BF108" s="14">
        <f t="shared" si="91"/>
        <v>7.4514601661523691E-13</v>
      </c>
      <c r="BG108" s="22">
        <f t="shared" si="61"/>
        <v>1.3765621991510601E-12</v>
      </c>
      <c r="BH108" s="62">
        <f t="shared" si="62"/>
        <v>293.33333333333468</v>
      </c>
      <c r="BI108" s="62">
        <f ca="1">AVERAGE(OFFSET($BH$3,0,0,'Données projet'!$E$11+1,1))-AVERAGE(OFFSET($H$3,0,0,'Données projet'!$E$11+1,1))</f>
        <v>359.18294335011535</v>
      </c>
      <c r="BJ108" s="62">
        <f t="shared" si="92"/>
        <v>345.47508134331241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91.415070148247509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91.415070148247509</v>
      </c>
      <c r="BT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5.6843418860808015E-14</v>
      </c>
      <c r="BZ108" s="14">
        <f>BY108*VLOOKUP('Données projet'!$B$12,Paramètres!$A$1:$I$89,3,0)*VLOOKUP('Données projet'!$B$12,Paramètres!$A$1:$I$89,5,0)</f>
        <v>4.1677594708744434E-14</v>
      </c>
      <c r="CA108" s="14">
        <f t="shared" si="93"/>
        <v>6.9326303456159188E-13</v>
      </c>
      <c r="CB108" s="22">
        <f t="shared" si="64"/>
        <v>1.2800215959791691E-12</v>
      </c>
      <c r="CC108" s="62">
        <f t="shared" si="65"/>
        <v>293.33333333333462</v>
      </c>
      <c r="CD108" s="62">
        <f ca="1">AVERAGE(OFFSET($CC$3,0,0,'Données projet'!$E$12+1,1))-AVERAGE(OFFSET($H$3,0,0,'Données projet'!$E$12+1,1))</f>
        <v>333.9187211440219</v>
      </c>
      <c r="CE108" s="62">
        <f t="shared" si="94"/>
        <v>321.81422611044997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68.349928512618632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68.349928512618632</v>
      </c>
      <c r="CO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5.6843418860808015E-14</v>
      </c>
      <c r="CU108" s="18">
        <f>CT108*VLOOKUP('Données projet'!$B$13,Paramètres!$A$1:$I$89,3,0)*VLOOKUP('Données projet'!$B$13,Paramètres!$A$1:$I$89,5,0)</f>
        <v>4.6111381379887463E-14</v>
      </c>
      <c r="CV108" s="14">
        <f t="shared" si="95"/>
        <v>7.5804141040779151E-13</v>
      </c>
      <c r="CW108" s="22">
        <f t="shared" si="67"/>
        <v>1.4005661123635408E-12</v>
      </c>
      <c r="CX108" s="62">
        <f t="shared" si="68"/>
        <v>293.33333333333474</v>
      </c>
      <c r="CY108" s="62">
        <f ca="1">AVERAGE(OFFSET($CX$3,0,0,'Données projet'!$E$13+1,1))-AVERAGE(OFFSET($H$3,0,0,'Données projet'!$E$13+1,1))</f>
        <v>365.492319515595</v>
      </c>
      <c r="CZ108" s="62">
        <f t="shared" si="96"/>
        <v>351.38386928091433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75.621197503322733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75.621197503322733</v>
      </c>
      <c r="DJ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7.9349999999999969</v>
      </c>
      <c r="DO108" s="13">
        <f>IF('Données projet'!$A$166&gt;35,DO107+DN108-DW107,IF(A108&lt;'Données projet'!$A$166,$DL$205^A108,IF(A108='Données projet'!$A$166,'Données projet'!$B$166,DO107+DN108-DW107)))</f>
        <v>313.15500000000048</v>
      </c>
      <c r="DP108" s="18">
        <f>DO108*VLOOKUP('Données projet'!$B$14,Paramètres!$A$1:$I$89,3,0)*VLOOKUP('Données projet'!$B$14,Paramètres!$A$1:$I$89,5,0)</f>
        <v>263.80177200000043</v>
      </c>
      <c r="DQ108" s="14">
        <f t="shared" si="97"/>
        <v>63.532076190680378</v>
      </c>
      <c r="DR108" s="22">
        <f t="shared" si="70"/>
        <v>570.10645226543568</v>
      </c>
      <c r="DS108" s="62">
        <f t="shared" si="71"/>
        <v>863.43978559876905</v>
      </c>
      <c r="DT108" s="62">
        <f ca="1">AVERAGE(OFFSET($DS$3,0,0,'Données projet'!$E$14+1,1))-AVERAGE(OFFSET($H$3,0,0,'Données projet'!$E$14+1,1))</f>
        <v>544.89250424794909</v>
      </c>
      <c r="DU108" s="62">
        <f t="shared" si="98"/>
        <v>253.98688498110715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38.519967674566907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38.519967674566907</v>
      </c>
      <c r="EE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7.9349999999999969</v>
      </c>
      <c r="EJ108" s="13">
        <f>IF('Données projet'!$A$192&gt;35,EJ107+EI108-ER107,IF(A108&lt;'Données projet'!$A$192,$EG$205^A108,IF(A108='Données projet'!$A$192,'Données projet'!$B$192,EJ107+EI108-ER107)))</f>
        <v>313.15500000000048</v>
      </c>
      <c r="EK108" s="18">
        <f>EJ108*VLOOKUP('Données projet'!$B$15,Paramètres!$A$1:$I$89,3,0)*VLOOKUP('Données projet'!$B$15,Paramètres!$A$1:$I$89,5,0)</f>
        <v>283.34264400000046</v>
      </c>
      <c r="EL108" s="14">
        <f t="shared" si="99"/>
        <v>67.672917015543916</v>
      </c>
      <c r="EM108" s="22">
        <f t="shared" si="73"/>
        <v>611.3521021020731</v>
      </c>
      <c r="EN108" s="62">
        <f t="shared" si="74"/>
        <v>904.68543543540636</v>
      </c>
      <c r="EO108" s="62">
        <f ca="1">AVERAGE(OFFSET($EN$3,0,0,'Données projet'!$E$15+1,1))-AVERAGE(OFFSET($H$3,0,0,'Données projet'!$E$15+1,1))</f>
        <v>581.88778927327667</v>
      </c>
      <c r="EP108" s="62">
        <f t="shared" si="100"/>
        <v>269.67340993773422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41.373298613423721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41.373298613423721</v>
      </c>
      <c r="EZ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7.9349999999999969</v>
      </c>
      <c r="FE108" s="13">
        <f>IF('Données projet'!$A$218&gt;35,FE107+FD108-FM107,IF(A108&lt;'Données projet'!$A$218,$FB$205^A108,IF(A108='Données projet'!$A$218,'Données projet'!$B$218,FE107+FD108-FM107)))</f>
        <v>313.15500000000048</v>
      </c>
      <c r="FF108" s="18">
        <f>FE108*VLOOKUP('Données projet'!$B$16,Paramètres!$A$1:$I$89,3,0)*VLOOKUP('Données projet'!$B$16,Paramètres!$A$1:$I$89,5,0)</f>
        <v>317.53917000000052</v>
      </c>
      <c r="FG108" s="14">
        <f t="shared" si="101"/>
        <v>74.841100302084755</v>
      </c>
      <c r="FH108" s="22">
        <f t="shared" si="76"/>
        <v>683.39563744279849</v>
      </c>
      <c r="FI108" s="62">
        <f t="shared" si="77"/>
        <v>976.72897077613175</v>
      </c>
      <c r="FJ108" s="62">
        <f ca="1">AVERAGE(OFFSET($FI$3,0,0,'Données projet'!$E$16+1,1))-AVERAGE(OFFSET($H$3,0,0,'Données projet'!$E$16+1,1))</f>
        <v>646.50767193970182</v>
      </c>
      <c r="FK108" s="62">
        <f t="shared" si="102"/>
        <v>297.06786598620607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46.366627756423135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46.366627756423135</v>
      </c>
      <c r="FU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7.9349999999999969</v>
      </c>
      <c r="FZ108" s="13">
        <f>IF('Données projet'!$A$244&gt;35,FZ107+FY108-GH107,IF(A108&lt;'Données projet'!$A$244,$FW$205^A108,IF(A108='Données projet'!$A$244,'Données projet'!$B$244,FZ107+FY108-GH107)))</f>
        <v>313.15500000000048</v>
      </c>
      <c r="GA108" s="18">
        <f>FZ108*VLOOKUP('Données projet'!$B$17,Paramètres!$A$1:$I$89,3,0)*VLOOKUP('Données projet'!$B$17,Paramètres!$A$1:$I$89,5,0)</f>
        <v>210.06437400000033</v>
      </c>
      <c r="GB108" s="14">
        <f t="shared" si="103"/>
        <v>51.949652785983382</v>
      </c>
      <c r="GC108" s="22">
        <f t="shared" si="79"/>
        <v>456.34109665225498</v>
      </c>
      <c r="GD108" s="62">
        <f t="shared" si="80"/>
        <v>749.67442998558829</v>
      </c>
      <c r="GE108" s="62">
        <f ca="1">AVERAGE(OFFSET($GD$3,0,0,'Données projet'!$E$17+1,1))-AVERAGE(OFFSET($H$3,0,0,'Données projet'!$E$17+1,1))</f>
        <v>442.85175349826028</v>
      </c>
      <c r="GF108" s="62">
        <f t="shared" si="104"/>
        <v>210.70697808232501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37.8066349398527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37.8066349398527</v>
      </c>
      <c r="GP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>
        <f>VLOOKUP(A108,'Données projet'!$A$269:$I$289,2,0)</f>
        <v>292</v>
      </c>
      <c r="GS108" s="13">
        <f>VLOOKUP(A108,'Données projet'!$A$269:$I$289,9,0)</f>
        <v>5.2</v>
      </c>
      <c r="GT108" s="13">
        <f t="array" ref="GT108">INDEX(GS:GS,MIN(IF(ISNUMBER(GS108:GS304),ROW(GS108:GS304),"")))</f>
        <v>5.2</v>
      </c>
      <c r="GU108" s="13">
        <f>IF('Données projet'!$A$270&gt;35,GU107+GT108-HC107,IF(A108&lt;'Données projet'!$A$270,$GR$205^A108,IF(A108='Données projet'!$A$270,'Données projet'!$B$270,GU107+GT108-HC107)))</f>
        <v>291.99999999999983</v>
      </c>
      <c r="GV108" s="18">
        <f>GU108*VLOOKUP('Données projet'!$B$18,Paramètres!$A$1:$I$89,3,0)*VLOOKUP('Données projet'!$B$18,Paramètres!$A$1:$I$89,5,0)</f>
        <v>277.86719999999985</v>
      </c>
      <c r="GW108" s="14">
        <f t="shared" si="105"/>
        <v>66.516086548657327</v>
      </c>
      <c r="GX108" s="22">
        <f t="shared" si="82"/>
        <v>599.80089073891122</v>
      </c>
      <c r="GY108" s="62">
        <f t="shared" si="83"/>
        <v>893.13422407224448</v>
      </c>
      <c r="GZ108" s="62">
        <f ca="1">AVERAGE(OFFSET($GY$3,0,0,'Données projet'!$E$18+1,1))-AVERAGE(OFFSET($H$3,0,0,'Données projet'!$E$18+1,1))</f>
        <v>420.2510366318939</v>
      </c>
      <c r="HA108" s="62">
        <f t="shared" si="106"/>
        <v>220.59884411514116</v>
      </c>
      <c r="HB108" s="16">
        <f>IF(ISNA(VLOOKUP(A108,'Données projet'!$A$269:$I$289,3,0)),0,VLOOKUP(A108,'Données projet'!$A$269:$I$289,3,0))</f>
        <v>17</v>
      </c>
      <c r="HC108" s="16">
        <f>IF(ISNA(VLOOKUP(A108,'Données projet'!$A$269:$I$289,4,0)),0,VLOOKUP(A108,'Données projet'!$A$269:$I$289,4,0))</f>
        <v>22</v>
      </c>
      <c r="HD108" s="17">
        <f>IF(ISNA(VLOOKUP(A108,'Données projet'!$A$269:$I$289,5,0)),0%,VLOOKUP(A108,'Données projet'!$A$269:$I$289,5,0)*VLOOKUP('Données projet'!$B$18,Paramètres!$A$1:$I$89,7,0))</f>
        <v>0.34400000000000003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52.742170122360079</v>
      </c>
      <c r="HH108" s="23">
        <f>EXP(-LN(2)/25)*HH107+(1-EXP(-LN(2)/25))/(LN(2)/25)*Calculateur!HC108*Calculateur!HE108*VLOOKUP('Données projet'!$B$18,Paramètres!$A$1:$I$89,3,0)*0.475*44/12</f>
        <v>0</v>
      </c>
      <c r="HI108" s="23">
        <f>EXP(-LN(2)/2)*HI107+(1-EXP(-LN(2)/2))/(LN(2)/2)*HC108*HF108*VLOOKUP('Données projet'!$B$18,Paramètres!$A$1:$I$89,3,0)*0.475*44/12</f>
        <v>0</v>
      </c>
      <c r="HJ108" s="24">
        <f t="shared" si="84"/>
        <v>52.742170122360079</v>
      </c>
    </row>
    <row r="109" spans="1:218" s="5" customFormat="1" x14ac:dyDescent="0.2">
      <c r="A109" s="11">
        <f t="shared" si="85"/>
        <v>106</v>
      </c>
      <c r="B109" s="74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-4.5474735088646412E-13</v>
      </c>
      <c r="O109" s="14">
        <f>N109*VLOOKUP('Données projet'!$B$9,Paramètres!$A$1:$I$89,3,0)*VLOOKUP('Données projet'!$B$9,Paramètres!$A$1:$I$89,5,0)</f>
        <v>-3.9017322706058626E-13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623.31285537237943</v>
      </c>
      <c r="T109" s="62">
        <f t="shared" si="88"/>
        <v>462.33909258902241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249.8248564467215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249.8248564467215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projet'!$B$10,Paramètres!$A$1:$I$89,3,0)*VLOOKUP('Données projet'!$B$10,Paramètres!$A$1:$I$89,5,0)</f>
        <v>4.9658410716801891E-14</v>
      </c>
      <c r="AK109" s="14">
        <f t="shared" si="89"/>
        <v>8.0934058173791862E-13</v>
      </c>
      <c r="AL109" s="22">
        <f t="shared" si="58"/>
        <v>1.4960899118586383E-12</v>
      </c>
      <c r="AM109" s="62">
        <f t="shared" si="59"/>
        <v>293.33333333333479</v>
      </c>
      <c r="AN109" s="62">
        <f ca="1">AVERAGE(OFFSET($AM$3,0,0,'Données projet'!$E$10+1,1))-AVERAGE(OFFSET($H$3,0,0,'Données projet'!$E$10+1,1))</f>
        <v>390.70479111593545</v>
      </c>
      <c r="AO109" s="62">
        <f t="shared" si="90"/>
        <v>374.99493809709708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98.40899367251653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98.40899367251653</v>
      </c>
      <c r="AY109" s="7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5.6843418860808015E-14</v>
      </c>
      <c r="BE109" s="14">
        <f>BD109*VLOOKUP('Données projet'!$B$11,Paramètres!$A$1:$I$89,3,0)*VLOOKUP('Données projet'!$B$11,Paramètres!$A$1:$I$89,5,0)</f>
        <v>4.5224624045658861E-14</v>
      </c>
      <c r="BF109" s="14">
        <f t="shared" si="91"/>
        <v>7.4514601661523691E-13</v>
      </c>
      <c r="BG109" s="22">
        <f t="shared" si="61"/>
        <v>1.3765621991510601E-12</v>
      </c>
      <c r="BH109" s="62">
        <f t="shared" si="62"/>
        <v>293.33333333333468</v>
      </c>
      <c r="BI109" s="62">
        <f ca="1">AVERAGE(OFFSET($BH$3,0,0,'Données projet'!$E$11+1,1))-AVERAGE(OFFSET($H$3,0,0,'Données projet'!$E$11+1,1))</f>
        <v>359.18294335011535</v>
      </c>
      <c r="BJ109" s="62">
        <f t="shared" si="92"/>
        <v>345.47508134331241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89.622476380327555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89.622476380327555</v>
      </c>
      <c r="BT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5.6843418860808015E-14</v>
      </c>
      <c r="BZ109" s="14">
        <f>BY109*VLOOKUP('Données projet'!$B$12,Paramètres!$A$1:$I$89,3,0)*VLOOKUP('Données projet'!$B$12,Paramètres!$A$1:$I$89,5,0)</f>
        <v>4.1677594708744434E-14</v>
      </c>
      <c r="CA109" s="14">
        <f t="shared" si="93"/>
        <v>6.9326303456159188E-13</v>
      </c>
      <c r="CB109" s="22">
        <f t="shared" si="64"/>
        <v>1.2800215959791691E-12</v>
      </c>
      <c r="CC109" s="62">
        <f t="shared" si="65"/>
        <v>293.33333333333462</v>
      </c>
      <c r="CD109" s="62">
        <f ca="1">AVERAGE(OFFSET($CC$3,0,0,'Données projet'!$E$12+1,1))-AVERAGE(OFFSET($H$3,0,0,'Données projet'!$E$12+1,1))</f>
        <v>333.9187211440219</v>
      </c>
      <c r="CE109" s="62">
        <f t="shared" si="94"/>
        <v>321.81422611044997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67.009628103826088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67.009628103826088</v>
      </c>
      <c r="CO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5.6843418860808015E-14</v>
      </c>
      <c r="CU109" s="18">
        <f>CT109*VLOOKUP('Données projet'!$B$13,Paramètres!$A$1:$I$89,3,0)*VLOOKUP('Données projet'!$B$13,Paramètres!$A$1:$I$89,5,0)</f>
        <v>4.6111381379887463E-14</v>
      </c>
      <c r="CV109" s="14">
        <f t="shared" si="95"/>
        <v>7.5804141040779151E-13</v>
      </c>
      <c r="CW109" s="22">
        <f t="shared" si="67"/>
        <v>1.4005661123635408E-12</v>
      </c>
      <c r="CX109" s="62">
        <f t="shared" si="68"/>
        <v>293.33333333333474</v>
      </c>
      <c r="CY109" s="62">
        <f ca="1">AVERAGE(OFFSET($CX$3,0,0,'Données projet'!$E$13+1,1))-AVERAGE(OFFSET($H$3,0,0,'Données projet'!$E$13+1,1))</f>
        <v>365.492319515595</v>
      </c>
      <c r="CZ109" s="62">
        <f t="shared" si="96"/>
        <v>351.38386928091433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74.138311944658653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74.138311944658653</v>
      </c>
      <c r="DJ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7.9349999999999969</v>
      </c>
      <c r="DO109" s="13">
        <f>IF('Données projet'!$A$166&gt;35,DO108+DN109-DW108,IF(A109&lt;'Données projet'!$A$166,$DL$205^A109,IF(A109='Données projet'!$A$166,'Données projet'!$B$166,DO108+DN109-DW108)))</f>
        <v>321.09000000000049</v>
      </c>
      <c r="DP109" s="18">
        <f>DO109*VLOOKUP('Données projet'!$B$14,Paramètres!$A$1:$I$89,3,0)*VLOOKUP('Données projet'!$B$14,Paramètres!$A$1:$I$89,5,0)</f>
        <v>270.48621600000047</v>
      </c>
      <c r="DQ109" s="14">
        <f t="shared" si="97"/>
        <v>64.952445786841039</v>
      </c>
      <c r="DR109" s="22">
        <f t="shared" si="70"/>
        <v>584.22233594541558</v>
      </c>
      <c r="DS109" s="62">
        <f t="shared" si="71"/>
        <v>877.55566927874884</v>
      </c>
      <c r="DT109" s="62">
        <f ca="1">AVERAGE(OFFSET($DS$3,0,0,'Données projet'!$E$14+1,1))-AVERAGE(OFFSET($H$3,0,0,'Données projet'!$E$14+1,1))</f>
        <v>544.89250424794909</v>
      </c>
      <c r="DU109" s="62">
        <f t="shared" si="98"/>
        <v>253.98688498110715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37.764614603329008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37.764614603329008</v>
      </c>
      <c r="EE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7.9349999999999969</v>
      </c>
      <c r="EJ109" s="13">
        <f>IF('Données projet'!$A$192&gt;35,EJ108+EI109-ER108,IF(A109&lt;'Données projet'!$A$192,$EG$205^A109,IF(A109='Données projet'!$A$192,'Données projet'!$B$192,EJ108+EI109-ER108)))</f>
        <v>321.09000000000049</v>
      </c>
      <c r="EK109" s="18">
        <f>EJ109*VLOOKUP('Données projet'!$B$15,Paramètres!$A$1:$I$89,3,0)*VLOOKUP('Données projet'!$B$15,Paramètres!$A$1:$I$89,5,0)</f>
        <v>290.52223200000043</v>
      </c>
      <c r="EL109" s="14">
        <f t="shared" si="99"/>
        <v>69.185862279978352</v>
      </c>
      <c r="EM109" s="22">
        <f t="shared" si="73"/>
        <v>626.49159753762979</v>
      </c>
      <c r="EN109" s="62">
        <f t="shared" si="74"/>
        <v>919.82493087096304</v>
      </c>
      <c r="EO109" s="62">
        <f ca="1">AVERAGE(OFFSET($EN$3,0,0,'Données projet'!$E$15+1,1))-AVERAGE(OFFSET($H$3,0,0,'Données projet'!$E$15+1,1))</f>
        <v>581.88778927327667</v>
      </c>
      <c r="EP109" s="62">
        <f t="shared" si="100"/>
        <v>269.67340993773422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40.561993462834863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40.561993462834863</v>
      </c>
      <c r="EZ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7.9349999999999969</v>
      </c>
      <c r="FE109" s="13">
        <f>IF('Données projet'!$A$218&gt;35,FE108+FD109-FM108,IF(A109&lt;'Données projet'!$A$218,$FB$205^A109,IF(A109='Données projet'!$A$218,'Données projet'!$B$218,FE108+FD109-FM108)))</f>
        <v>321.09000000000049</v>
      </c>
      <c r="FF109" s="18">
        <f>FE109*VLOOKUP('Données projet'!$B$16,Paramètres!$A$1:$I$89,3,0)*VLOOKUP('Données projet'!$B$16,Paramètres!$A$1:$I$89,5,0)</f>
        <v>325.58526000000052</v>
      </c>
      <c r="FG109" s="14">
        <f t="shared" si="101"/>
        <v>76.514302718659977</v>
      </c>
      <c r="FH109" s="22">
        <f t="shared" si="76"/>
        <v>700.32340506833361</v>
      </c>
      <c r="FI109" s="62">
        <f t="shared" si="77"/>
        <v>993.65673840166687</v>
      </c>
      <c r="FJ109" s="62">
        <f ca="1">AVERAGE(OFFSET($FI$3,0,0,'Données projet'!$E$16+1,1))-AVERAGE(OFFSET($H$3,0,0,'Données projet'!$E$16+1,1))</f>
        <v>646.50767193970182</v>
      </c>
      <c r="FK109" s="62">
        <f t="shared" si="102"/>
        <v>297.06786598620607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45.457406466970106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45.457406466970106</v>
      </c>
      <c r="FU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7.9349999999999969</v>
      </c>
      <c r="FZ109" s="13">
        <f>IF('Données projet'!$A$244&gt;35,FZ108+FY109-GH108,IF(A109&lt;'Données projet'!$A$244,$FW$205^A109,IF(A109='Données projet'!$A$244,'Données projet'!$B$244,FZ108+FY109-GH108)))</f>
        <v>321.09000000000049</v>
      </c>
      <c r="GA109" s="18">
        <f>FZ109*VLOOKUP('Données projet'!$B$17,Paramètres!$A$1:$I$89,3,0)*VLOOKUP('Données projet'!$B$17,Paramètres!$A$1:$I$89,5,0)</f>
        <v>215.38717200000033</v>
      </c>
      <c r="GB109" s="14">
        <f t="shared" si="103"/>
        <v>53.111077247020198</v>
      </c>
      <c r="GC109" s="22">
        <f t="shared" si="79"/>
        <v>467.63445077189402</v>
      </c>
      <c r="GD109" s="62">
        <f t="shared" si="80"/>
        <v>760.96778410522734</v>
      </c>
      <c r="GE109" s="62">
        <f ca="1">AVERAGE(OFFSET($GD$3,0,0,'Données projet'!$E$17+1,1))-AVERAGE(OFFSET($H$3,0,0,'Données projet'!$E$17+1,1))</f>
        <v>442.85175349826028</v>
      </c>
      <c r="GF109" s="62">
        <f t="shared" si="104"/>
        <v>210.70697808232501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37.065269888452541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37.065269888452541</v>
      </c>
      <c r="GP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4.8</v>
      </c>
      <c r="GU109" s="13">
        <f>IF('Données projet'!$A$270&gt;35,GU108+GT109-HC108,IF(A109&lt;'Données projet'!$A$270,$GR$205^A109,IF(A109='Données projet'!$A$270,'Données projet'!$B$270,GU108+GT109-HC108)))</f>
        <v>274.79999999999984</v>
      </c>
      <c r="GV109" s="18">
        <f>GU109*VLOOKUP('Données projet'!$B$18,Paramètres!$A$1:$I$89,3,0)*VLOOKUP('Données projet'!$B$18,Paramètres!$A$1:$I$89,5,0)</f>
        <v>261.49967999999984</v>
      </c>
      <c r="GW109" s="14">
        <f t="shared" si="105"/>
        <v>63.041942045518837</v>
      </c>
      <c r="GX109" s="22">
        <f t="shared" si="82"/>
        <v>565.24332506261169</v>
      </c>
      <c r="GY109" s="62">
        <f t="shared" si="83"/>
        <v>858.57665839594506</v>
      </c>
      <c r="GZ109" s="62">
        <f ca="1">AVERAGE(OFFSET($GY$3,0,0,'Données projet'!$E$18+1,1))-AVERAGE(OFFSET($H$3,0,0,'Données projet'!$E$18+1,1))</f>
        <v>420.2510366318939</v>
      </c>
      <c r="HA109" s="62">
        <f t="shared" si="106"/>
        <v>220.59884411514116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51.707928335807892</v>
      </c>
      <c r="HH109" s="23">
        <f>EXP(-LN(2)/25)*HH108+(1-EXP(-LN(2)/25))/(LN(2)/25)*Calculateur!HC109*Calculateur!HE109*VLOOKUP('Données projet'!$B$18,Paramètres!$A$1:$I$89,3,0)*0.475*44/12</f>
        <v>0</v>
      </c>
      <c r="HI109" s="23">
        <f>EXP(-LN(2)/2)*HI108+(1-EXP(-LN(2)/2))/(LN(2)/2)*HC109*HF109*VLOOKUP('Données projet'!$B$18,Paramètres!$A$1:$I$89,3,0)*0.475*44/12</f>
        <v>0</v>
      </c>
      <c r="HJ109" s="24">
        <f t="shared" si="84"/>
        <v>51.707928335807892</v>
      </c>
    </row>
    <row r="110" spans="1:218" s="5" customFormat="1" x14ac:dyDescent="0.2">
      <c r="A110" s="11">
        <f t="shared" si="85"/>
        <v>107</v>
      </c>
      <c r="B110" s="74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-4.5474735088646412E-13</v>
      </c>
      <c r="O110" s="14">
        <f>N110*VLOOKUP('Données projet'!$B$9,Paramètres!$A$1:$I$89,3,0)*VLOOKUP('Données projet'!$B$9,Paramètres!$A$1:$I$89,5,0)</f>
        <v>-3.9017322706058626E-13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623.31285537237943</v>
      </c>
      <c r="T110" s="62">
        <f t="shared" si="88"/>
        <v>462.33909258902241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244.92594338991762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244.92594338991762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projet'!$B$10,Paramètres!$A$1:$I$89,3,0)*VLOOKUP('Données projet'!$B$10,Paramètres!$A$1:$I$89,5,0)</f>
        <v>4.9658410716801891E-14</v>
      </c>
      <c r="AK110" s="14">
        <f t="shared" si="89"/>
        <v>8.0934058173791862E-13</v>
      </c>
      <c r="AL110" s="22">
        <f t="shared" si="58"/>
        <v>1.4960899118586383E-12</v>
      </c>
      <c r="AM110" s="62">
        <f t="shared" si="59"/>
        <v>293.33333333333479</v>
      </c>
      <c r="AN110" s="62">
        <f ca="1">AVERAGE(OFFSET($AM$3,0,0,'Données projet'!$E$10+1,1))-AVERAGE(OFFSET($H$3,0,0,'Données projet'!$E$10+1,1))</f>
        <v>390.70479111593545</v>
      </c>
      <c r="AO110" s="62">
        <f t="shared" si="90"/>
        <v>374.99493809709708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96.479253330157789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96.479253330157789</v>
      </c>
      <c r="AY110" s="7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5.6843418860808015E-14</v>
      </c>
      <c r="BE110" s="14">
        <f>BD110*VLOOKUP('Données projet'!$B$11,Paramètres!$A$1:$I$89,3,0)*VLOOKUP('Données projet'!$B$11,Paramètres!$A$1:$I$89,5,0)</f>
        <v>4.5224624045658861E-14</v>
      </c>
      <c r="BF110" s="14">
        <f t="shared" si="91"/>
        <v>7.4514601661523691E-13</v>
      </c>
      <c r="BG110" s="22">
        <f t="shared" si="61"/>
        <v>1.3765621991510601E-12</v>
      </c>
      <c r="BH110" s="62">
        <f t="shared" si="62"/>
        <v>293.33333333333468</v>
      </c>
      <c r="BI110" s="62">
        <f ca="1">AVERAGE(OFFSET($BH$3,0,0,'Données projet'!$E$11+1,1))-AVERAGE(OFFSET($H$3,0,0,'Données projet'!$E$11+1,1))</f>
        <v>359.18294335011535</v>
      </c>
      <c r="BJ110" s="62">
        <f t="shared" si="92"/>
        <v>345.47508134331241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87.865034282822265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87.865034282822265</v>
      </c>
      <c r="BT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5.6843418860808015E-14</v>
      </c>
      <c r="BZ110" s="14">
        <f>BY110*VLOOKUP('Données projet'!$B$12,Paramètres!$A$1:$I$89,3,0)*VLOOKUP('Données projet'!$B$12,Paramètres!$A$1:$I$89,5,0)</f>
        <v>4.1677594708744434E-14</v>
      </c>
      <c r="CA110" s="14">
        <f t="shared" si="93"/>
        <v>6.9326303456159188E-13</v>
      </c>
      <c r="CB110" s="22">
        <f t="shared" si="64"/>
        <v>1.2800215959791691E-12</v>
      </c>
      <c r="CC110" s="62">
        <f t="shared" si="65"/>
        <v>293.33333333333462</v>
      </c>
      <c r="CD110" s="62">
        <f ca="1">AVERAGE(OFFSET($CC$3,0,0,'Données projet'!$E$12+1,1))-AVERAGE(OFFSET($H$3,0,0,'Données projet'!$E$12+1,1))</f>
        <v>333.9187211440219</v>
      </c>
      <c r="CE110" s="62">
        <f t="shared" si="94"/>
        <v>321.81422611044997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65.695610168547447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65.695610168547447</v>
      </c>
      <c r="CO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5.6843418860808015E-14</v>
      </c>
      <c r="CU110" s="18">
        <f>CT110*VLOOKUP('Données projet'!$B$13,Paramètres!$A$1:$I$89,3,0)*VLOOKUP('Données projet'!$B$13,Paramètres!$A$1:$I$89,5,0)</f>
        <v>4.6111381379887463E-14</v>
      </c>
      <c r="CV110" s="14">
        <f t="shared" si="95"/>
        <v>7.5804141040779151E-13</v>
      </c>
      <c r="CW110" s="22">
        <f t="shared" si="67"/>
        <v>1.4005661123635408E-12</v>
      </c>
      <c r="CX110" s="62">
        <f t="shared" si="68"/>
        <v>293.33333333333474</v>
      </c>
      <c r="CY110" s="62">
        <f ca="1">AVERAGE(OFFSET($CX$3,0,0,'Données projet'!$E$13+1,1))-AVERAGE(OFFSET($H$3,0,0,'Données projet'!$E$13+1,1))</f>
        <v>365.492319515595</v>
      </c>
      <c r="CZ110" s="62">
        <f t="shared" si="96"/>
        <v>351.38386928091433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72.684504867329082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72.684504867329082</v>
      </c>
      <c r="DJ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7.9349999999999969</v>
      </c>
      <c r="DO110" s="13">
        <f>IF('Données projet'!$A$166&gt;35,DO109+DN110-DW109,IF(A110&lt;'Données projet'!$A$166,$DL$205^A110,IF(A110='Données projet'!$A$166,'Données projet'!$B$166,DO109+DN110-DW109)))</f>
        <v>329.02500000000049</v>
      </c>
      <c r="DP110" s="18">
        <f>DO110*VLOOKUP('Données projet'!$B$14,Paramètres!$A$1:$I$89,3,0)*VLOOKUP('Données projet'!$B$14,Paramètres!$A$1:$I$89,5,0)</f>
        <v>277.17066000000045</v>
      </c>
      <c r="DQ110" s="14">
        <f t="shared" si="97"/>
        <v>66.368735039439841</v>
      </c>
      <c r="DR110" s="22">
        <f t="shared" si="70"/>
        <v>598.33111302702525</v>
      </c>
      <c r="DS110" s="62">
        <f t="shared" si="71"/>
        <v>891.66444636035862</v>
      </c>
      <c r="DT110" s="62">
        <f ca="1">AVERAGE(OFFSET($DS$3,0,0,'Données projet'!$E$14+1,1))-AVERAGE(OFFSET($H$3,0,0,'Données projet'!$E$14+1,1))</f>
        <v>544.89250424794909</v>
      </c>
      <c r="DU110" s="62">
        <f t="shared" si="98"/>
        <v>253.98688498110715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37.024073545098204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37.024073545098204</v>
      </c>
      <c r="EE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7.9349999999999969</v>
      </c>
      <c r="EJ110" s="13">
        <f>IF('Données projet'!$A$192&gt;35,EJ109+EI110-ER109,IF(A110&lt;'Données projet'!$A$192,$EG$205^A110,IF(A110='Données projet'!$A$192,'Données projet'!$B$192,EJ109+EI110-ER109)))</f>
        <v>329.02500000000049</v>
      </c>
      <c r="EK110" s="18">
        <f>EJ110*VLOOKUP('Données projet'!$B$15,Paramètres!$A$1:$I$89,3,0)*VLOOKUP('Données projet'!$B$15,Paramètres!$A$1:$I$89,5,0)</f>
        <v>297.70182000000045</v>
      </c>
      <c r="EL110" s="14">
        <f t="shared" si="99"/>
        <v>70.69446125561177</v>
      </c>
      <c r="EM110" s="22">
        <f t="shared" si="73"/>
        <v>641.62352318685794</v>
      </c>
      <c r="EN110" s="62">
        <f t="shared" si="74"/>
        <v>934.9568565201912</v>
      </c>
      <c r="EO110" s="62">
        <f ca="1">AVERAGE(OFFSET($EN$3,0,0,'Données projet'!$E$15+1,1))-AVERAGE(OFFSET($H$3,0,0,'Données projet'!$E$15+1,1))</f>
        <v>581.88778927327667</v>
      </c>
      <c r="EP110" s="62">
        <f t="shared" si="100"/>
        <v>269.67340993773422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39.766597511401777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39.766597511401777</v>
      </c>
      <c r="EZ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7.9349999999999969</v>
      </c>
      <c r="FE110" s="13">
        <f>IF('Données projet'!$A$218&gt;35,FE109+FD110-FM109,IF(A110&lt;'Données projet'!$A$218,$FB$205^A110,IF(A110='Données projet'!$A$218,'Données projet'!$B$218,FE109+FD110-FM109)))</f>
        <v>329.02500000000049</v>
      </c>
      <c r="FF110" s="18">
        <f>FE110*VLOOKUP('Données projet'!$B$16,Paramètres!$A$1:$I$89,3,0)*VLOOKUP('Données projet'!$B$16,Paramètres!$A$1:$I$89,5,0)</f>
        <v>333.63135000000051</v>
      </c>
      <c r="FG110" s="14">
        <f t="shared" si="101"/>
        <v>78.182698470317533</v>
      </c>
      <c r="FH110" s="22">
        <f t="shared" si="76"/>
        <v>717.24280108580388</v>
      </c>
      <c r="FI110" s="62">
        <f t="shared" si="77"/>
        <v>1010.5761344191371</v>
      </c>
      <c r="FJ110" s="62">
        <f ca="1">AVERAGE(OFFSET($FI$3,0,0,'Données projet'!$E$16+1,1))-AVERAGE(OFFSET($H$3,0,0,'Données projet'!$E$16+1,1))</f>
        <v>646.50767193970182</v>
      </c>
      <c r="FK110" s="62">
        <f t="shared" si="102"/>
        <v>297.06786598620607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44.566014452433024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44.566014452433024</v>
      </c>
      <c r="FU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7.9349999999999969</v>
      </c>
      <c r="FZ110" s="13">
        <f>IF('Données projet'!$A$244&gt;35,FZ109+FY110-GH109,IF(A110&lt;'Données projet'!$A$244,$FW$205^A110,IF(A110='Données projet'!$A$244,'Données projet'!$B$244,FZ109+FY110-GH109)))</f>
        <v>329.02500000000049</v>
      </c>
      <c r="GA110" s="18">
        <f>FZ110*VLOOKUP('Données projet'!$B$17,Paramètres!$A$1:$I$89,3,0)*VLOOKUP('Données projet'!$B$17,Paramètres!$A$1:$I$89,5,0)</f>
        <v>220.70997000000031</v>
      </c>
      <c r="GB110" s="14">
        <f t="shared" si="103"/>
        <v>54.269165244903427</v>
      </c>
      <c r="GC110" s="22">
        <f t="shared" si="79"/>
        <v>478.92199388487393</v>
      </c>
      <c r="GD110" s="62">
        <f t="shared" si="80"/>
        <v>772.25532721820719</v>
      </c>
      <c r="GE110" s="62">
        <f ca="1">AVERAGE(OFFSET($GD$3,0,0,'Données projet'!$E$17+1,1))-AVERAGE(OFFSET($H$3,0,0,'Données projet'!$E$17+1,1))</f>
        <v>442.85175349826028</v>
      </c>
      <c r="GF110" s="62">
        <f t="shared" si="104"/>
        <v>210.70697808232501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36.338442553522306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36.338442553522306</v>
      </c>
      <c r="GP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4.8</v>
      </c>
      <c r="GU110" s="13">
        <f>IF('Données projet'!$A$270&gt;35,GU109+GT110-HC109,IF(A110&lt;'Données projet'!$A$270,$GR$205^A110,IF(A110='Données projet'!$A$270,'Données projet'!$B$270,GU109+GT110-HC109)))</f>
        <v>279.59999999999985</v>
      </c>
      <c r="GV110" s="18">
        <f>GU110*VLOOKUP('Données projet'!$B$18,Paramètres!$A$1:$I$89,3,0)*VLOOKUP('Données projet'!$B$18,Paramètres!$A$1:$I$89,5,0)</f>
        <v>266.06735999999984</v>
      </c>
      <c r="GW110" s="14">
        <f t="shared" si="105"/>
        <v>64.01395246498069</v>
      </c>
      <c r="GX110" s="22">
        <f t="shared" si="82"/>
        <v>574.891619209841</v>
      </c>
      <c r="GY110" s="62">
        <f t="shared" si="83"/>
        <v>868.22495254317437</v>
      </c>
      <c r="GZ110" s="62">
        <f ca="1">AVERAGE(OFFSET($GY$3,0,0,'Données projet'!$E$18+1,1))-AVERAGE(OFFSET($H$3,0,0,'Données projet'!$E$18+1,1))</f>
        <v>420.2510366318939</v>
      </c>
      <c r="HA110" s="62">
        <f t="shared" si="106"/>
        <v>220.59884411514116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50.693967399864796</v>
      </c>
      <c r="HH110" s="23">
        <f>EXP(-LN(2)/25)*HH109+(1-EXP(-LN(2)/25))/(LN(2)/25)*Calculateur!HC110*Calculateur!HE110*VLOOKUP('Données projet'!$B$18,Paramètres!$A$1:$I$89,3,0)*0.475*44/12</f>
        <v>0</v>
      </c>
      <c r="HI110" s="23">
        <f>EXP(-LN(2)/2)*HI109+(1-EXP(-LN(2)/2))/(LN(2)/2)*HC110*HF110*VLOOKUP('Données projet'!$B$18,Paramètres!$A$1:$I$89,3,0)*0.475*44/12</f>
        <v>0</v>
      </c>
      <c r="HJ110" s="24">
        <f t="shared" si="84"/>
        <v>50.693967399864796</v>
      </c>
    </row>
    <row r="111" spans="1:218" s="5" customFormat="1" x14ac:dyDescent="0.2">
      <c r="A111" s="11">
        <f t="shared" si="85"/>
        <v>108</v>
      </c>
      <c r="B111" s="74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-4.5474735088646412E-13</v>
      </c>
      <c r="O111" s="14">
        <f>N111*VLOOKUP('Données projet'!$B$9,Paramètres!$A$1:$I$89,3,0)*VLOOKUP('Données projet'!$B$9,Paramètres!$A$1:$I$89,5,0)</f>
        <v>-3.9017322706058626E-13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623.31285537237943</v>
      </c>
      <c r="T111" s="62">
        <f t="shared" si="88"/>
        <v>462.33909258902241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240.12309503011576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240.12309503011576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projet'!$B$10,Paramètres!$A$1:$I$89,3,0)*VLOOKUP('Données projet'!$B$10,Paramètres!$A$1:$I$89,5,0)</f>
        <v>4.9658410716801891E-14</v>
      </c>
      <c r="AK111" s="14">
        <f t="shared" si="89"/>
        <v>8.0934058173791862E-13</v>
      </c>
      <c r="AL111" s="22">
        <f t="shared" si="58"/>
        <v>1.4960899118586383E-12</v>
      </c>
      <c r="AM111" s="62">
        <f t="shared" si="59"/>
        <v>293.33333333333479</v>
      </c>
      <c r="AN111" s="62">
        <f ca="1">AVERAGE(OFFSET($AM$3,0,0,'Données projet'!$E$10+1,1))-AVERAGE(OFFSET($H$3,0,0,'Données projet'!$E$10+1,1))</f>
        <v>390.70479111593545</v>
      </c>
      <c r="AO111" s="62">
        <f t="shared" si="90"/>
        <v>374.99493809709708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94.587354018887311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94.587354018887311</v>
      </c>
      <c r="AY111" s="7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5.6843418860808015E-14</v>
      </c>
      <c r="BE111" s="14">
        <f>BD111*VLOOKUP('Données projet'!$B$11,Paramètres!$A$1:$I$89,3,0)*VLOOKUP('Données projet'!$B$11,Paramètres!$A$1:$I$89,5,0)</f>
        <v>4.5224624045658861E-14</v>
      </c>
      <c r="BF111" s="14">
        <f t="shared" si="91"/>
        <v>7.4514601661523691E-13</v>
      </c>
      <c r="BG111" s="22">
        <f t="shared" si="61"/>
        <v>1.3765621991510601E-12</v>
      </c>
      <c r="BH111" s="62">
        <f t="shared" si="62"/>
        <v>293.33333333333468</v>
      </c>
      <c r="BI111" s="62">
        <f ca="1">AVERAGE(OFFSET($BH$3,0,0,'Données projet'!$E$11+1,1))-AVERAGE(OFFSET($H$3,0,0,'Données projet'!$E$11+1,1))</f>
        <v>359.18294335011535</v>
      </c>
      <c r="BJ111" s="62">
        <f t="shared" si="92"/>
        <v>345.47508134331241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86.142054552915226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86.142054552915226</v>
      </c>
      <c r="BT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5.6843418860808015E-14</v>
      </c>
      <c r="BZ111" s="14">
        <f>BY111*VLOOKUP('Données projet'!$B$12,Paramètres!$A$1:$I$89,3,0)*VLOOKUP('Données projet'!$B$12,Paramètres!$A$1:$I$89,5,0)</f>
        <v>4.1677594708744434E-14</v>
      </c>
      <c r="CA111" s="14">
        <f t="shared" si="93"/>
        <v>6.9326303456159188E-13</v>
      </c>
      <c r="CB111" s="22">
        <f t="shared" si="64"/>
        <v>1.2800215959791691E-12</v>
      </c>
      <c r="CC111" s="62">
        <f t="shared" si="65"/>
        <v>293.33333333333462</v>
      </c>
      <c r="CD111" s="62">
        <f ca="1">AVERAGE(OFFSET($CC$3,0,0,'Données projet'!$E$12+1,1))-AVERAGE(OFFSET($H$3,0,0,'Données projet'!$E$12+1,1))</f>
        <v>333.9187211440219</v>
      </c>
      <c r="CE111" s="62">
        <f t="shared" si="94"/>
        <v>321.81422611044997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64.407359323507819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64.407359323507819</v>
      </c>
      <c r="CO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5.6843418860808015E-14</v>
      </c>
      <c r="CU111" s="18">
        <f>CT111*VLOOKUP('Données projet'!$B$13,Paramètres!$A$1:$I$89,3,0)*VLOOKUP('Données projet'!$B$13,Paramètres!$A$1:$I$89,5,0)</f>
        <v>4.6111381379887463E-14</v>
      </c>
      <c r="CV111" s="14">
        <f t="shared" si="95"/>
        <v>7.5804141040779151E-13</v>
      </c>
      <c r="CW111" s="22">
        <f t="shared" si="67"/>
        <v>1.4005661123635408E-12</v>
      </c>
      <c r="CX111" s="62">
        <f t="shared" si="68"/>
        <v>293.33333333333474</v>
      </c>
      <c r="CY111" s="62">
        <f ca="1">AVERAGE(OFFSET($CX$3,0,0,'Données projet'!$E$13+1,1))-AVERAGE(OFFSET($H$3,0,0,'Données projet'!$E$13+1,1))</f>
        <v>365.492319515595</v>
      </c>
      <c r="CZ111" s="62">
        <f t="shared" si="96"/>
        <v>351.38386928091433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71.259206060051184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71.259206060051184</v>
      </c>
      <c r="DJ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7.9349999999999969</v>
      </c>
      <c r="DO111" s="13">
        <f>IF('Données projet'!$A$166&gt;35,DO110+DN111-DW110,IF(A111&lt;'Données projet'!$A$166,$DL$205^A111,IF(A111='Données projet'!$A$166,'Données projet'!$B$166,DO110+DN111-DW110)))</f>
        <v>336.96000000000049</v>
      </c>
      <c r="DP111" s="18">
        <f>DO111*VLOOKUP('Données projet'!$B$14,Paramètres!$A$1:$I$89,3,0)*VLOOKUP('Données projet'!$B$14,Paramètres!$A$1:$I$89,5,0)</f>
        <v>283.85510400000044</v>
      </c>
      <c r="DQ111" s="14">
        <f t="shared" si="97"/>
        <v>67.781053674667632</v>
      </c>
      <c r="DR111" s="22">
        <f t="shared" si="70"/>
        <v>612.43297461671352</v>
      </c>
      <c r="DS111" s="62">
        <f t="shared" si="71"/>
        <v>905.76630795004689</v>
      </c>
      <c r="DT111" s="62">
        <f ca="1">AVERAGE(OFFSET($DS$3,0,0,'Données projet'!$E$14+1,1))-AVERAGE(OFFSET($H$3,0,0,'Données projet'!$E$14+1,1))</f>
        <v>544.89250424794909</v>
      </c>
      <c r="DU111" s="62">
        <f t="shared" si="98"/>
        <v>253.98688498110715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36.298054045333856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36.298054045333856</v>
      </c>
      <c r="EE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7.9349999999999969</v>
      </c>
      <c r="EJ111" s="13">
        <f>IF('Données projet'!$A$192&gt;35,EJ110+EI111-ER110,IF(A111&lt;'Données projet'!$A$192,$EG$205^A111,IF(A111='Données projet'!$A$192,'Données projet'!$B$192,EJ110+EI111-ER110)))</f>
        <v>336.96000000000049</v>
      </c>
      <c r="EK111" s="18">
        <f>EJ111*VLOOKUP('Données projet'!$B$15,Paramètres!$A$1:$I$89,3,0)*VLOOKUP('Données projet'!$B$15,Paramètres!$A$1:$I$89,5,0)</f>
        <v>304.88140800000042</v>
      </c>
      <c r="EL111" s="14">
        <f t="shared" si="99"/>
        <v>72.198830820277394</v>
      </c>
      <c r="EM111" s="22">
        <f t="shared" si="73"/>
        <v>656.74808261198393</v>
      </c>
      <c r="EN111" s="62">
        <f t="shared" si="74"/>
        <v>950.0814159453173</v>
      </c>
      <c r="EO111" s="62">
        <f ca="1">AVERAGE(OFFSET($EN$3,0,0,'Données projet'!$E$15+1,1))-AVERAGE(OFFSET($H$3,0,0,'Données projet'!$E$15+1,1))</f>
        <v>581.88778927327667</v>
      </c>
      <c r="EP111" s="62">
        <f t="shared" si="100"/>
        <v>269.67340993773422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38.986798789432662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38.986798789432662</v>
      </c>
      <c r="EZ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7.9349999999999969</v>
      </c>
      <c r="FE111" s="13">
        <f>IF('Données projet'!$A$218&gt;35,FE110+FD111-FM110,IF(A111&lt;'Données projet'!$A$218,$FB$205^A111,IF(A111='Données projet'!$A$218,'Données projet'!$B$218,FE110+FD111-FM110)))</f>
        <v>336.96000000000049</v>
      </c>
      <c r="FF111" s="18">
        <f>FE111*VLOOKUP('Données projet'!$B$16,Paramètres!$A$1:$I$89,3,0)*VLOOKUP('Données projet'!$B$16,Paramètres!$A$1:$I$89,5,0)</f>
        <v>341.6774400000005</v>
      </c>
      <c r="FG111" s="14">
        <f t="shared" si="101"/>
        <v>79.846416815053246</v>
      </c>
      <c r="FH111" s="22">
        <f t="shared" si="76"/>
        <v>734.15405061955198</v>
      </c>
      <c r="FI111" s="62">
        <f t="shared" si="77"/>
        <v>1027.4873839528852</v>
      </c>
      <c r="FJ111" s="62">
        <f ca="1">AVERAGE(OFFSET($FI$3,0,0,'Données projet'!$E$16+1,1))-AVERAGE(OFFSET($H$3,0,0,'Données projet'!$E$16+1,1))</f>
        <v>646.50767193970182</v>
      </c>
      <c r="FK111" s="62">
        <f t="shared" si="102"/>
        <v>297.06786598620607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43.69210209160557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43.69210209160557</v>
      </c>
      <c r="FU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7.9349999999999969</v>
      </c>
      <c r="FZ111" s="13">
        <f>IF('Données projet'!$A$244&gt;35,FZ110+FY111-GH110,IF(A111&lt;'Données projet'!$A$244,$FW$205^A111,IF(A111='Données projet'!$A$244,'Données projet'!$B$244,FZ110+FY111-GH110)))</f>
        <v>336.96000000000049</v>
      </c>
      <c r="GA111" s="18">
        <f>FZ111*VLOOKUP('Données projet'!$B$17,Paramètres!$A$1:$I$89,3,0)*VLOOKUP('Données projet'!$B$17,Paramètres!$A$1:$I$89,5,0)</f>
        <v>226.03276800000035</v>
      </c>
      <c r="GB111" s="14">
        <f t="shared" si="103"/>
        <v>55.42400650183086</v>
      </c>
      <c r="GC111" s="22">
        <f t="shared" si="79"/>
        <v>490.20388225735604</v>
      </c>
      <c r="GD111" s="62">
        <f t="shared" si="80"/>
        <v>783.53721559068936</v>
      </c>
      <c r="GE111" s="62">
        <f ca="1">AVERAGE(OFFSET($GD$3,0,0,'Données projet'!$E$17+1,1))-AVERAGE(OFFSET($H$3,0,0,'Données projet'!$E$17+1,1))</f>
        <v>442.85175349826028</v>
      </c>
      <c r="GF111" s="62">
        <f t="shared" si="104"/>
        <v>210.70697808232501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35.625867859309153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35.625867859309153</v>
      </c>
      <c r="GP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4.8</v>
      </c>
      <c r="GU111" s="13">
        <f>IF('Données projet'!$A$270&gt;35,GU110+GT111-HC110,IF(A111&lt;'Données projet'!$A$270,$GR$205^A111,IF(A111='Données projet'!$A$270,'Données projet'!$B$270,GU110+GT111-HC110)))</f>
        <v>284.39999999999986</v>
      </c>
      <c r="GV111" s="18">
        <f>GU111*VLOOKUP('Données projet'!$B$18,Paramètres!$A$1:$I$89,3,0)*VLOOKUP('Données projet'!$B$18,Paramètres!$A$1:$I$89,5,0)</f>
        <v>270.63503999999989</v>
      </c>
      <c r="GW111" s="14">
        <f t="shared" si="105"/>
        <v>64.984022370912285</v>
      </c>
      <c r="GX111" s="22">
        <f t="shared" si="82"/>
        <v>584.53653362933869</v>
      </c>
      <c r="GY111" s="62">
        <f t="shared" si="83"/>
        <v>877.86986696267195</v>
      </c>
      <c r="GZ111" s="62">
        <f ca="1">AVERAGE(OFFSET($GY$3,0,0,'Données projet'!$E$18+1,1))-AVERAGE(OFFSET($H$3,0,0,'Données projet'!$E$18+1,1))</f>
        <v>420.2510366318939</v>
      </c>
      <c r="HA111" s="62">
        <f t="shared" si="106"/>
        <v>220.59884411514116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49.699889619420439</v>
      </c>
      <c r="HH111" s="23">
        <f>EXP(-LN(2)/25)*HH110+(1-EXP(-LN(2)/25))/(LN(2)/25)*Calculateur!HC111*Calculateur!HE111*VLOOKUP('Données projet'!$B$18,Paramètres!$A$1:$I$89,3,0)*0.475*44/12</f>
        <v>0</v>
      </c>
      <c r="HI111" s="23">
        <f>EXP(-LN(2)/2)*HI110+(1-EXP(-LN(2)/2))/(LN(2)/2)*HC111*HF111*VLOOKUP('Données projet'!$B$18,Paramètres!$A$1:$I$89,3,0)*0.475*44/12</f>
        <v>0</v>
      </c>
      <c r="HJ111" s="24">
        <f t="shared" si="84"/>
        <v>49.699889619420439</v>
      </c>
    </row>
    <row r="112" spans="1:218" s="5" customFormat="1" x14ac:dyDescent="0.2">
      <c r="A112" s="11">
        <f t="shared" si="85"/>
        <v>109</v>
      </c>
      <c r="B112" s="74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-4.5474735088646412E-13</v>
      </c>
      <c r="O112" s="14">
        <f>N112*VLOOKUP('Données projet'!$B$9,Paramètres!$A$1:$I$89,3,0)*VLOOKUP('Données projet'!$B$9,Paramètres!$A$1:$I$89,5,0)</f>
        <v>-3.9017322706058626E-13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623.31285537237943</v>
      </c>
      <c r="T112" s="62">
        <f t="shared" si="88"/>
        <v>462.33909258902241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235.41442759720138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235.41442759720138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projet'!$B$10,Paramètres!$A$1:$I$89,3,0)*VLOOKUP('Données projet'!$B$10,Paramètres!$A$1:$I$89,5,0)</f>
        <v>4.9658410716801891E-14</v>
      </c>
      <c r="AK112" s="14">
        <f t="shared" si="89"/>
        <v>8.0934058173791862E-13</v>
      </c>
      <c r="AL112" s="22">
        <f t="shared" si="58"/>
        <v>1.4960899118586383E-12</v>
      </c>
      <c r="AM112" s="62">
        <f t="shared" si="59"/>
        <v>293.33333333333479</v>
      </c>
      <c r="AN112" s="62">
        <f ca="1">AVERAGE(OFFSET($AM$3,0,0,'Données projet'!$E$10+1,1))-AVERAGE(OFFSET($H$3,0,0,'Données projet'!$E$10+1,1))</f>
        <v>390.70479111593545</v>
      </c>
      <c r="AO112" s="62">
        <f t="shared" si="90"/>
        <v>374.99493809709708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92.732553699166218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92.732553699166218</v>
      </c>
      <c r="AY112" s="7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5.6843418860808015E-14</v>
      </c>
      <c r="BE112" s="14">
        <f>BD112*VLOOKUP('Données projet'!$B$11,Paramètres!$A$1:$I$89,3,0)*VLOOKUP('Données projet'!$B$11,Paramètres!$A$1:$I$89,5,0)</f>
        <v>4.5224624045658861E-14</v>
      </c>
      <c r="BF112" s="14">
        <f t="shared" si="91"/>
        <v>7.4514601661523691E-13</v>
      </c>
      <c r="BG112" s="22">
        <f t="shared" si="61"/>
        <v>1.3765621991510601E-12</v>
      </c>
      <c r="BH112" s="62">
        <f t="shared" si="62"/>
        <v>293.33333333333468</v>
      </c>
      <c r="BI112" s="62">
        <f ca="1">AVERAGE(OFFSET($BH$3,0,0,'Données projet'!$E$11+1,1))-AVERAGE(OFFSET($H$3,0,0,'Données projet'!$E$11+1,1))</f>
        <v>359.18294335011535</v>
      </c>
      <c r="BJ112" s="62">
        <f t="shared" si="92"/>
        <v>345.47508134331241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84.452861404597797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84.452861404597797</v>
      </c>
      <c r="BT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5.6843418860808015E-14</v>
      </c>
      <c r="BZ112" s="14">
        <f>BY112*VLOOKUP('Données projet'!$B$12,Paramètres!$A$1:$I$89,3,0)*VLOOKUP('Données projet'!$B$12,Paramètres!$A$1:$I$89,5,0)</f>
        <v>4.1677594708744434E-14</v>
      </c>
      <c r="CA112" s="14">
        <f t="shared" si="93"/>
        <v>6.9326303456159188E-13</v>
      </c>
      <c r="CB112" s="22">
        <f t="shared" si="64"/>
        <v>1.2800215959791691E-12</v>
      </c>
      <c r="CC112" s="62">
        <f t="shared" si="65"/>
        <v>293.33333333333462</v>
      </c>
      <c r="CD112" s="62">
        <f ca="1">AVERAGE(OFFSET($CC$3,0,0,'Données projet'!$E$12+1,1))-AVERAGE(OFFSET($H$3,0,0,'Données projet'!$E$12+1,1))</f>
        <v>333.9187211440219</v>
      </c>
      <c r="CE112" s="62">
        <f t="shared" si="94"/>
        <v>321.81422611044997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63.144370291783986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63.144370291783986</v>
      </c>
      <c r="CO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5.6843418860808015E-14</v>
      </c>
      <c r="CU112" s="18">
        <f>CT112*VLOOKUP('Données projet'!$B$13,Paramètres!$A$1:$I$89,3,0)*VLOOKUP('Données projet'!$B$13,Paramètres!$A$1:$I$89,5,0)</f>
        <v>4.6111381379887463E-14</v>
      </c>
      <c r="CV112" s="14">
        <f t="shared" si="95"/>
        <v>7.5804141040779151E-13</v>
      </c>
      <c r="CW112" s="22">
        <f t="shared" si="67"/>
        <v>1.4005661123635408E-12</v>
      </c>
      <c r="CX112" s="62">
        <f t="shared" si="68"/>
        <v>293.33333333333474</v>
      </c>
      <c r="CY112" s="62">
        <f ca="1">AVERAGE(OFFSET($CX$3,0,0,'Données projet'!$E$13+1,1))-AVERAGE(OFFSET($H$3,0,0,'Données projet'!$E$13+1,1))</f>
        <v>365.492319515595</v>
      </c>
      <c r="CZ112" s="62">
        <f t="shared" si="96"/>
        <v>351.38386928091433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69.861856493037578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69.861856493037578</v>
      </c>
      <c r="DJ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7.9349999999999969</v>
      </c>
      <c r="DO112" s="13">
        <f>IF('Données projet'!$A$166&gt;35,DO111+DN112-DW111,IF(A112&lt;'Données projet'!$A$166,$DL$205^A112,IF(A112='Données projet'!$A$166,'Données projet'!$B$166,DO111+DN112-DW111)))</f>
        <v>344.89500000000049</v>
      </c>
      <c r="DP112" s="18">
        <f>DO112*VLOOKUP('Données projet'!$B$14,Paramètres!$A$1:$I$89,3,0)*VLOOKUP('Données projet'!$B$14,Paramètres!$A$1:$I$89,5,0)</f>
        <v>290.53954800000048</v>
      </c>
      <c r="DQ112" s="14">
        <f t="shared" si="97"/>
        <v>69.189505956077127</v>
      </c>
      <c r="DR112" s="22">
        <f t="shared" si="70"/>
        <v>626.52810230683519</v>
      </c>
      <c r="DS112" s="62">
        <f t="shared" si="71"/>
        <v>919.86143564016857</v>
      </c>
      <c r="DT112" s="62">
        <f ca="1">AVERAGE(OFFSET($DS$3,0,0,'Données projet'!$E$14+1,1))-AVERAGE(OFFSET($H$3,0,0,'Données projet'!$E$14+1,1))</f>
        <v>544.89250424794909</v>
      </c>
      <c r="DU112" s="62">
        <f t="shared" si="98"/>
        <v>253.98688498110715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35.586271345131721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35.586271345131721</v>
      </c>
      <c r="EE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7.9349999999999969</v>
      </c>
      <c r="EJ112" s="13">
        <f>IF('Données projet'!$A$192&gt;35,EJ111+EI112-ER111,IF(A112&lt;'Données projet'!$A$192,$EG$205^A112,IF(A112='Données projet'!$A$192,'Données projet'!$B$192,EJ111+EI112-ER111)))</f>
        <v>344.89500000000049</v>
      </c>
      <c r="EK112" s="18">
        <f>EJ112*VLOOKUP('Données projet'!$B$15,Paramètres!$A$1:$I$89,3,0)*VLOOKUP('Données projet'!$B$15,Paramètres!$A$1:$I$89,5,0)</f>
        <v>312.06099600000044</v>
      </c>
      <c r="EL112" s="14">
        <f t="shared" si="99"/>
        <v>73.699082033131035</v>
      </c>
      <c r="EM112" s="22">
        <f t="shared" si="73"/>
        <v>671.86546924103743</v>
      </c>
      <c r="EN112" s="62">
        <f t="shared" si="74"/>
        <v>965.1988025743708</v>
      </c>
      <c r="EO112" s="62">
        <f ca="1">AVERAGE(OFFSET($EN$3,0,0,'Données projet'!$E$15+1,1))-AVERAGE(OFFSET($H$3,0,0,'Données projet'!$E$15+1,1))</f>
        <v>581.88778927327667</v>
      </c>
      <c r="EP112" s="62">
        <f t="shared" si="100"/>
        <v>269.67340993773422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38.222291444771109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38.222291444771109</v>
      </c>
      <c r="EZ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7.9349999999999969</v>
      </c>
      <c r="FE112" s="13">
        <f>IF('Données projet'!$A$218&gt;35,FE111+FD112-FM111,IF(A112&lt;'Données projet'!$A$218,$FB$205^A112,IF(A112='Données projet'!$A$218,'Données projet'!$B$218,FE111+FD112-FM111)))</f>
        <v>344.89500000000049</v>
      </c>
      <c r="FF112" s="18">
        <f>FE112*VLOOKUP('Données projet'!$B$16,Paramètres!$A$1:$I$89,3,0)*VLOOKUP('Données projet'!$B$16,Paramètres!$A$1:$I$89,5,0)</f>
        <v>349.72353000000055</v>
      </c>
      <c r="FG112" s="14">
        <f t="shared" si="101"/>
        <v>81.505580575848711</v>
      </c>
      <c r="FH112" s="22">
        <f t="shared" si="76"/>
        <v>751.05736758627074</v>
      </c>
      <c r="FI112" s="62">
        <f t="shared" si="77"/>
        <v>1044.3907009196041</v>
      </c>
      <c r="FJ112" s="62">
        <f ca="1">AVERAGE(OFFSET($FI$3,0,0,'Données projet'!$E$16+1,1))-AVERAGE(OFFSET($H$3,0,0,'Données projet'!$E$16+1,1))</f>
        <v>646.50767193970182</v>
      </c>
      <c r="FK112" s="62">
        <f t="shared" si="102"/>
        <v>297.06786598620607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42.835326619140034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42.835326619140034</v>
      </c>
      <c r="FU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7.9349999999999969</v>
      </c>
      <c r="FZ112" s="13">
        <f>IF('Données projet'!$A$244&gt;35,FZ111+FY112-GH111,IF(A112&lt;'Données projet'!$A$244,$FW$205^A112,IF(A112='Données projet'!$A$244,'Données projet'!$B$244,FZ111+FY112-GH111)))</f>
        <v>344.89500000000049</v>
      </c>
      <c r="GA112" s="18">
        <f>FZ112*VLOOKUP('Données projet'!$B$17,Paramètres!$A$1:$I$89,3,0)*VLOOKUP('Données projet'!$B$17,Paramètres!$A$1:$I$89,5,0)</f>
        <v>231.35556600000035</v>
      </c>
      <c r="GB112" s="14">
        <f t="shared" si="103"/>
        <v>56.575686273246639</v>
      </c>
      <c r="GC112" s="22">
        <f t="shared" si="79"/>
        <v>501.48026437590511</v>
      </c>
      <c r="GD112" s="62">
        <f t="shared" si="80"/>
        <v>794.81359770923837</v>
      </c>
      <c r="GE112" s="62">
        <f ca="1">AVERAGE(OFFSET($GD$3,0,0,'Données projet'!$E$17+1,1))-AVERAGE(OFFSET($H$3,0,0,'Données projet'!$E$17+1,1))</f>
        <v>442.85175349826028</v>
      </c>
      <c r="GF112" s="62">
        <f t="shared" si="104"/>
        <v>210.70697808232501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34.927266320221875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34.927266320221875</v>
      </c>
      <c r="GP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4.8</v>
      </c>
      <c r="GU112" s="13">
        <f>IF('Données projet'!$A$270&gt;35,GU111+GT112-HC111,IF(A112&lt;'Données projet'!$A$270,$GR$205^A112,IF(A112='Données projet'!$A$270,'Données projet'!$B$270,GU111+GT112-HC111)))</f>
        <v>289.19999999999987</v>
      </c>
      <c r="GV112" s="18">
        <f>GU112*VLOOKUP('Données projet'!$B$18,Paramètres!$A$1:$I$89,3,0)*VLOOKUP('Données projet'!$B$18,Paramètres!$A$1:$I$89,5,0)</f>
        <v>275.20271999999989</v>
      </c>
      <c r="GW112" s="14">
        <f t="shared" si="105"/>
        <v>65.952188294449286</v>
      </c>
      <c r="GX112" s="22">
        <f t="shared" si="82"/>
        <v>594.17813194616554</v>
      </c>
      <c r="GY112" s="62">
        <f t="shared" si="83"/>
        <v>887.51146527949891</v>
      </c>
      <c r="GZ112" s="62">
        <f ca="1">AVERAGE(OFFSET($GY$3,0,0,'Données projet'!$E$18+1,1))-AVERAGE(OFFSET($H$3,0,0,'Données projet'!$E$18+1,1))</f>
        <v>420.2510366318939</v>
      </c>
      <c r="HA112" s="62">
        <f t="shared" si="106"/>
        <v>220.59884411514116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48.72530509792302</v>
      </c>
      <c r="HH112" s="23">
        <f>EXP(-LN(2)/25)*HH111+(1-EXP(-LN(2)/25))/(LN(2)/25)*Calculateur!HC112*Calculateur!HE112*VLOOKUP('Données projet'!$B$18,Paramètres!$A$1:$I$89,3,0)*0.475*44/12</f>
        <v>0</v>
      </c>
      <c r="HI112" s="23">
        <f>EXP(-LN(2)/2)*HI111+(1-EXP(-LN(2)/2))/(LN(2)/2)*HC112*HF112*VLOOKUP('Données projet'!$B$18,Paramètres!$A$1:$I$89,3,0)*0.475*44/12</f>
        <v>0</v>
      </c>
      <c r="HJ112" s="24">
        <f t="shared" si="84"/>
        <v>48.72530509792302</v>
      </c>
    </row>
    <row r="113" spans="1:218" s="5" customFormat="1" x14ac:dyDescent="0.2">
      <c r="A113" s="11">
        <f t="shared" si="85"/>
        <v>110</v>
      </c>
      <c r="B113" s="74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-4.5474735088646412E-13</v>
      </c>
      <c r="O113" s="14">
        <f>N113*VLOOKUP('Données projet'!$B$9,Paramètres!$A$1:$I$89,3,0)*VLOOKUP('Données projet'!$B$9,Paramètres!$A$1:$I$89,5,0)</f>
        <v>-3.9017322706058626E-13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623.31285537237943</v>
      </c>
      <c r="T113" s="62">
        <f t="shared" si="88"/>
        <v>462.33909258902241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230.7980942606429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230.7980942606429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projet'!$B$10,Paramètres!$A$1:$I$89,3,0)*VLOOKUP('Données projet'!$B$10,Paramètres!$A$1:$I$89,5,0)</f>
        <v>4.9658410716801891E-14</v>
      </c>
      <c r="AK113" s="14">
        <f t="shared" si="89"/>
        <v>8.0934058173791862E-13</v>
      </c>
      <c r="AL113" s="22">
        <f t="shared" si="58"/>
        <v>1.4960899118586383E-12</v>
      </c>
      <c r="AM113" s="62">
        <f t="shared" si="59"/>
        <v>293.33333333333479</v>
      </c>
      <c r="AN113" s="62">
        <f ca="1">AVERAGE(OFFSET($AM$3,0,0,'Données projet'!$E$10+1,1))-AVERAGE(OFFSET($H$3,0,0,'Données projet'!$E$10+1,1))</f>
        <v>390.70479111593545</v>
      </c>
      <c r="AO113" s="62">
        <f t="shared" si="90"/>
        <v>374.99493809709708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90.914124882398369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90.914124882398369</v>
      </c>
      <c r="AY113" s="7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5.6843418860808015E-14</v>
      </c>
      <c r="BE113" s="14">
        <f>BD113*VLOOKUP('Données projet'!$B$11,Paramètres!$A$1:$I$89,3,0)*VLOOKUP('Données projet'!$B$11,Paramètres!$A$1:$I$89,5,0)</f>
        <v>4.5224624045658861E-14</v>
      </c>
      <c r="BF113" s="14">
        <f t="shared" si="91"/>
        <v>7.4514601661523691E-13</v>
      </c>
      <c r="BG113" s="22">
        <f t="shared" si="61"/>
        <v>1.3765621991510601E-12</v>
      </c>
      <c r="BH113" s="62">
        <f t="shared" si="62"/>
        <v>293.33333333333468</v>
      </c>
      <c r="BI113" s="62">
        <f ca="1">AVERAGE(OFFSET($BH$3,0,0,'Données projet'!$E$11+1,1))-AVERAGE(OFFSET($H$3,0,0,'Données projet'!$E$11+1,1))</f>
        <v>359.18294335011535</v>
      </c>
      <c r="BJ113" s="62">
        <f t="shared" si="92"/>
        <v>345.47508134331241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82.79679230361279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82.79679230361279</v>
      </c>
      <c r="BT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5.6843418860808015E-14</v>
      </c>
      <c r="BZ113" s="14">
        <f>BY113*VLOOKUP('Données projet'!$B$12,Paramètres!$A$1:$I$89,3,0)*VLOOKUP('Données projet'!$B$12,Paramètres!$A$1:$I$89,5,0)</f>
        <v>4.1677594708744434E-14</v>
      </c>
      <c r="CA113" s="14">
        <f t="shared" si="93"/>
        <v>6.9326303456159188E-13</v>
      </c>
      <c r="CB113" s="22">
        <f t="shared" si="64"/>
        <v>1.2800215959791691E-12</v>
      </c>
      <c r="CC113" s="62">
        <f t="shared" si="65"/>
        <v>293.33333333333462</v>
      </c>
      <c r="CD113" s="62">
        <f ca="1">AVERAGE(OFFSET($CC$3,0,0,'Données projet'!$E$12+1,1))-AVERAGE(OFFSET($H$3,0,0,'Données projet'!$E$12+1,1))</f>
        <v>333.9187211440219</v>
      </c>
      <c r="CE113" s="62">
        <f t="shared" si="94"/>
        <v>321.81422611044997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61.906147704625013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61.906147704625013</v>
      </c>
      <c r="CO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5.6843418860808015E-14</v>
      </c>
      <c r="CU113" s="18">
        <f>CT113*VLOOKUP('Données projet'!$B$13,Paramètres!$A$1:$I$89,3,0)*VLOOKUP('Données projet'!$B$13,Paramètres!$A$1:$I$89,5,0)</f>
        <v>4.6111381379887463E-14</v>
      </c>
      <c r="CV113" s="14">
        <f t="shared" si="95"/>
        <v>7.5804141040779151E-13</v>
      </c>
      <c r="CW113" s="22">
        <f t="shared" si="67"/>
        <v>1.4005661123635408E-12</v>
      </c>
      <c r="CX113" s="62">
        <f t="shared" si="68"/>
        <v>293.33333333333474</v>
      </c>
      <c r="CY113" s="62">
        <f ca="1">AVERAGE(OFFSET($CX$3,0,0,'Données projet'!$E$13+1,1))-AVERAGE(OFFSET($H$3,0,0,'Données projet'!$E$13+1,1))</f>
        <v>365.492319515595</v>
      </c>
      <c r="CZ113" s="62">
        <f t="shared" si="96"/>
        <v>351.38386928091433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68.491908098734029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68.491908098734029</v>
      </c>
      <c r="DJ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7.9349999999999969</v>
      </c>
      <c r="DO113" s="13">
        <f>IF('Données projet'!$A$166&gt;35,DO112+DN113-DW112,IF(A113&lt;'Données projet'!$A$166,$DL$205^A113,IF(A113='Données projet'!$A$166,'Données projet'!$B$166,DO112+DN113-DW112)))</f>
        <v>352.8300000000005</v>
      </c>
      <c r="DP113" s="18">
        <f>DO113*VLOOKUP('Données projet'!$B$14,Paramètres!$A$1:$I$89,3,0)*VLOOKUP('Données projet'!$B$14,Paramètres!$A$1:$I$89,5,0)</f>
        <v>297.22399200000046</v>
      </c>
      <c r="DQ113" s="14">
        <f t="shared" si="97"/>
        <v>70.59419107586433</v>
      </c>
      <c r="DR113" s="22">
        <f t="shared" si="70"/>
        <v>640.61666885713123</v>
      </c>
      <c r="DS113" s="62">
        <f t="shared" si="71"/>
        <v>933.9500021904646</v>
      </c>
      <c r="DT113" s="62">
        <f ca="1">AVERAGE(OFFSET($DS$3,0,0,'Données projet'!$E$14+1,1))-AVERAGE(OFFSET($H$3,0,0,'Données projet'!$E$14+1,1))</f>
        <v>544.89250424794909</v>
      </c>
      <c r="DU113" s="62">
        <f t="shared" si="98"/>
        <v>253.98688498110715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34.888446269535969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34.888446269535969</v>
      </c>
      <c r="EE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7.9349999999999969</v>
      </c>
      <c r="EJ113" s="13">
        <f>IF('Données projet'!$A$192&gt;35,EJ112+EI113-ER112,IF(A113&lt;'Données projet'!$A$192,$EG$205^A113,IF(A113='Données projet'!$A$192,'Données projet'!$B$192,EJ112+EI113-ER112)))</f>
        <v>352.8300000000005</v>
      </c>
      <c r="EK113" s="18">
        <f>EJ113*VLOOKUP('Données projet'!$B$15,Paramètres!$A$1:$I$89,3,0)*VLOOKUP('Données projet'!$B$15,Paramètres!$A$1:$I$89,5,0)</f>
        <v>319.24058400000041</v>
      </c>
      <c r="EL113" s="14">
        <f t="shared" si="99"/>
        <v>75.195320551435159</v>
      </c>
      <c r="EM113" s="22">
        <f t="shared" si="73"/>
        <v>686.97586709375025</v>
      </c>
      <c r="EN113" s="62">
        <f t="shared" si="74"/>
        <v>980.30920042708362</v>
      </c>
      <c r="EO113" s="62">
        <f ca="1">AVERAGE(OFFSET($EN$3,0,0,'Données projet'!$E$15+1,1))-AVERAGE(OFFSET($H$3,0,0,'Données projet'!$E$15+1,1))</f>
        <v>581.88778927327667</v>
      </c>
      <c r="EP113" s="62">
        <f t="shared" si="100"/>
        <v>269.67340993773422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37.472775622834931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37.472775622834931</v>
      </c>
      <c r="EZ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7.9349999999999969</v>
      </c>
      <c r="FE113" s="13">
        <f>IF('Données projet'!$A$218&gt;35,FE112+FD113-FM112,IF(A113&lt;'Données projet'!$A$218,$FB$205^A113,IF(A113='Données projet'!$A$218,'Données projet'!$B$218,FE112+FD113-FM112)))</f>
        <v>352.8300000000005</v>
      </c>
      <c r="FF113" s="18">
        <f>FE113*VLOOKUP('Données projet'!$B$16,Paramètres!$A$1:$I$89,3,0)*VLOOKUP('Données projet'!$B$16,Paramètres!$A$1:$I$89,5,0)</f>
        <v>357.76962000000054</v>
      </c>
      <c r="FG113" s="14">
        <f t="shared" si="101"/>
        <v>83.160306601601619</v>
      </c>
      <c r="FH113" s="22">
        <f t="shared" si="76"/>
        <v>767.95295549779041</v>
      </c>
      <c r="FI113" s="62">
        <f t="shared" si="77"/>
        <v>1061.2862888311238</v>
      </c>
      <c r="FJ113" s="62">
        <f ca="1">AVERAGE(OFFSET($FI$3,0,0,'Données projet'!$E$16+1,1))-AVERAGE(OFFSET($H$3,0,0,'Données projet'!$E$16+1,1))</f>
        <v>646.50767193970182</v>
      </c>
      <c r="FK113" s="62">
        <f t="shared" si="102"/>
        <v>297.06786598620607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41.995351991108109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41.995351991108109</v>
      </c>
      <c r="FU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7.9349999999999969</v>
      </c>
      <c r="FZ113" s="13">
        <f>IF('Données projet'!$A$244&gt;35,FZ112+FY113-GH112,IF(A113&lt;'Données projet'!$A$244,$FW$205^A113,IF(A113='Données projet'!$A$244,'Données projet'!$B$244,FZ112+FY113-GH112)))</f>
        <v>352.8300000000005</v>
      </c>
      <c r="GA113" s="18">
        <f>FZ113*VLOOKUP('Données projet'!$B$17,Paramètres!$A$1:$I$89,3,0)*VLOOKUP('Données projet'!$B$17,Paramètres!$A$1:$I$89,5,0)</f>
        <v>236.67836400000033</v>
      </c>
      <c r="GB113" s="14">
        <f t="shared" si="103"/>
        <v>57.724285667788187</v>
      </c>
      <c r="GC113" s="22">
        <f t="shared" si="79"/>
        <v>512.75128150473165</v>
      </c>
      <c r="GD113" s="62">
        <f t="shared" si="80"/>
        <v>806.08461483806491</v>
      </c>
      <c r="GE113" s="62">
        <f ca="1">AVERAGE(OFFSET($GD$3,0,0,'Données projet'!$E$17+1,1))-AVERAGE(OFFSET($H$3,0,0,'Données projet'!$E$17+1,1))</f>
        <v>442.85175349826028</v>
      </c>
      <c r="GF113" s="62">
        <f t="shared" si="104"/>
        <v>210.70697808232501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34.24236393121123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34.24236393121123</v>
      </c>
      <c r="GP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>
        <f>VLOOKUP(A113,'Données projet'!$A$269:$I$289,2,0)</f>
        <v>294</v>
      </c>
      <c r="GS113" s="13">
        <f>VLOOKUP(A113,'Données projet'!$A$269:$I$289,9,0)</f>
        <v>4.8</v>
      </c>
      <c r="GT113" s="13">
        <f t="array" ref="GT113">INDEX(GS:GS,MIN(IF(ISNUMBER(GS113:GS309),ROW(GS113:GS309),"")))</f>
        <v>4.8</v>
      </c>
      <c r="GU113" s="13">
        <f>IF('Données projet'!$A$270&gt;35,GU112+GT113-HC112,IF(A113&lt;'Données projet'!$A$270,$GR$205^A113,IF(A113='Données projet'!$A$270,'Données projet'!$B$270,GU112+GT113-HC112)))</f>
        <v>293.99999999999989</v>
      </c>
      <c r="GV113" s="18">
        <f>GU113*VLOOKUP('Données projet'!$B$18,Paramètres!$A$1:$I$89,3,0)*VLOOKUP('Données projet'!$B$18,Paramètres!$A$1:$I$89,5,0)</f>
        <v>279.77039999999988</v>
      </c>
      <c r="GW113" s="14">
        <f t="shared" si="105"/>
        <v>66.918485484562225</v>
      </c>
      <c r="GX113" s="22">
        <f t="shared" si="82"/>
        <v>603.81647555227892</v>
      </c>
      <c r="GY113" s="62">
        <f t="shared" si="83"/>
        <v>897.14980888561217</v>
      </c>
      <c r="GZ113" s="62">
        <f ca="1">AVERAGE(OFFSET($GY$3,0,0,'Données projet'!$E$18+1,1))-AVERAGE(OFFSET($H$3,0,0,'Données projet'!$E$18+1,1))</f>
        <v>420.2510366318939</v>
      </c>
      <c r="HA113" s="62">
        <f t="shared" si="106"/>
        <v>220.59884411514116</v>
      </c>
      <c r="HB113" s="16">
        <f>IF(ISNA(VLOOKUP(A113,'Données projet'!$A$269:$I$289,3,0)),0,VLOOKUP(A113,'Données projet'!$A$269:$I$289,3,0))</f>
        <v>18</v>
      </c>
      <c r="HC113" s="16">
        <f>IF(ISNA(VLOOKUP(A113,'Données projet'!$A$269:$I$289,4,0)),0,VLOOKUP(A113,'Données projet'!$A$269:$I$289,4,0))</f>
        <v>21</v>
      </c>
      <c r="HD113" s="17">
        <f>IF(ISNA(VLOOKUP(A113,'Données projet'!$A$269:$I$289,5,0)),0%,VLOOKUP(A113,'Données projet'!$A$269:$I$289,5,0)*VLOOKUP('Données projet'!$B$18,Paramètres!$A$1:$I$89,7,0))</f>
        <v>0.34400000000000003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55.369231173947824</v>
      </c>
      <c r="HH113" s="23">
        <f>EXP(-LN(2)/25)*HH112+(1-EXP(-LN(2)/25))/(LN(2)/25)*Calculateur!HC113*Calculateur!HE113*VLOOKUP('Données projet'!$B$18,Paramètres!$A$1:$I$89,3,0)*0.475*44/12</f>
        <v>0</v>
      </c>
      <c r="HI113" s="23">
        <f>EXP(-LN(2)/2)*HI112+(1-EXP(-LN(2)/2))/(LN(2)/2)*HC113*HF113*VLOOKUP('Données projet'!$B$18,Paramètres!$A$1:$I$89,3,0)*0.475*44/12</f>
        <v>0</v>
      </c>
      <c r="HJ113" s="24">
        <f t="shared" si="84"/>
        <v>55.369231173947824</v>
      </c>
    </row>
    <row r="114" spans="1:218" s="5" customFormat="1" x14ac:dyDescent="0.2">
      <c r="A114" s="11">
        <f t="shared" si="85"/>
        <v>111</v>
      </c>
      <c r="B114" s="74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-4.5474735088646412E-13</v>
      </c>
      <c r="O114" s="14">
        <f>N114*VLOOKUP('Données projet'!$B$9,Paramètres!$A$1:$I$89,3,0)*VLOOKUP('Données projet'!$B$9,Paramètres!$A$1:$I$89,5,0)</f>
        <v>-3.9017322706058626E-13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623.31285537237943</v>
      </c>
      <c r="T114" s="62">
        <f t="shared" si="88"/>
        <v>462.33909258902241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226.27228440512903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226.27228440512903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projet'!$B$10,Paramètres!$A$1:$I$89,3,0)*VLOOKUP('Données projet'!$B$10,Paramètres!$A$1:$I$89,5,0)</f>
        <v>4.9658410716801891E-14</v>
      </c>
      <c r="AK114" s="14">
        <f t="shared" si="89"/>
        <v>8.0934058173791862E-13</v>
      </c>
      <c r="AL114" s="22">
        <f t="shared" si="58"/>
        <v>1.4960899118586383E-12</v>
      </c>
      <c r="AM114" s="62">
        <f t="shared" si="59"/>
        <v>293.33333333333479</v>
      </c>
      <c r="AN114" s="62">
        <f ca="1">AVERAGE(OFFSET($AM$3,0,0,'Données projet'!$E$10+1,1))-AVERAGE(OFFSET($H$3,0,0,'Données projet'!$E$10+1,1))</f>
        <v>390.70479111593545</v>
      </c>
      <c r="AO114" s="62">
        <f t="shared" si="90"/>
        <v>374.99493809709708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89.13135434559527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89.13135434559527</v>
      </c>
      <c r="AY114" s="7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5.6843418860808015E-14</v>
      </c>
      <c r="BE114" s="14">
        <f>BD114*VLOOKUP('Données projet'!$B$11,Paramètres!$A$1:$I$89,3,0)*VLOOKUP('Données projet'!$B$11,Paramètres!$A$1:$I$89,5,0)</f>
        <v>4.5224624045658861E-14</v>
      </c>
      <c r="BF114" s="14">
        <f t="shared" si="91"/>
        <v>7.4514601661523691E-13</v>
      </c>
      <c r="BG114" s="22">
        <f t="shared" si="61"/>
        <v>1.3765621991510601E-12</v>
      </c>
      <c r="BH114" s="62">
        <f t="shared" si="62"/>
        <v>293.33333333333468</v>
      </c>
      <c r="BI114" s="62">
        <f ca="1">AVERAGE(OFFSET($BH$3,0,0,'Données projet'!$E$11+1,1))-AVERAGE(OFFSET($H$3,0,0,'Données projet'!$E$11+1,1))</f>
        <v>359.18294335011535</v>
      </c>
      <c r="BJ114" s="62">
        <f t="shared" si="92"/>
        <v>345.47508134331241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81.173197707595676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81.173197707595676</v>
      </c>
      <c r="BT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5.6843418860808015E-14</v>
      </c>
      <c r="BZ114" s="14">
        <f>BY114*VLOOKUP('Données projet'!$B$12,Paramètres!$A$1:$I$89,3,0)*VLOOKUP('Données projet'!$B$12,Paramètres!$A$1:$I$89,5,0)</f>
        <v>4.1677594708744434E-14</v>
      </c>
      <c r="CA114" s="14">
        <f t="shared" si="93"/>
        <v>6.9326303456159188E-13</v>
      </c>
      <c r="CB114" s="22">
        <f t="shared" si="64"/>
        <v>1.2800215959791691E-12</v>
      </c>
      <c r="CC114" s="62">
        <f t="shared" si="65"/>
        <v>293.33333333333462</v>
      </c>
      <c r="CD114" s="62">
        <f ca="1">AVERAGE(OFFSET($CC$3,0,0,'Données projet'!$E$12+1,1))-AVERAGE(OFFSET($H$3,0,0,'Données projet'!$E$12+1,1))</f>
        <v>333.9187211440219</v>
      </c>
      <c r="CE114" s="62">
        <f t="shared" si="94"/>
        <v>321.81422611044997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60.692205907159021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60.692205907159021</v>
      </c>
      <c r="CO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5.6843418860808015E-14</v>
      </c>
      <c r="CU114" s="18">
        <f>CT114*VLOOKUP('Données projet'!$B$13,Paramètres!$A$1:$I$89,3,0)*VLOOKUP('Données projet'!$B$13,Paramètres!$A$1:$I$89,5,0)</f>
        <v>4.6111381379887463E-14</v>
      </c>
      <c r="CV114" s="14">
        <f t="shared" si="95"/>
        <v>7.5804141040779151E-13</v>
      </c>
      <c r="CW114" s="22">
        <f t="shared" si="67"/>
        <v>1.4005661123635408E-12</v>
      </c>
      <c r="CX114" s="62">
        <f t="shared" si="68"/>
        <v>293.33333333333474</v>
      </c>
      <c r="CY114" s="62">
        <f ca="1">AVERAGE(OFFSET($CX$3,0,0,'Données projet'!$E$13+1,1))-AVERAGE(OFFSET($H$3,0,0,'Données projet'!$E$13+1,1))</f>
        <v>365.492319515595</v>
      </c>
      <c r="CZ114" s="62">
        <f t="shared" si="96"/>
        <v>351.38386928091433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67.148823556856769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67.148823556856769</v>
      </c>
      <c r="DJ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7.9349999999999969</v>
      </c>
      <c r="DO114" s="13">
        <f>IF('Données projet'!$A$166&gt;35,DO113+DN114-DW113,IF(A114&lt;'Données projet'!$A$166,$DL$205^A114,IF(A114='Données projet'!$A$166,'Données projet'!$B$166,DO113+DN114-DW113)))</f>
        <v>360.7650000000005</v>
      </c>
      <c r="DP114" s="18">
        <f>DO114*VLOOKUP('Données projet'!$B$14,Paramètres!$A$1:$I$89,3,0)*VLOOKUP('Données projet'!$B$14,Paramètres!$A$1:$I$89,5,0)</f>
        <v>303.90843600000045</v>
      </c>
      <c r="DQ114" s="14">
        <f t="shared" si="97"/>
        <v>71.995203509957094</v>
      </c>
      <c r="DR114" s="22">
        <f t="shared" si="70"/>
        <v>654.69883881317605</v>
      </c>
      <c r="DS114" s="62">
        <f t="shared" si="71"/>
        <v>948.03217214650931</v>
      </c>
      <c r="DT114" s="62">
        <f ca="1">AVERAGE(OFFSET($DS$3,0,0,'Données projet'!$E$14+1,1))-AVERAGE(OFFSET($H$3,0,0,'Données projet'!$E$14+1,1))</f>
        <v>544.89250424794909</v>
      </c>
      <c r="DU114" s="62">
        <f t="shared" si="98"/>
        <v>253.98688498110715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34.204305118041383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34.204305118041383</v>
      </c>
      <c r="EE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7.9349999999999969</v>
      </c>
      <c r="EJ114" s="13">
        <f>IF('Données projet'!$A$192&gt;35,EJ113+EI114-ER113,IF(A114&lt;'Données projet'!$A$192,$EG$205^A114,IF(A114='Données projet'!$A$192,'Données projet'!$B$192,EJ113+EI114-ER113)))</f>
        <v>360.7650000000005</v>
      </c>
      <c r="EK114" s="18">
        <f>EJ114*VLOOKUP('Données projet'!$B$15,Paramètres!$A$1:$I$89,3,0)*VLOOKUP('Données projet'!$B$15,Paramètres!$A$1:$I$89,5,0)</f>
        <v>326.42017200000043</v>
      </c>
      <c r="EL114" s="14">
        <f t="shared" si="99"/>
        <v>76.687647008791089</v>
      </c>
      <c r="EM114" s="22">
        <f t="shared" si="73"/>
        <v>702.07945144031191</v>
      </c>
      <c r="EN114" s="62">
        <f t="shared" si="74"/>
        <v>995.41278477364517</v>
      </c>
      <c r="EO114" s="62">
        <f ca="1">AVERAGE(OFFSET($EN$3,0,0,'Données projet'!$E$15+1,1))-AVERAGE(OFFSET($H$3,0,0,'Données projet'!$E$15+1,1))</f>
        <v>581.88778927327667</v>
      </c>
      <c r="EP114" s="62">
        <f t="shared" si="100"/>
        <v>269.67340993773422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36.737957349007409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36.737957349007409</v>
      </c>
      <c r="EZ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7.9349999999999969</v>
      </c>
      <c r="FE114" s="13">
        <f>IF('Données projet'!$A$218&gt;35,FE113+FD114-FM113,IF(A114&lt;'Données projet'!$A$218,$FB$205^A114,IF(A114='Données projet'!$A$218,'Données projet'!$B$218,FE113+FD114-FM113)))</f>
        <v>360.7650000000005</v>
      </c>
      <c r="FF114" s="18">
        <f>FE114*VLOOKUP('Données projet'!$B$16,Paramètres!$A$1:$I$89,3,0)*VLOOKUP('Données projet'!$B$16,Paramètres!$A$1:$I$89,5,0)</f>
        <v>365.81571000000054</v>
      </c>
      <c r="FG114" s="14">
        <f t="shared" si="101"/>
        <v>84.810706185422944</v>
      </c>
      <c r="FH114" s="22">
        <f t="shared" si="76"/>
        <v>784.84100818961235</v>
      </c>
      <c r="FI114" s="62">
        <f t="shared" si="77"/>
        <v>1078.1743415229457</v>
      </c>
      <c r="FJ114" s="62">
        <f ca="1">AVERAGE(OFFSET($FI$3,0,0,'Données projet'!$E$16+1,1))-AVERAGE(OFFSET($H$3,0,0,'Données projet'!$E$16+1,1))</f>
        <v>646.50767193970182</v>
      </c>
      <c r="FK114" s="62">
        <f t="shared" si="102"/>
        <v>297.06786598620607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41.171848753197956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41.171848753197956</v>
      </c>
      <c r="FU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7.9349999999999969</v>
      </c>
      <c r="FZ114" s="13">
        <f>IF('Données projet'!$A$244&gt;35,FZ113+FY114-GH113,IF(A114&lt;'Données projet'!$A$244,$FW$205^A114,IF(A114='Données projet'!$A$244,'Données projet'!$B$244,FZ113+FY114-GH113)))</f>
        <v>360.7650000000005</v>
      </c>
      <c r="GA114" s="18">
        <f>FZ114*VLOOKUP('Données projet'!$B$17,Paramètres!$A$1:$I$89,3,0)*VLOOKUP('Données projet'!$B$17,Paramètres!$A$1:$I$89,5,0)</f>
        <v>242.00116200000033</v>
      </c>
      <c r="GB114" s="14">
        <f t="shared" si="103"/>
        <v>58.869881937639626</v>
      </c>
      <c r="GC114" s="22">
        <f t="shared" si="79"/>
        <v>524.01706819138963</v>
      </c>
      <c r="GD114" s="62">
        <f t="shared" si="80"/>
        <v>817.35040152472288</v>
      </c>
      <c r="GE114" s="62">
        <f ca="1">AVERAGE(OFFSET($GD$3,0,0,'Données projet'!$E$17+1,1))-AVERAGE(OFFSET($H$3,0,0,'Données projet'!$E$17+1,1))</f>
        <v>442.85175349826028</v>
      </c>
      <c r="GF114" s="62">
        <f t="shared" si="104"/>
        <v>210.70697808232501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33.570892060299876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33.570892060299876</v>
      </c>
      <c r="GP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4.4000000000000004</v>
      </c>
      <c r="GU114" s="13">
        <f>IF('Données projet'!$A$270&gt;35,GU113+GT114-HC113,IF(A114&lt;'Données projet'!$A$270,$GR$205^A114,IF(A114='Données projet'!$A$270,'Données projet'!$B$270,GU113+GT114-HC113)))</f>
        <v>277.39999999999986</v>
      </c>
      <c r="GV114" s="18">
        <f>GU114*VLOOKUP('Données projet'!$B$18,Paramètres!$A$1:$I$89,3,0)*VLOOKUP('Données projet'!$B$18,Paramètres!$A$1:$I$89,5,0)</f>
        <v>263.97383999999988</v>
      </c>
      <c r="GW114" s="14">
        <f t="shared" si="105"/>
        <v>63.56869082277958</v>
      </c>
      <c r="GX114" s="22">
        <f t="shared" si="82"/>
        <v>570.4699078496742</v>
      </c>
      <c r="GY114" s="62">
        <f t="shared" si="83"/>
        <v>863.80324118300746</v>
      </c>
      <c r="GZ114" s="62">
        <f ca="1">AVERAGE(OFFSET($GY$3,0,0,'Données projet'!$E$18+1,1))-AVERAGE(OFFSET($H$3,0,0,'Données projet'!$E$18+1,1))</f>
        <v>420.2510366318939</v>
      </c>
      <c r="HA114" s="62">
        <f t="shared" si="106"/>
        <v>220.59884411514116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54.283474322523027</v>
      </c>
      <c r="HH114" s="23">
        <f>EXP(-LN(2)/25)*HH113+(1-EXP(-LN(2)/25))/(LN(2)/25)*Calculateur!HC114*Calculateur!HE114*VLOOKUP('Données projet'!$B$18,Paramètres!$A$1:$I$89,3,0)*0.475*44/12</f>
        <v>0</v>
      </c>
      <c r="HI114" s="23">
        <f>EXP(-LN(2)/2)*HI113+(1-EXP(-LN(2)/2))/(LN(2)/2)*HC114*HF114*VLOOKUP('Données projet'!$B$18,Paramètres!$A$1:$I$89,3,0)*0.475*44/12</f>
        <v>0</v>
      </c>
      <c r="HJ114" s="24">
        <f t="shared" si="84"/>
        <v>54.283474322523027</v>
      </c>
    </row>
    <row r="115" spans="1:218" s="5" customFormat="1" x14ac:dyDescent="0.2">
      <c r="A115" s="11">
        <f t="shared" si="85"/>
        <v>112</v>
      </c>
      <c r="B115" s="74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-4.5474735088646412E-13</v>
      </c>
      <c r="O115" s="14">
        <f>N115*VLOOKUP('Données projet'!$B$9,Paramètres!$A$1:$I$89,3,0)*VLOOKUP('Données projet'!$B$9,Paramètres!$A$1:$I$89,5,0)</f>
        <v>-3.9017322706058626E-13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623.31285537237943</v>
      </c>
      <c r="T115" s="62">
        <f t="shared" si="88"/>
        <v>462.33909258902241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221.83522292041033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221.83522292041033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projet'!$B$10,Paramètres!$A$1:$I$89,3,0)*VLOOKUP('Données projet'!$B$10,Paramètres!$A$1:$I$89,5,0)</f>
        <v>4.9658410716801891E-14</v>
      </c>
      <c r="AK115" s="14">
        <f t="shared" si="89"/>
        <v>8.0934058173791862E-13</v>
      </c>
      <c r="AL115" s="22">
        <f t="shared" si="58"/>
        <v>1.4960899118586383E-12</v>
      </c>
      <c r="AM115" s="62">
        <f t="shared" si="59"/>
        <v>293.33333333333479</v>
      </c>
      <c r="AN115" s="62">
        <f ca="1">AVERAGE(OFFSET($AM$3,0,0,'Données projet'!$E$10+1,1))-AVERAGE(OFFSET($H$3,0,0,'Données projet'!$E$10+1,1))</f>
        <v>390.70479111593545</v>
      </c>
      <c r="AO115" s="62">
        <f t="shared" si="90"/>
        <v>374.99493809709708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87.383542851636221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87.383542851636221</v>
      </c>
      <c r="AY115" s="7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5.6843418860808015E-14</v>
      </c>
      <c r="BE115" s="14">
        <f>BD115*VLOOKUP('Données projet'!$B$11,Paramètres!$A$1:$I$89,3,0)*VLOOKUP('Données projet'!$B$11,Paramètres!$A$1:$I$89,5,0)</f>
        <v>4.5224624045658861E-14</v>
      </c>
      <c r="BF115" s="14">
        <f t="shared" si="91"/>
        <v>7.4514601661523691E-13</v>
      </c>
      <c r="BG115" s="22">
        <f t="shared" si="61"/>
        <v>1.3765621991510601E-12</v>
      </c>
      <c r="BH115" s="62">
        <f t="shared" si="62"/>
        <v>293.33333333333468</v>
      </c>
      <c r="BI115" s="62">
        <f ca="1">AVERAGE(OFFSET($BH$3,0,0,'Données projet'!$E$11+1,1))-AVERAGE(OFFSET($H$3,0,0,'Données projet'!$E$11+1,1))</f>
        <v>359.18294335011535</v>
      </c>
      <c r="BJ115" s="62">
        <f t="shared" si="92"/>
        <v>345.47508134331241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79.581440811311552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79.581440811311552</v>
      </c>
      <c r="BT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5.6843418860808015E-14</v>
      </c>
      <c r="BZ115" s="14">
        <f>BY115*VLOOKUP('Données projet'!$B$12,Paramètres!$A$1:$I$89,3,0)*VLOOKUP('Données projet'!$B$12,Paramètres!$A$1:$I$89,5,0)</f>
        <v>4.1677594708744434E-14</v>
      </c>
      <c r="CA115" s="14">
        <f t="shared" si="93"/>
        <v>6.9326303456159188E-13</v>
      </c>
      <c r="CB115" s="22">
        <f t="shared" si="64"/>
        <v>1.2800215959791691E-12</v>
      </c>
      <c r="CC115" s="62">
        <f t="shared" si="65"/>
        <v>293.33333333333462</v>
      </c>
      <c r="CD115" s="62">
        <f ca="1">AVERAGE(OFFSET($CC$3,0,0,'Données projet'!$E$12+1,1))-AVERAGE(OFFSET($H$3,0,0,'Données projet'!$E$12+1,1))</f>
        <v>333.9187211440219</v>
      </c>
      <c r="CE115" s="62">
        <f t="shared" si="94"/>
        <v>321.81422611044997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59.502068767909954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59.502068767909954</v>
      </c>
      <c r="CO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5.6843418860808015E-14</v>
      </c>
      <c r="CU115" s="18">
        <f>CT115*VLOOKUP('Données projet'!$B$13,Paramètres!$A$1:$I$89,3,0)*VLOOKUP('Données projet'!$B$13,Paramètres!$A$1:$I$89,5,0)</f>
        <v>4.6111381379887463E-14</v>
      </c>
      <c r="CV115" s="14">
        <f t="shared" si="95"/>
        <v>7.5804141040779151E-13</v>
      </c>
      <c r="CW115" s="22">
        <f t="shared" si="67"/>
        <v>1.4005661123635408E-12</v>
      </c>
      <c r="CX115" s="62">
        <f t="shared" si="68"/>
        <v>293.33333333333474</v>
      </c>
      <c r="CY115" s="62">
        <f ca="1">AVERAGE(OFFSET($CX$3,0,0,'Données projet'!$E$13+1,1))-AVERAGE(OFFSET($H$3,0,0,'Données projet'!$E$13+1,1))</f>
        <v>365.492319515595</v>
      </c>
      <c r="CZ115" s="62">
        <f t="shared" si="96"/>
        <v>351.38386928091433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65.832076083645035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65.832076083645035</v>
      </c>
      <c r="DJ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7.9349999999999969</v>
      </c>
      <c r="DO115" s="13">
        <f>IF('Données projet'!$A$166&gt;35,DO114+DN115-DW114,IF(A115&lt;'Données projet'!$A$166,$DL$205^A115,IF(A115='Données projet'!$A$166,'Données projet'!$B$166,DO114+DN115-DW114)))</f>
        <v>368.7000000000005</v>
      </c>
      <c r="DP115" s="18">
        <f>DO115*VLOOKUP('Données projet'!$B$14,Paramètres!$A$1:$I$89,3,0)*VLOOKUP('Données projet'!$B$14,Paramètres!$A$1:$I$89,5,0)</f>
        <v>310.59288000000049</v>
      </c>
      <c r="DQ115" s="14">
        <f t="shared" si="97"/>
        <v>73.392633340983082</v>
      </c>
      <c r="DR115" s="22">
        <f t="shared" si="70"/>
        <v>668.77476906887966</v>
      </c>
      <c r="DS115" s="62">
        <f t="shared" si="71"/>
        <v>962.10810240221304</v>
      </c>
      <c r="DT115" s="62">
        <f ca="1">AVERAGE(OFFSET($DS$3,0,0,'Données projet'!$E$14+1,1))-AVERAGE(OFFSET($H$3,0,0,'Données projet'!$E$14+1,1))</f>
        <v>544.89250424794909</v>
      </c>
      <c r="DU115" s="62">
        <f t="shared" si="98"/>
        <v>253.98688498110715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33.533579557242703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33.533579557242703</v>
      </c>
      <c r="EE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7.9349999999999969</v>
      </c>
      <c r="EJ115" s="13">
        <f>IF('Données projet'!$A$192&gt;35,EJ114+EI115-ER114,IF(A115&lt;'Données projet'!$A$192,$EG$205^A115,IF(A115='Données projet'!$A$192,'Données projet'!$B$192,EJ114+EI115-ER114)))</f>
        <v>368.7000000000005</v>
      </c>
      <c r="EK115" s="18">
        <f>EJ115*VLOOKUP('Données projet'!$B$15,Paramètres!$A$1:$I$89,3,0)*VLOOKUP('Données projet'!$B$15,Paramètres!$A$1:$I$89,5,0)</f>
        <v>333.59976000000046</v>
      </c>
      <c r="EL115" s="14">
        <f t="shared" si="99"/>
        <v>78.17615735915706</v>
      </c>
      <c r="EM115" s="22">
        <f t="shared" si="73"/>
        <v>717.17638940053257</v>
      </c>
      <c r="EN115" s="62">
        <f t="shared" si="74"/>
        <v>1010.5097227338658</v>
      </c>
      <c r="EO115" s="62">
        <f ca="1">AVERAGE(OFFSET($EN$3,0,0,'Données projet'!$E$15+1,1))-AVERAGE(OFFSET($H$3,0,0,'Données projet'!$E$15+1,1))</f>
        <v>581.88778927327667</v>
      </c>
      <c r="EP115" s="62">
        <f t="shared" si="100"/>
        <v>269.67340993773422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36.017548413334758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36.017548413334758</v>
      </c>
      <c r="EZ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7.9349999999999969</v>
      </c>
      <c r="FE115" s="13">
        <f>IF('Données projet'!$A$218&gt;35,FE114+FD115-FM114,IF(A115&lt;'Données projet'!$A$218,$FB$205^A115,IF(A115='Données projet'!$A$218,'Données projet'!$B$218,FE114+FD115-FM114)))</f>
        <v>368.7000000000005</v>
      </c>
      <c r="FF115" s="18">
        <f>FE115*VLOOKUP('Données projet'!$B$16,Paramètres!$A$1:$I$89,3,0)*VLOOKUP('Données projet'!$B$16,Paramètres!$A$1:$I$89,5,0)</f>
        <v>373.86180000000053</v>
      </c>
      <c r="FG115" s="14">
        <f t="shared" si="101"/>
        <v>86.456885445094045</v>
      </c>
      <c r="FH115" s="22">
        <f t="shared" si="76"/>
        <v>801.7217104835396</v>
      </c>
      <c r="FI115" s="62">
        <f t="shared" si="77"/>
        <v>1095.055043816873</v>
      </c>
      <c r="FJ115" s="62">
        <f ca="1">AVERAGE(OFFSET($FI$3,0,0,'Données projet'!$E$16+1,1))-AVERAGE(OFFSET($H$3,0,0,'Données projet'!$E$16+1,1))</f>
        <v>646.50767193970182</v>
      </c>
      <c r="FK115" s="62">
        <f t="shared" si="102"/>
        <v>297.06786598620607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40.364493911495842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40.364493911495842</v>
      </c>
      <c r="FU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7.9349999999999969</v>
      </c>
      <c r="FZ115" s="13">
        <f>IF('Données projet'!$A$244&gt;35,FZ114+FY115-GH114,IF(A115&lt;'Données projet'!$A$244,$FW$205^A115,IF(A115='Données projet'!$A$244,'Données projet'!$B$244,FZ114+FY115-GH114)))</f>
        <v>368.7000000000005</v>
      </c>
      <c r="GA115" s="18">
        <f>FZ115*VLOOKUP('Données projet'!$B$17,Paramètres!$A$1:$I$89,3,0)*VLOOKUP('Données projet'!$B$17,Paramètres!$A$1:$I$89,5,0)</f>
        <v>247.32396000000037</v>
      </c>
      <c r="GB115" s="14">
        <f t="shared" si="103"/>
        <v>60.012548742620076</v>
      </c>
      <c r="GC115" s="22">
        <f t="shared" si="79"/>
        <v>535.27775272673057</v>
      </c>
      <c r="GD115" s="62">
        <f t="shared" si="80"/>
        <v>828.61108606006383</v>
      </c>
      <c r="GE115" s="62">
        <f ca="1">AVERAGE(OFFSET($GD$3,0,0,'Données projet'!$E$17+1,1))-AVERAGE(OFFSET($H$3,0,0,'Données projet'!$E$17+1,1))</f>
        <v>442.85175349826028</v>
      </c>
      <c r="GF115" s="62">
        <f t="shared" si="104"/>
        <v>210.70697808232501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32.912587343219691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32.912587343219691</v>
      </c>
      <c r="GP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4.4000000000000004</v>
      </c>
      <c r="GU115" s="13">
        <f>IF('Données projet'!$A$270&gt;35,GU114+GT115-HC114,IF(A115&lt;'Données projet'!$A$270,$GR$205^A115,IF(A115='Données projet'!$A$270,'Données projet'!$B$270,GU114+GT115-HC114)))</f>
        <v>281.79999999999984</v>
      </c>
      <c r="GV115" s="18">
        <f>GU115*VLOOKUP('Données projet'!$B$18,Paramètres!$A$1:$I$89,3,0)*VLOOKUP('Données projet'!$B$18,Paramètres!$A$1:$I$89,5,0)</f>
        <v>268.16087999999985</v>
      </c>
      <c r="GW115" s="14">
        <f t="shared" si="105"/>
        <v>64.45880648327018</v>
      </c>
      <c r="GX115" s="22">
        <f t="shared" si="82"/>
        <v>579.31262062502856</v>
      </c>
      <c r="GY115" s="62">
        <f t="shared" si="83"/>
        <v>872.64595395836182</v>
      </c>
      <c r="GZ115" s="62">
        <f ca="1">AVERAGE(OFFSET($GY$3,0,0,'Données projet'!$E$18+1,1))-AVERAGE(OFFSET($H$3,0,0,'Données projet'!$E$18+1,1))</f>
        <v>420.2510366318939</v>
      </c>
      <c r="HA115" s="62">
        <f t="shared" si="106"/>
        <v>220.59884411514116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53.219008500708384</v>
      </c>
      <c r="HH115" s="23">
        <f>EXP(-LN(2)/25)*HH114+(1-EXP(-LN(2)/25))/(LN(2)/25)*Calculateur!HC115*Calculateur!HE115*VLOOKUP('Données projet'!$B$18,Paramètres!$A$1:$I$89,3,0)*0.475*44/12</f>
        <v>0</v>
      </c>
      <c r="HI115" s="23">
        <f>EXP(-LN(2)/2)*HI114+(1-EXP(-LN(2)/2))/(LN(2)/2)*HC115*HF115*VLOOKUP('Données projet'!$B$18,Paramètres!$A$1:$I$89,3,0)*0.475*44/12</f>
        <v>0</v>
      </c>
      <c r="HJ115" s="24">
        <f t="shared" si="84"/>
        <v>53.219008500708384</v>
      </c>
    </row>
    <row r="116" spans="1:218" s="5" customFormat="1" x14ac:dyDescent="0.2">
      <c r="A116" s="11">
        <f t="shared" si="85"/>
        <v>113</v>
      </c>
      <c r="B116" s="74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-4.5474735088646412E-13</v>
      </c>
      <c r="O116" s="14">
        <f>N116*VLOOKUP('Données projet'!$B$9,Paramètres!$A$1:$I$89,3,0)*VLOOKUP('Données projet'!$B$9,Paramètres!$A$1:$I$89,5,0)</f>
        <v>-3.9017322706058626E-13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623.31285537237943</v>
      </c>
      <c r="T116" s="62">
        <f t="shared" si="88"/>
        <v>462.33909258902241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217.48516950506669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217.48516950506669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projet'!$B$10,Paramètres!$A$1:$I$89,3,0)*VLOOKUP('Données projet'!$B$10,Paramètres!$A$1:$I$89,5,0)</f>
        <v>4.9658410716801891E-14</v>
      </c>
      <c r="AK116" s="14">
        <f t="shared" si="89"/>
        <v>8.0934058173791862E-13</v>
      </c>
      <c r="AL116" s="22">
        <f t="shared" si="58"/>
        <v>1.4960899118586383E-12</v>
      </c>
      <c r="AM116" s="62">
        <f t="shared" si="59"/>
        <v>293.33333333333479</v>
      </c>
      <c r="AN116" s="62">
        <f ca="1">AVERAGE(OFFSET($AM$3,0,0,'Données projet'!$E$10+1,1))-AVERAGE(OFFSET($H$3,0,0,'Données projet'!$E$10+1,1))</f>
        <v>390.70479111593545</v>
      </c>
      <c r="AO116" s="62">
        <f t="shared" si="90"/>
        <v>374.99493809709708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85.670004875013959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85.670004875013959</v>
      </c>
      <c r="AY116" s="7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5.6843418860808015E-14</v>
      </c>
      <c r="BE116" s="14">
        <f>BD116*VLOOKUP('Données projet'!$B$11,Paramètres!$A$1:$I$89,3,0)*VLOOKUP('Données projet'!$B$11,Paramètres!$A$1:$I$89,5,0)</f>
        <v>4.5224624045658861E-14</v>
      </c>
      <c r="BF116" s="14">
        <f t="shared" si="91"/>
        <v>7.4514601661523691E-13</v>
      </c>
      <c r="BG116" s="22">
        <f t="shared" si="61"/>
        <v>1.3765621991510601E-12</v>
      </c>
      <c r="BH116" s="62">
        <f t="shared" si="62"/>
        <v>293.33333333333468</v>
      </c>
      <c r="BI116" s="62">
        <f ca="1">AVERAGE(OFFSET($BH$3,0,0,'Données projet'!$E$11+1,1))-AVERAGE(OFFSET($H$3,0,0,'Données projet'!$E$11+1,1))</f>
        <v>359.18294335011535</v>
      </c>
      <c r="BJ116" s="62">
        <f t="shared" si="92"/>
        <v>345.47508134331241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78.020897296887711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78.020897296887711</v>
      </c>
      <c r="BT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5.6843418860808015E-14</v>
      </c>
      <c r="BZ116" s="14">
        <f>BY116*VLOOKUP('Données projet'!$B$12,Paramètres!$A$1:$I$89,3,0)*VLOOKUP('Données projet'!$B$12,Paramètres!$A$1:$I$89,5,0)</f>
        <v>4.1677594708744434E-14</v>
      </c>
      <c r="CA116" s="14">
        <f t="shared" si="93"/>
        <v>6.9326303456159188E-13</v>
      </c>
      <c r="CB116" s="22">
        <f t="shared" si="64"/>
        <v>1.2800215959791691E-12</v>
      </c>
      <c r="CC116" s="62">
        <f t="shared" si="65"/>
        <v>293.33333333333462</v>
      </c>
      <c r="CD116" s="62">
        <f ca="1">AVERAGE(OFFSET($CC$3,0,0,'Données projet'!$E$12+1,1))-AVERAGE(OFFSET($H$3,0,0,'Données projet'!$E$12+1,1))</f>
        <v>333.9187211440219</v>
      </c>
      <c r="CE116" s="62">
        <f t="shared" si="94"/>
        <v>321.81422611044997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58.335269492049584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58.335269492049584</v>
      </c>
      <c r="CO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5.6843418860808015E-14</v>
      </c>
      <c r="CU116" s="18">
        <f>CT116*VLOOKUP('Données projet'!$B$13,Paramètres!$A$1:$I$89,3,0)*VLOOKUP('Données projet'!$B$13,Paramètres!$A$1:$I$89,5,0)</f>
        <v>4.6111381379887463E-14</v>
      </c>
      <c r="CV116" s="14">
        <f t="shared" si="95"/>
        <v>7.5804141040779151E-13</v>
      </c>
      <c r="CW116" s="22">
        <f t="shared" si="67"/>
        <v>1.4005661123635408E-12</v>
      </c>
      <c r="CX116" s="62">
        <f t="shared" si="68"/>
        <v>293.33333333333474</v>
      </c>
      <c r="CY116" s="62">
        <f ca="1">AVERAGE(OFFSET($CX$3,0,0,'Données projet'!$E$13+1,1))-AVERAGE(OFFSET($H$3,0,0,'Données projet'!$E$13+1,1))</f>
        <v>365.492319515595</v>
      </c>
      <c r="CZ116" s="62">
        <f t="shared" si="96"/>
        <v>351.38386928091433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64.541149225246329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64.541149225246329</v>
      </c>
      <c r="DJ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7.9349999999999969</v>
      </c>
      <c r="DO116" s="13">
        <f>IF('Données projet'!$A$166&gt;35,DO115+DN116-DW115,IF(A116&lt;'Données projet'!$A$166,$DL$205^A116,IF(A116='Données projet'!$A$166,'Données projet'!$B$166,DO115+DN116-DW115)))</f>
        <v>376.6350000000005</v>
      </c>
      <c r="DP116" s="18">
        <f>DO116*VLOOKUP('Données projet'!$B$14,Paramètres!$A$1:$I$89,3,0)*VLOOKUP('Données projet'!$B$14,Paramètres!$A$1:$I$89,5,0)</f>
        <v>317.27732400000048</v>
      </c>
      <c r="DQ116" s="14">
        <f t="shared" si="97"/>
        <v>74.78656655264993</v>
      </c>
      <c r="DR116" s="22">
        <f t="shared" si="70"/>
        <v>682.84460937919937</v>
      </c>
      <c r="DS116" s="62">
        <f t="shared" si="71"/>
        <v>976.17794271253274</v>
      </c>
      <c r="DT116" s="62">
        <f ca="1">AVERAGE(OFFSET($DS$3,0,0,'Données projet'!$E$14+1,1))-AVERAGE(OFFSET($H$3,0,0,'Données projet'!$E$14+1,1))</f>
        <v>544.89250424794909</v>
      </c>
      <c r="DU116" s="62">
        <f t="shared" si="98"/>
        <v>253.98688498110715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32.87600651558909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32.87600651558909</v>
      </c>
      <c r="EE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7.9349999999999969</v>
      </c>
      <c r="EJ116" s="13">
        <f>IF('Données projet'!$A$192&gt;35,EJ115+EI116-ER115,IF(A116&lt;'Données projet'!$A$192,$EG$205^A116,IF(A116='Données projet'!$A$192,'Données projet'!$B$192,EJ115+EI116-ER115)))</f>
        <v>376.6350000000005</v>
      </c>
      <c r="EK116" s="18">
        <f>EJ116*VLOOKUP('Données projet'!$B$15,Paramètres!$A$1:$I$89,3,0)*VLOOKUP('Données projet'!$B$15,Paramètres!$A$1:$I$89,5,0)</f>
        <v>340.77934800000043</v>
      </c>
      <c r="EL116" s="14">
        <f t="shared" si="99"/>
        <v>79.660943190415296</v>
      </c>
      <c r="EM116" s="22">
        <f t="shared" si="73"/>
        <v>732.26684048997402</v>
      </c>
      <c r="EN116" s="62">
        <f t="shared" si="74"/>
        <v>1025.6001738233074</v>
      </c>
      <c r="EO116" s="62">
        <f ca="1">AVERAGE(OFFSET($EN$3,0,0,'Données projet'!$E$15+1,1))-AVERAGE(OFFSET($H$3,0,0,'Données projet'!$E$15+1,1))</f>
        <v>581.88778927327667</v>
      </c>
      <c r="EP116" s="62">
        <f t="shared" si="100"/>
        <v>269.67340993773422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35.311266257484583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35.311266257484583</v>
      </c>
      <c r="EZ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7.9349999999999969</v>
      </c>
      <c r="FE116" s="13">
        <f>IF('Données projet'!$A$218&gt;35,FE115+FD116-FM115,IF(A116&lt;'Données projet'!$A$218,$FB$205^A116,IF(A116='Données projet'!$A$218,'Données projet'!$B$218,FE115+FD116-FM115)))</f>
        <v>376.6350000000005</v>
      </c>
      <c r="FF116" s="18">
        <f>FE116*VLOOKUP('Données projet'!$B$16,Paramètres!$A$1:$I$89,3,0)*VLOOKUP('Données projet'!$B$16,Paramètres!$A$1:$I$89,5,0)</f>
        <v>381.90789000000052</v>
      </c>
      <c r="FG116" s="14">
        <f t="shared" si="101"/>
        <v>88.098945669848248</v>
      </c>
      <c r="FH116" s="22">
        <f t="shared" si="76"/>
        <v>818.59523879165329</v>
      </c>
      <c r="FI116" s="62">
        <f t="shared" si="77"/>
        <v>1111.9285721249867</v>
      </c>
      <c r="FJ116" s="62">
        <f ca="1">AVERAGE(OFFSET($FI$3,0,0,'Données projet'!$E$16+1,1))-AVERAGE(OFFSET($H$3,0,0,'Données projet'!$E$16+1,1))</f>
        <v>646.50767193970182</v>
      </c>
      <c r="FK116" s="62">
        <f t="shared" si="102"/>
        <v>297.06786598620607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39.572970805801681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39.572970805801681</v>
      </c>
      <c r="FU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7.9349999999999969</v>
      </c>
      <c r="FZ116" s="13">
        <f>IF('Données projet'!$A$244&gt;35,FZ115+FY116-GH115,IF(A116&lt;'Données projet'!$A$244,$FW$205^A116,IF(A116='Données projet'!$A$244,'Données projet'!$B$244,FZ115+FY116-GH115)))</f>
        <v>376.6350000000005</v>
      </c>
      <c r="GA116" s="18">
        <f>FZ116*VLOOKUP('Données projet'!$B$17,Paramètres!$A$1:$I$89,3,0)*VLOOKUP('Données projet'!$B$17,Paramètres!$A$1:$I$89,5,0)</f>
        <v>252.64675800000035</v>
      </c>
      <c r="GB116" s="14">
        <f t="shared" si="103"/>
        <v>61.152356390895321</v>
      </c>
      <c r="GC116" s="22">
        <f t="shared" si="79"/>
        <v>546.5334575641433</v>
      </c>
      <c r="GD116" s="62">
        <f t="shared" si="80"/>
        <v>839.86679089747668</v>
      </c>
      <c r="GE116" s="62">
        <f ca="1">AVERAGE(OFFSET($GD$3,0,0,'Données projet'!$E$17+1,1))-AVERAGE(OFFSET($H$3,0,0,'Données projet'!$E$17+1,1))</f>
        <v>442.85175349826028</v>
      </c>
      <c r="GF116" s="62">
        <f t="shared" si="104"/>
        <v>210.70697808232501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32.267191580115224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32.267191580115224</v>
      </c>
      <c r="GP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4.4000000000000004</v>
      </c>
      <c r="GU116" s="13">
        <f>IF('Données projet'!$A$270&gt;35,GU115+GT116-HC115,IF(A116&lt;'Données projet'!$A$270,$GR$205^A116,IF(A116='Données projet'!$A$270,'Données projet'!$B$270,GU115+GT116-HC115)))</f>
        <v>286.19999999999982</v>
      </c>
      <c r="GV116" s="18">
        <f>GU116*VLOOKUP('Données projet'!$B$18,Paramètres!$A$1:$I$89,3,0)*VLOOKUP('Données projet'!$B$18,Paramètres!$A$1:$I$89,5,0)</f>
        <v>272.34791999999982</v>
      </c>
      <c r="GW116" s="14">
        <f t="shared" si="105"/>
        <v>65.347305794639311</v>
      </c>
      <c r="GX116" s="22">
        <f t="shared" si="82"/>
        <v>588.15251825899645</v>
      </c>
      <c r="GY116" s="62">
        <f t="shared" si="83"/>
        <v>881.48585159232971</v>
      </c>
      <c r="GZ116" s="62">
        <f ca="1">AVERAGE(OFFSET($GY$3,0,0,'Données projet'!$E$18+1,1))-AVERAGE(OFFSET($H$3,0,0,'Données projet'!$E$18+1,1))</f>
        <v>420.2510366318939</v>
      </c>
      <c r="HA116" s="62">
        <f t="shared" si="106"/>
        <v>220.59884411514116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52.175416204399482</v>
      </c>
      <c r="HH116" s="23">
        <f>EXP(-LN(2)/25)*HH115+(1-EXP(-LN(2)/25))/(LN(2)/25)*Calculateur!HC116*Calculateur!HE116*VLOOKUP('Données projet'!$B$18,Paramètres!$A$1:$I$89,3,0)*0.475*44/12</f>
        <v>0</v>
      </c>
      <c r="HI116" s="23">
        <f>EXP(-LN(2)/2)*HI115+(1-EXP(-LN(2)/2))/(LN(2)/2)*HC116*HF116*VLOOKUP('Données projet'!$B$18,Paramètres!$A$1:$I$89,3,0)*0.475*44/12</f>
        <v>0</v>
      </c>
      <c r="HJ116" s="24">
        <f t="shared" si="84"/>
        <v>52.175416204399482</v>
      </c>
    </row>
    <row r="117" spans="1:218" s="5" customFormat="1" x14ac:dyDescent="0.2">
      <c r="A117" s="11">
        <f t="shared" si="85"/>
        <v>114</v>
      </c>
      <c r="B117" s="74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-4.5474735088646412E-13</v>
      </c>
      <c r="O117" s="14">
        <f>N117*VLOOKUP('Données projet'!$B$9,Paramètres!$A$1:$I$89,3,0)*VLOOKUP('Données projet'!$B$9,Paramètres!$A$1:$I$89,5,0)</f>
        <v>-3.9017322706058626E-13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623.31285537237943</v>
      </c>
      <c r="T117" s="62">
        <f t="shared" si="88"/>
        <v>462.33909258902241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213.22041798392735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213.22041798392735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projet'!$B$10,Paramètres!$A$1:$I$89,3,0)*VLOOKUP('Données projet'!$B$10,Paramètres!$A$1:$I$89,5,0)</f>
        <v>4.9658410716801891E-14</v>
      </c>
      <c r="AK117" s="14">
        <f t="shared" si="89"/>
        <v>8.0934058173791862E-13</v>
      </c>
      <c r="AL117" s="22">
        <f t="shared" si="58"/>
        <v>1.4960899118586383E-12</v>
      </c>
      <c r="AM117" s="62">
        <f t="shared" si="59"/>
        <v>293.33333333333479</v>
      </c>
      <c r="AN117" s="62">
        <f ca="1">AVERAGE(OFFSET($AM$3,0,0,'Données projet'!$E$10+1,1))-AVERAGE(OFFSET($H$3,0,0,'Données projet'!$E$10+1,1))</f>
        <v>390.70479111593545</v>
      </c>
      <c r="AO117" s="62">
        <f t="shared" si="90"/>
        <v>374.99493809709708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83.990068332958302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83.990068332958302</v>
      </c>
      <c r="AY117" s="7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5.6843418860808015E-14</v>
      </c>
      <c r="BE117" s="14">
        <f>BD117*VLOOKUP('Données projet'!$B$11,Paramètres!$A$1:$I$89,3,0)*VLOOKUP('Données projet'!$B$11,Paramètres!$A$1:$I$89,5,0)</f>
        <v>4.5224624045658861E-14</v>
      </c>
      <c r="BF117" s="14">
        <f t="shared" si="91"/>
        <v>7.4514601661523691E-13</v>
      </c>
      <c r="BG117" s="22">
        <f t="shared" si="61"/>
        <v>1.3765621991510601E-12</v>
      </c>
      <c r="BH117" s="62">
        <f t="shared" si="62"/>
        <v>293.33333333333468</v>
      </c>
      <c r="BI117" s="62">
        <f ca="1">AVERAGE(OFFSET($BH$3,0,0,'Données projet'!$E$11+1,1))-AVERAGE(OFFSET($H$3,0,0,'Données projet'!$E$11+1,1))</f>
        <v>359.18294335011535</v>
      </c>
      <c r="BJ117" s="62">
        <f t="shared" si="92"/>
        <v>345.47508134331241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76.490955088944162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76.490955088944162</v>
      </c>
      <c r="BT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5.6843418860808015E-14</v>
      </c>
      <c r="BZ117" s="14">
        <f>BY117*VLOOKUP('Données projet'!$B$12,Paramètres!$A$1:$I$89,3,0)*VLOOKUP('Données projet'!$B$12,Paramètres!$A$1:$I$89,5,0)</f>
        <v>4.1677594708744434E-14</v>
      </c>
      <c r="CA117" s="14">
        <f t="shared" si="93"/>
        <v>6.9326303456159188E-13</v>
      </c>
      <c r="CB117" s="22">
        <f t="shared" si="64"/>
        <v>1.2800215959791691E-12</v>
      </c>
      <c r="CC117" s="62">
        <f t="shared" si="65"/>
        <v>293.33333333333462</v>
      </c>
      <c r="CD117" s="62">
        <f ca="1">AVERAGE(OFFSET($CC$3,0,0,'Données projet'!$E$12+1,1))-AVERAGE(OFFSET($H$3,0,0,'Données projet'!$E$12+1,1))</f>
        <v>333.9187211440219</v>
      </c>
      <c r="CE117" s="62">
        <f t="shared" si="94"/>
        <v>321.81422611044997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57.191350438311552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57.191350438311552</v>
      </c>
      <c r="CO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5.6843418860808015E-14</v>
      </c>
      <c r="CU117" s="18">
        <f>CT117*VLOOKUP('Données projet'!$B$13,Paramètres!$A$1:$I$89,3,0)*VLOOKUP('Données projet'!$B$13,Paramètres!$A$1:$I$89,5,0)</f>
        <v>4.6111381379887463E-14</v>
      </c>
      <c r="CV117" s="14">
        <f t="shared" si="95"/>
        <v>7.5804141040779151E-13</v>
      </c>
      <c r="CW117" s="22">
        <f t="shared" si="67"/>
        <v>1.4005661123635408E-12</v>
      </c>
      <c r="CX117" s="62">
        <f t="shared" si="68"/>
        <v>293.33333333333474</v>
      </c>
      <c r="CY117" s="62">
        <f ca="1">AVERAGE(OFFSET($CX$3,0,0,'Données projet'!$E$13+1,1))-AVERAGE(OFFSET($H$3,0,0,'Données projet'!$E$13+1,1))</f>
        <v>365.492319515595</v>
      </c>
      <c r="CZ117" s="62">
        <f t="shared" si="96"/>
        <v>351.38386928091433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63.275536655153182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63.275536655153182</v>
      </c>
      <c r="DJ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>
        <f>VLOOKUP(A117,'Données projet'!$A$165:$I$185,2,0)</f>
        <v>384.57</v>
      </c>
      <c r="DM117" s="13">
        <f>VLOOKUP(A117,'Données projet'!$A$165:$I$185,9,0)</f>
        <v>7.9349999999999969</v>
      </c>
      <c r="DN117" s="13">
        <f t="array" ref="DN117">INDEX(DM:DM,MIN(IF(ISNUMBER(DM117:DM313),ROW(DM117:DM313),"")))</f>
        <v>7.9349999999999969</v>
      </c>
      <c r="DO117" s="13">
        <f>IF('Données projet'!$A$166&gt;35,DO116+DN117-DW116,IF(A117&lt;'Données projet'!$A$166,$DL$205^A117,IF(A117='Données projet'!$A$166,'Données projet'!$B$166,DO116+DN117-DW116)))</f>
        <v>384.5700000000005</v>
      </c>
      <c r="DP117" s="18">
        <f>DO117*VLOOKUP('Données projet'!$B$14,Paramètres!$A$1:$I$89,3,0)*VLOOKUP('Données projet'!$B$14,Paramètres!$A$1:$I$89,5,0)</f>
        <v>323.96176800000046</v>
      </c>
      <c r="DQ117" s="14">
        <f t="shared" si="97"/>
        <v>76.177085298616902</v>
      </c>
      <c r="DR117" s="22">
        <f t="shared" si="70"/>
        <v>696.9085028284253</v>
      </c>
      <c r="DS117" s="62">
        <f t="shared" si="71"/>
        <v>990.24183616175856</v>
      </c>
      <c r="DT117" s="62">
        <f ca="1">AVERAGE(OFFSET($DS$3,0,0,'Données projet'!$E$14+1,1))-AVERAGE(OFFSET($H$3,0,0,'Données projet'!$E$14+1,1))</f>
        <v>544.89250424794909</v>
      </c>
      <c r="DU117" s="62">
        <f t="shared" si="98"/>
        <v>253.98688498110715</v>
      </c>
      <c r="DV117" s="16">
        <f>IF(ISNA(VLOOKUP(A117,'Données projet'!$A$165:$I$185,3,0)),0,VLOOKUP(A117,'Données projet'!$A$165:$I$185,3,0))</f>
        <v>9</v>
      </c>
      <c r="DW117" s="16">
        <f>IF(ISNA(VLOOKUP(A117,'Données projet'!$A$165:$I$185,4,0)),0,VLOOKUP(A117,'Données projet'!$A$165:$I$185,4,0))</f>
        <v>56.07</v>
      </c>
      <c r="DX117" s="17">
        <f>IF(ISNA(VLOOKUP(A117,'Données projet'!$A$165:$I$185,5,0)),0%,VLOOKUP(A117,'Données projet'!$A$165:$I$185,5,0)*VLOOKUP('Données projet'!$B$14,Paramètres!$A$1:$I$89,7,0))</f>
        <v>0.25800000000000001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45.702821106593866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45.702821106593866</v>
      </c>
      <c r="EE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>
        <f>VLOOKUP(A117,'Données projet'!$A$191:$I$211,2,0)</f>
        <v>384.57</v>
      </c>
      <c r="EH117" s="13">
        <f>VLOOKUP(A117,'Données projet'!$A$191:$I$211,9,0)</f>
        <v>7.9349999999999969</v>
      </c>
      <c r="EI117" s="13">
        <f t="array" ref="EI117">INDEX(EH:EH,MIN(IF(ISNUMBER(EH117:EH313),ROW(EH117:EH313),"")))</f>
        <v>7.9349999999999969</v>
      </c>
      <c r="EJ117" s="13">
        <f>IF('Données projet'!$A$192&gt;35,EJ116+EI117-ER116,IF(A117&lt;'Données projet'!$A$192,$EG$205^A117,IF(A117='Données projet'!$A$192,'Données projet'!$B$192,EJ116+EI117-ER116)))</f>
        <v>384.5700000000005</v>
      </c>
      <c r="EK117" s="18">
        <f>EJ117*VLOOKUP('Données projet'!$B$15,Paramètres!$A$1:$I$89,3,0)*VLOOKUP('Données projet'!$B$15,Paramètres!$A$1:$I$89,5,0)</f>
        <v>347.95893600000045</v>
      </c>
      <c r="EL117" s="14">
        <f t="shared" si="99"/>
        <v>81.142092010767954</v>
      </c>
      <c r="EM117" s="22">
        <f t="shared" si="73"/>
        <v>747.35095711875499</v>
      </c>
      <c r="EN117" s="62">
        <f t="shared" si="74"/>
        <v>1040.6842904520884</v>
      </c>
      <c r="EO117" s="62">
        <f ca="1">AVERAGE(OFFSET($EN$3,0,0,'Données projet'!$E$15+1,1))-AVERAGE(OFFSET($H$3,0,0,'Données projet'!$E$15+1,1))</f>
        <v>581.88778927327667</v>
      </c>
      <c r="EP117" s="62">
        <f t="shared" si="100"/>
        <v>269.67340993773422</v>
      </c>
      <c r="EQ117" s="16">
        <f>IF(ISNA(VLOOKUP(A117,'Données projet'!$A$191:$I$211,3,0)),0,VLOOKUP(A117,'Données projet'!$A$191:$I$211,3,0))</f>
        <v>9</v>
      </c>
      <c r="ER117" s="16">
        <f>IF(ISNA(VLOOKUP(A117,'Données projet'!$A$191:$I$211,4,0)),0,VLOOKUP(A117,'Données projet'!$A$191:$I$211,4,0))</f>
        <v>56.07</v>
      </c>
      <c r="ES117" s="17">
        <f>IF(ISNA(VLOOKUP(A117,'Données projet'!$A$191:$I$211,5,0)),0%,VLOOKUP(A117,'Données projet'!$A$191:$I$211,5,0)*VLOOKUP('Données projet'!$B$15,Paramètres!$A$1:$I$89,7,0))</f>
        <v>0.25800000000000001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49.088215262637867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49.088215262637867</v>
      </c>
      <c r="EZ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>
        <f>VLOOKUP(A117,'Données projet'!$A$217:$I$237,2,0)</f>
        <v>384.57</v>
      </c>
      <c r="FC117" s="13">
        <f>VLOOKUP(A117,'Données projet'!$A$217:$I$237,9,0)</f>
        <v>7.9349999999999969</v>
      </c>
      <c r="FD117" s="13">
        <f t="array" ref="FD117">INDEX(FC:FC,MIN(IF(ISNUMBER(FC117:FC313),ROW(FC117:FC313),"")))</f>
        <v>7.9349999999999969</v>
      </c>
      <c r="FE117" s="13">
        <f>IF('Données projet'!$A$218&gt;35,FE116+FD117-FM116,IF(A117&lt;'Données projet'!$A$218,$FB$205^A117,IF(A117='Données projet'!$A$218,'Données projet'!$B$218,FE116+FD117-FM116)))</f>
        <v>384.5700000000005</v>
      </c>
      <c r="FF117" s="18">
        <f>FE117*VLOOKUP('Données projet'!$B$16,Paramètres!$A$1:$I$89,3,0)*VLOOKUP('Données projet'!$B$16,Paramètres!$A$1:$I$89,5,0)</f>
        <v>389.95398000000051</v>
      </c>
      <c r="FG117" s="14">
        <f t="shared" si="101"/>
        <v>89.736983637102725</v>
      </c>
      <c r="FH117" s="22">
        <f t="shared" si="76"/>
        <v>835.46176166795476</v>
      </c>
      <c r="FI117" s="62">
        <f t="shared" si="77"/>
        <v>1128.795095001288</v>
      </c>
      <c r="FJ117" s="62">
        <f ca="1">AVERAGE(OFFSET($FI$3,0,0,'Données projet'!$E$16+1,1))-AVERAGE(OFFSET($H$3,0,0,'Données projet'!$E$16+1,1))</f>
        <v>646.50767193970182</v>
      </c>
      <c r="FK117" s="62">
        <f t="shared" si="102"/>
        <v>297.06786598620607</v>
      </c>
      <c r="FL117" s="16">
        <f>IF(ISNA(VLOOKUP(A117,'Données projet'!$A$217:$I$237,3,0)),0,VLOOKUP(A117,'Données projet'!$A$217:$I$237,3,0))</f>
        <v>9</v>
      </c>
      <c r="FM117" s="16">
        <f>IF(ISNA(VLOOKUP(A117,'Données projet'!$A$217:$I$237,4,0)),0,VLOOKUP(A117,'Données projet'!$A$217:$I$237,4,0))</f>
        <v>56.07</v>
      </c>
      <c r="FN117" s="17">
        <f>IF(ISNA(VLOOKUP(A117,'Données projet'!$A$217:$I$237,5,0)),0%,VLOOKUP(A117,'Données projet'!$A$217:$I$237,5,0)*VLOOKUP('Données projet'!$B$16,Paramètres!$A$1:$I$89,7,0))</f>
        <v>0.25800000000000001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55.012655035714843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55.012655035714843</v>
      </c>
      <c r="FU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>
        <f>VLOOKUP(A117,'Données projet'!$A$243:$I$263,2,0)</f>
        <v>384.57</v>
      </c>
      <c r="FX117" s="13">
        <f>VLOOKUP(A117,'Données projet'!$A$243:$I$263,9,0)</f>
        <v>7.9349999999999969</v>
      </c>
      <c r="FY117" s="13">
        <f t="array" ref="FY117">INDEX(FX:FX,MIN(IF(ISNUMBER(FX117:FX313),ROW(FX117:FX313),"")))</f>
        <v>7.9349999999999969</v>
      </c>
      <c r="FZ117" s="13">
        <f>IF('Données projet'!$A$244&gt;35,FZ116+FY117-GH116,IF(A117&lt;'Données projet'!$A$244,$FW$205^A117,IF(A117='Données projet'!$A$244,'Données projet'!$B$244,FZ116+FY117-GH116)))</f>
        <v>384.5700000000005</v>
      </c>
      <c r="GA117" s="18">
        <f>FZ117*VLOOKUP('Données projet'!$B$17,Paramètres!$A$1:$I$89,3,0)*VLOOKUP('Données projet'!$B$17,Paramètres!$A$1:$I$89,5,0)</f>
        <v>257.96955600000035</v>
      </c>
      <c r="GB117" s="14">
        <f t="shared" si="103"/>
        <v>62.289372058832555</v>
      </c>
      <c r="GC117" s="22">
        <f t="shared" si="79"/>
        <v>557.78429970246725</v>
      </c>
      <c r="GD117" s="62">
        <f t="shared" si="80"/>
        <v>851.11763303580051</v>
      </c>
      <c r="GE117" s="62">
        <f ca="1">AVERAGE(OFFSET($GD$3,0,0,'Données projet'!$E$17+1,1))-AVERAGE(OFFSET($H$3,0,0,'Données projet'!$E$17+1,1))</f>
        <v>442.85175349826028</v>
      </c>
      <c r="GF117" s="62">
        <f t="shared" si="104"/>
        <v>210.70697808232501</v>
      </c>
      <c r="GG117" s="16">
        <f>IF(ISNA(VLOOKUP(A117,'Données projet'!$A$243:$I$263,3,0)),0,VLOOKUP(A117,'Données projet'!$A$243:$I$263,3,0))</f>
        <v>9</v>
      </c>
      <c r="GH117" s="16">
        <f>IF(ISNA(VLOOKUP(A117,'Données projet'!$A$243:$I$263,4,0)),0,VLOOKUP(A117,'Données projet'!$A$243:$I$263,4,0))</f>
        <v>56.07</v>
      </c>
      <c r="GI117" s="17">
        <f>IF(ISNA(VLOOKUP(A117,'Données projet'!$A$243:$I$263,5,0)),0%,VLOOKUP(A117,'Données projet'!$A$243:$I$263,5,0)*VLOOKUP('Données projet'!$B$17,Paramètres!$A$1:$I$89,7,0))</f>
        <v>0.318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44.856472567582877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44.856472567582877</v>
      </c>
      <c r="GP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4.4000000000000004</v>
      </c>
      <c r="GU117" s="13">
        <f>IF('Données projet'!$A$270&gt;35,GU116+GT117-HC116,IF(A117&lt;'Données projet'!$A$270,$GR$205^A117,IF(A117='Données projet'!$A$270,'Données projet'!$B$270,GU116+GT117-HC116)))</f>
        <v>290.5999999999998</v>
      </c>
      <c r="GV117" s="18">
        <f>GU117*VLOOKUP('Données projet'!$B$18,Paramètres!$A$1:$I$89,3,0)*VLOOKUP('Données projet'!$B$18,Paramètres!$A$1:$I$89,5,0)</f>
        <v>276.53495999999984</v>
      </c>
      <c r="GW117" s="14">
        <f t="shared" si="105"/>
        <v>66.234216476296339</v>
      </c>
      <c r="GX117" s="22">
        <f t="shared" si="82"/>
        <v>596.98964902954924</v>
      </c>
      <c r="GY117" s="62">
        <f t="shared" si="83"/>
        <v>890.32298236288261</v>
      </c>
      <c r="GZ117" s="62">
        <f ca="1">AVERAGE(OFFSET($GY$3,0,0,'Données projet'!$E$18+1,1))-AVERAGE(OFFSET($H$3,0,0,'Données projet'!$E$18+1,1))</f>
        <v>420.2510366318939</v>
      </c>
      <c r="HA117" s="62">
        <f t="shared" si="106"/>
        <v>220.59884411514116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51.152288116492748</v>
      </c>
      <c r="HH117" s="23">
        <f>EXP(-LN(2)/25)*HH116+(1-EXP(-LN(2)/25))/(LN(2)/25)*Calculateur!HC117*Calculateur!HE117*VLOOKUP('Données projet'!$B$18,Paramètres!$A$1:$I$89,3,0)*0.475*44/12</f>
        <v>0</v>
      </c>
      <c r="HI117" s="23">
        <f>EXP(-LN(2)/2)*HI116+(1-EXP(-LN(2)/2))/(LN(2)/2)*HC117*HF117*VLOOKUP('Données projet'!$B$18,Paramètres!$A$1:$I$89,3,0)*0.475*44/12</f>
        <v>0</v>
      </c>
      <c r="HJ117" s="24">
        <f t="shared" si="84"/>
        <v>51.152288116492748</v>
      </c>
    </row>
    <row r="118" spans="1:218" s="5" customFormat="1" x14ac:dyDescent="0.2">
      <c r="A118" s="11">
        <f t="shared" si="85"/>
        <v>115</v>
      </c>
      <c r="B118" s="74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-4.5474735088646412E-13</v>
      </c>
      <c r="O118" s="14">
        <f>N118*VLOOKUP('Données projet'!$B$9,Paramètres!$A$1:$I$89,3,0)*VLOOKUP('Données projet'!$B$9,Paramètres!$A$1:$I$89,5,0)</f>
        <v>-3.9017322706058626E-13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623.31285537237943</v>
      </c>
      <c r="T118" s="62">
        <f t="shared" si="88"/>
        <v>462.33909258902241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209.03929563887598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209.03929563887598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projet'!$B$10,Paramètres!$A$1:$I$89,3,0)*VLOOKUP('Données projet'!$B$10,Paramètres!$A$1:$I$89,5,0)</f>
        <v>4.9658410716801891E-14</v>
      </c>
      <c r="AK118" s="14">
        <f t="shared" si="89"/>
        <v>8.0934058173791862E-13</v>
      </c>
      <c r="AL118" s="22">
        <f t="shared" si="58"/>
        <v>1.4960899118586383E-12</v>
      </c>
      <c r="AM118" s="62">
        <f t="shared" si="59"/>
        <v>293.33333333333479</v>
      </c>
      <c r="AN118" s="62">
        <f ca="1">AVERAGE(OFFSET($AM$3,0,0,'Données projet'!$E$10+1,1))-AVERAGE(OFFSET($H$3,0,0,'Données projet'!$E$10+1,1))</f>
        <v>390.70479111593545</v>
      </c>
      <c r="AO118" s="62">
        <f t="shared" si="90"/>
        <v>374.99493809709708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82.343074321832233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82.343074321832233</v>
      </c>
      <c r="AY118" s="7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5.6843418860808015E-14</v>
      </c>
      <c r="BE118" s="14">
        <f>BD118*VLOOKUP('Données projet'!$B$11,Paramètres!$A$1:$I$89,3,0)*VLOOKUP('Données projet'!$B$11,Paramètres!$A$1:$I$89,5,0)</f>
        <v>4.5224624045658861E-14</v>
      </c>
      <c r="BF118" s="14">
        <f t="shared" si="91"/>
        <v>7.4514601661523691E-13</v>
      </c>
      <c r="BG118" s="22">
        <f t="shared" si="61"/>
        <v>1.3765621991510601E-12</v>
      </c>
      <c r="BH118" s="62">
        <f t="shared" si="62"/>
        <v>293.33333333333468</v>
      </c>
      <c r="BI118" s="62">
        <f ca="1">AVERAGE(OFFSET($BH$3,0,0,'Données projet'!$E$11+1,1))-AVERAGE(OFFSET($H$3,0,0,'Données projet'!$E$11+1,1))</f>
        <v>359.18294335011535</v>
      </c>
      <c r="BJ118" s="62">
        <f t="shared" si="92"/>
        <v>345.47508134331241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74.991014114525782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74.991014114525782</v>
      </c>
      <c r="BT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5.6843418860808015E-14</v>
      </c>
      <c r="BZ118" s="14">
        <f>BY118*VLOOKUP('Données projet'!$B$12,Paramètres!$A$1:$I$89,3,0)*VLOOKUP('Données projet'!$B$12,Paramètres!$A$1:$I$89,5,0)</f>
        <v>4.1677594708744434E-14</v>
      </c>
      <c r="CA118" s="14">
        <f t="shared" si="93"/>
        <v>6.9326303456159188E-13</v>
      </c>
      <c r="CB118" s="22">
        <f t="shared" si="64"/>
        <v>1.2800215959791691E-12</v>
      </c>
      <c r="CC118" s="62">
        <f t="shared" si="65"/>
        <v>293.33333333333462</v>
      </c>
      <c r="CD118" s="62">
        <f ca="1">AVERAGE(OFFSET($CC$3,0,0,'Données projet'!$E$12+1,1))-AVERAGE(OFFSET($H$3,0,0,'Données projet'!$E$12+1,1))</f>
        <v>333.9187211440219</v>
      </c>
      <c r="CE118" s="62">
        <f t="shared" si="94"/>
        <v>321.81422611044997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56.069862939495593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56.069862939495593</v>
      </c>
      <c r="CO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5.6843418860808015E-14</v>
      </c>
      <c r="CU118" s="18">
        <f>CT118*VLOOKUP('Données projet'!$B$13,Paramètres!$A$1:$I$89,3,0)*VLOOKUP('Données projet'!$B$13,Paramètres!$A$1:$I$89,5,0)</f>
        <v>4.6111381379887463E-14</v>
      </c>
      <c r="CV118" s="14">
        <f t="shared" si="95"/>
        <v>7.5804141040779151E-13</v>
      </c>
      <c r="CW118" s="22">
        <f t="shared" si="67"/>
        <v>1.4005661123635408E-12</v>
      </c>
      <c r="CX118" s="62">
        <f t="shared" si="68"/>
        <v>293.33333333333474</v>
      </c>
      <c r="CY118" s="62">
        <f ca="1">AVERAGE(OFFSET($CX$3,0,0,'Données projet'!$E$13+1,1))-AVERAGE(OFFSET($H$3,0,0,'Données projet'!$E$13+1,1))</f>
        <v>365.492319515595</v>
      </c>
      <c r="CZ118" s="62">
        <f t="shared" si="96"/>
        <v>351.38386928091433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62.034741975612121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62.034741975612121</v>
      </c>
      <c r="DJ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7.9920000000000018</v>
      </c>
      <c r="DO118" s="13">
        <f>IF('Données projet'!$A$166&gt;35,DO117+DN118-DW117,IF(A118&lt;'Données projet'!$A$166,$DL$205^A118,IF(A118='Données projet'!$A$166,'Données projet'!$B$166,DO117+DN118-DW117)))</f>
        <v>336.49200000000053</v>
      </c>
      <c r="DP118" s="18">
        <f>DO118*VLOOKUP('Données projet'!$B$14,Paramètres!$A$1:$I$89,3,0)*VLOOKUP('Données projet'!$B$14,Paramètres!$A$1:$I$89,5,0)</f>
        <v>283.46086080000043</v>
      </c>
      <c r="DQ118" s="14">
        <f t="shared" si="97"/>
        <v>67.697864531962708</v>
      </c>
      <c r="DR118" s="22">
        <f t="shared" si="70"/>
        <v>611.60144661983577</v>
      </c>
      <c r="DS118" s="62">
        <f t="shared" si="71"/>
        <v>904.93477995316903</v>
      </c>
      <c r="DT118" s="62">
        <f ca="1">AVERAGE(OFFSET($DS$3,0,0,'Données projet'!$E$14+1,1))-AVERAGE(OFFSET($H$3,0,0,'Données projet'!$E$14+1,1))</f>
        <v>544.89250424794909</v>
      </c>
      <c r="DU118" s="62">
        <f t="shared" si="98"/>
        <v>253.98688498110715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44.806616660661909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44.806616660661909</v>
      </c>
      <c r="EE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7.9920000000000018</v>
      </c>
      <c r="EJ118" s="13">
        <f>IF('Données projet'!$A$192&gt;35,EJ117+EI118-ER117,IF(A118&lt;'Données projet'!$A$192,$EG$205^A118,IF(A118='Données projet'!$A$192,'Données projet'!$B$192,EJ117+EI118-ER117)))</f>
        <v>336.49200000000053</v>
      </c>
      <c r="EK118" s="18">
        <f>EJ118*VLOOKUP('Données projet'!$B$15,Paramètres!$A$1:$I$89,3,0)*VLOOKUP('Données projet'!$B$15,Paramètres!$A$1:$I$89,5,0)</f>
        <v>304.45796160000049</v>
      </c>
      <c r="EL118" s="14">
        <f t="shared" si="99"/>
        <v>72.11021964481435</v>
      </c>
      <c r="EM118" s="22">
        <f t="shared" si="73"/>
        <v>655.85624900138566</v>
      </c>
      <c r="EN118" s="62">
        <f t="shared" si="74"/>
        <v>949.18958233471903</v>
      </c>
      <c r="EO118" s="62">
        <f ca="1">AVERAGE(OFFSET($EN$3,0,0,'Données projet'!$E$15+1,1))-AVERAGE(OFFSET($H$3,0,0,'Données projet'!$E$15+1,1))</f>
        <v>581.88778927327667</v>
      </c>
      <c r="EP118" s="62">
        <f t="shared" si="100"/>
        <v>269.67340993773422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48.125625302192432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48.125625302192432</v>
      </c>
      <c r="EZ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7.9920000000000018</v>
      </c>
      <c r="FE118" s="13">
        <f>IF('Données projet'!$A$218&gt;35,FE117+FD118-FM117,IF(A118&lt;'Données projet'!$A$218,$FB$205^A118,IF(A118='Données projet'!$A$218,'Données projet'!$B$218,FE117+FD118-FM117)))</f>
        <v>336.49200000000053</v>
      </c>
      <c r="FF118" s="18">
        <f>FE118*VLOOKUP('Données projet'!$B$16,Paramètres!$A$1:$I$89,3,0)*VLOOKUP('Données projet'!$B$16,Paramètres!$A$1:$I$89,5,0)</f>
        <v>341.2028880000006</v>
      </c>
      <c r="FG118" s="14">
        <f t="shared" si="101"/>
        <v>79.748419593074587</v>
      </c>
      <c r="FH118" s="22">
        <f t="shared" si="76"/>
        <v>733.15686072460585</v>
      </c>
      <c r="FI118" s="62">
        <f t="shared" si="77"/>
        <v>1026.4901940579391</v>
      </c>
      <c r="FJ118" s="62">
        <f ca="1">AVERAGE(OFFSET($FI$3,0,0,'Données projet'!$E$16+1,1))-AVERAGE(OFFSET($H$3,0,0,'Données projet'!$E$16+1,1))</f>
        <v>646.50767193970182</v>
      </c>
      <c r="FK118" s="62">
        <f t="shared" si="102"/>
        <v>297.06786598620607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53.933890424870825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53.933890424870825</v>
      </c>
      <c r="FU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7.9920000000000018</v>
      </c>
      <c r="FZ118" s="13">
        <f>IF('Données projet'!$A$244&gt;35,FZ117+FY118-GH117,IF(A118&lt;'Données projet'!$A$244,$FW$205^A118,IF(A118='Données projet'!$A$244,'Données projet'!$B$244,FZ117+FY118-GH117)))</f>
        <v>336.49200000000053</v>
      </c>
      <c r="GA118" s="18">
        <f>FZ118*VLOOKUP('Données projet'!$B$17,Paramètres!$A$1:$I$89,3,0)*VLOOKUP('Données projet'!$B$17,Paramètres!$A$1:$I$89,5,0)</f>
        <v>225.71883360000038</v>
      </c>
      <c r="GB118" s="14">
        <f t="shared" si="103"/>
        <v>55.355983428476335</v>
      </c>
      <c r="GC118" s="22">
        <f t="shared" si="79"/>
        <v>489.53863965793022</v>
      </c>
      <c r="GD118" s="62">
        <f t="shared" si="80"/>
        <v>782.87197299126353</v>
      </c>
      <c r="GE118" s="62">
        <f ca="1">AVERAGE(OFFSET($GD$3,0,0,'Données projet'!$E$17+1,1))-AVERAGE(OFFSET($H$3,0,0,'Données projet'!$E$17+1,1))</f>
        <v>442.85175349826028</v>
      </c>
      <c r="GF118" s="62">
        <f t="shared" si="104"/>
        <v>210.70697808232501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43.976864500279291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43.976864500279291</v>
      </c>
      <c r="GP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>
        <f>VLOOKUP(A118,'Données projet'!$A$269:$I$289,2,0)</f>
        <v>295</v>
      </c>
      <c r="GS118" s="13">
        <f>VLOOKUP(A118,'Données projet'!$A$269:$I$289,9,0)</f>
        <v>4.4000000000000004</v>
      </c>
      <c r="GT118" s="13">
        <f t="array" ref="GT118">INDEX(GS:GS,MIN(IF(ISNUMBER(GS118:GS314),ROW(GS118:GS314),"")))</f>
        <v>4.4000000000000004</v>
      </c>
      <c r="GU118" s="13">
        <f>IF('Données projet'!$A$270&gt;35,GU117+GT118-HC117,IF(A118&lt;'Données projet'!$A$270,$GR$205^A118,IF(A118='Données projet'!$A$270,'Données projet'!$B$270,GU117+GT118-HC117)))</f>
        <v>294.99999999999977</v>
      </c>
      <c r="GV118" s="18">
        <f>GU118*VLOOKUP('Données projet'!$B$18,Paramètres!$A$1:$I$89,3,0)*VLOOKUP('Données projet'!$B$18,Paramètres!$A$1:$I$89,5,0)</f>
        <v>280.72199999999975</v>
      </c>
      <c r="GW118" s="14">
        <f t="shared" si="105"/>
        <v>67.119565360074105</v>
      </c>
      <c r="GX118" s="22">
        <f t="shared" si="82"/>
        <v>605.82405966879526</v>
      </c>
      <c r="GY118" s="62">
        <f t="shared" si="83"/>
        <v>899.15739300212863</v>
      </c>
      <c r="GZ118" s="62">
        <f ca="1">AVERAGE(OFFSET($GY$3,0,0,'Données projet'!$E$18+1,1))-AVERAGE(OFFSET($H$3,0,0,'Données projet'!$E$18+1,1))</f>
        <v>420.2510366318939</v>
      </c>
      <c r="HA118" s="62">
        <f t="shared" si="106"/>
        <v>220.59884411514116</v>
      </c>
      <c r="HB118" s="16">
        <f>IF(ISNA(VLOOKUP(A118,'Données projet'!$A$269:$I$289,3,0)),0,VLOOKUP(A118,'Données projet'!$A$269:$I$289,3,0))</f>
        <v>19</v>
      </c>
      <c r="HC118" s="16">
        <f>IF(ISNA(VLOOKUP(A118,'Données projet'!$A$269:$I$289,4,0)),0,VLOOKUP(A118,'Données projet'!$A$269:$I$289,4,0))</f>
        <v>20</v>
      </c>
      <c r="HD118" s="17">
        <f>IF(ISNA(VLOOKUP(A118,'Données projet'!$A$269:$I$289,5,0)),0%,VLOOKUP(A118,'Données projet'!$A$269:$I$289,5,0)*VLOOKUP('Données projet'!$B$18,Paramètres!$A$1:$I$89,7,0))</f>
        <v>0.34400000000000003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57.38674636490861</v>
      </c>
      <c r="HH118" s="23">
        <f>EXP(-LN(2)/25)*HH117+(1-EXP(-LN(2)/25))/(LN(2)/25)*Calculateur!HC118*Calculateur!HE118*VLOOKUP('Données projet'!$B$18,Paramètres!$A$1:$I$89,3,0)*0.475*44/12</f>
        <v>0</v>
      </c>
      <c r="HI118" s="23">
        <f>EXP(-LN(2)/2)*HI117+(1-EXP(-LN(2)/2))/(LN(2)/2)*HC118*HF118*VLOOKUP('Données projet'!$B$18,Paramètres!$A$1:$I$89,3,0)*0.475*44/12</f>
        <v>0</v>
      </c>
      <c r="HJ118" s="24">
        <f t="shared" si="84"/>
        <v>57.38674636490861</v>
      </c>
    </row>
    <row r="119" spans="1:218" s="5" customFormat="1" x14ac:dyDescent="0.2">
      <c r="A119" s="11">
        <f t="shared" si="85"/>
        <v>116</v>
      </c>
      <c r="B119" s="74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-4.5474735088646412E-13</v>
      </c>
      <c r="O119" s="14">
        <f>N119*VLOOKUP('Données projet'!$B$9,Paramètres!$A$1:$I$89,3,0)*VLOOKUP('Données projet'!$B$9,Paramètres!$A$1:$I$89,5,0)</f>
        <v>-3.9017322706058626E-13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623.31285537237943</v>
      </c>
      <c r="T119" s="62">
        <f t="shared" si="88"/>
        <v>462.33909258902241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204.94016255277825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204.94016255277825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projet'!$B$10,Paramètres!$A$1:$I$89,3,0)*VLOOKUP('Données projet'!$B$10,Paramètres!$A$1:$I$89,5,0)</f>
        <v>4.9658410716801891E-14</v>
      </c>
      <c r="AK119" s="14">
        <f t="shared" si="89"/>
        <v>8.0934058173791862E-13</v>
      </c>
      <c r="AL119" s="22">
        <f t="shared" si="58"/>
        <v>1.4960899118586383E-12</v>
      </c>
      <c r="AM119" s="62">
        <f t="shared" si="59"/>
        <v>293.33333333333479</v>
      </c>
      <c r="AN119" s="62">
        <f ca="1">AVERAGE(OFFSET($AM$3,0,0,'Données projet'!$E$10+1,1))-AVERAGE(OFFSET($H$3,0,0,'Données projet'!$E$10+1,1))</f>
        <v>390.70479111593545</v>
      </c>
      <c r="AO119" s="62">
        <f t="shared" si="90"/>
        <v>374.99493809709708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80.728376858697203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80.728376858697203</v>
      </c>
      <c r="AY119" s="7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5.6843418860808015E-14</v>
      </c>
      <c r="BE119" s="14">
        <f>BD119*VLOOKUP('Données projet'!$B$11,Paramètres!$A$1:$I$89,3,0)*VLOOKUP('Données projet'!$B$11,Paramètres!$A$1:$I$89,5,0)</f>
        <v>4.5224624045658861E-14</v>
      </c>
      <c r="BF119" s="14">
        <f t="shared" si="91"/>
        <v>7.4514601661523691E-13</v>
      </c>
      <c r="BG119" s="22">
        <f t="shared" si="61"/>
        <v>1.3765621991510601E-12</v>
      </c>
      <c r="BH119" s="62">
        <f t="shared" si="62"/>
        <v>293.33333333333468</v>
      </c>
      <c r="BI119" s="62">
        <f ca="1">AVERAGE(OFFSET($BH$3,0,0,'Données projet'!$E$11+1,1))-AVERAGE(OFFSET($H$3,0,0,'Données projet'!$E$11+1,1))</f>
        <v>359.18294335011535</v>
      </c>
      <c r="BJ119" s="62">
        <f t="shared" si="92"/>
        <v>345.47508134331241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73.520486067742098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73.520486067742098</v>
      </c>
      <c r="BT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5.6843418860808015E-14</v>
      </c>
      <c r="BZ119" s="14">
        <f>BY119*VLOOKUP('Données projet'!$B$12,Paramètres!$A$1:$I$89,3,0)*VLOOKUP('Données projet'!$B$12,Paramètres!$A$1:$I$89,5,0)</f>
        <v>4.1677594708744434E-14</v>
      </c>
      <c r="CA119" s="14">
        <f t="shared" si="93"/>
        <v>6.9326303456159188E-13</v>
      </c>
      <c r="CB119" s="22">
        <f t="shared" si="64"/>
        <v>1.2800215959791691E-12</v>
      </c>
      <c r="CC119" s="62">
        <f t="shared" si="65"/>
        <v>293.33333333333462</v>
      </c>
      <c r="CD119" s="62">
        <f ca="1">AVERAGE(OFFSET($CC$3,0,0,'Données projet'!$E$12+1,1))-AVERAGE(OFFSET($H$3,0,0,'Données projet'!$E$12+1,1))</f>
        <v>333.9187211440219</v>
      </c>
      <c r="CE119" s="62">
        <f t="shared" si="94"/>
        <v>321.81422611044997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54.970367126491581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54.970367126491581</v>
      </c>
      <c r="CO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5.6843418860808015E-14</v>
      </c>
      <c r="CU119" s="18">
        <f>CT119*VLOOKUP('Données projet'!$B$13,Paramètres!$A$1:$I$89,3,0)*VLOOKUP('Données projet'!$B$13,Paramètres!$A$1:$I$89,5,0)</f>
        <v>4.6111381379887463E-14</v>
      </c>
      <c r="CV119" s="14">
        <f t="shared" si="95"/>
        <v>7.5804141040779151E-13</v>
      </c>
      <c r="CW119" s="22">
        <f t="shared" si="67"/>
        <v>1.4005661123635408E-12</v>
      </c>
      <c r="CX119" s="62">
        <f t="shared" si="68"/>
        <v>293.33333333333474</v>
      </c>
      <c r="CY119" s="62">
        <f ca="1">AVERAGE(OFFSET($CX$3,0,0,'Données projet'!$E$13+1,1))-AVERAGE(OFFSET($H$3,0,0,'Données projet'!$E$13+1,1))</f>
        <v>365.492319515595</v>
      </c>
      <c r="CZ119" s="62">
        <f t="shared" si="96"/>
        <v>351.38386928091433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60.818278522926832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60.818278522926832</v>
      </c>
      <c r="DJ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7.9920000000000018</v>
      </c>
      <c r="DO119" s="13">
        <f>IF('Données projet'!$A$166&gt;35,DO118+DN119-DW118,IF(A119&lt;'Données projet'!$A$166,$DL$205^A119,IF(A119='Données projet'!$A$166,'Données projet'!$B$166,DO118+DN119-DW118)))</f>
        <v>344.48400000000055</v>
      </c>
      <c r="DP119" s="18">
        <f>DO119*VLOOKUP('Données projet'!$B$14,Paramètres!$A$1:$I$89,3,0)*VLOOKUP('Données projet'!$B$14,Paramètres!$A$1:$I$89,5,0)</f>
        <v>290.1933216000005</v>
      </c>
      <c r="DQ119" s="14">
        <f t="shared" si="97"/>
        <v>69.116647327356702</v>
      </c>
      <c r="DR119" s="22">
        <f t="shared" si="70"/>
        <v>625.79819588181374</v>
      </c>
      <c r="DS119" s="62">
        <f t="shared" si="71"/>
        <v>919.13152921514711</v>
      </c>
      <c r="DT119" s="62">
        <f ca="1">AVERAGE(OFFSET($DS$3,0,0,'Données projet'!$E$14+1,1))-AVERAGE(OFFSET($H$3,0,0,'Données projet'!$E$14+1,1))</f>
        <v>544.89250424794909</v>
      </c>
      <c r="DU119" s="62">
        <f t="shared" si="98"/>
        <v>253.98688498110715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43.927986237283946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43.927986237283946</v>
      </c>
      <c r="EE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7.9920000000000018</v>
      </c>
      <c r="EJ119" s="13">
        <f>IF('Données projet'!$A$192&gt;35,EJ118+EI119-ER118,IF(A119&lt;'Données projet'!$A$192,$EG$205^A119,IF(A119='Données projet'!$A$192,'Données projet'!$B$192,EJ118+EI119-ER118)))</f>
        <v>344.48400000000055</v>
      </c>
      <c r="EK119" s="18">
        <f>EJ119*VLOOKUP('Données projet'!$B$15,Paramètres!$A$1:$I$89,3,0)*VLOOKUP('Données projet'!$B$15,Paramètres!$A$1:$I$89,5,0)</f>
        <v>311.68912320000049</v>
      </c>
      <c r="EL119" s="14">
        <f t="shared" si="99"/>
        <v>73.621474685301479</v>
      </c>
      <c r="EM119" s="22">
        <f t="shared" si="73"/>
        <v>671.08262465023415</v>
      </c>
      <c r="EN119" s="62">
        <f t="shared" si="74"/>
        <v>964.41595798356752</v>
      </c>
      <c r="EO119" s="62">
        <f ca="1">AVERAGE(OFFSET($EN$3,0,0,'Données projet'!$E$15+1,1))-AVERAGE(OFFSET($H$3,0,0,'Données projet'!$E$15+1,1))</f>
        <v>581.88778927327667</v>
      </c>
      <c r="EP119" s="62">
        <f t="shared" si="100"/>
        <v>269.67340993773422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47.181911143749431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47.181911143749431</v>
      </c>
      <c r="EZ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7.9920000000000018</v>
      </c>
      <c r="FE119" s="13">
        <f>IF('Données projet'!$A$218&gt;35,FE118+FD119-FM118,IF(A119&lt;'Données projet'!$A$218,$FB$205^A119,IF(A119='Données projet'!$A$218,'Données projet'!$B$218,FE118+FD119-FM118)))</f>
        <v>344.48400000000055</v>
      </c>
      <c r="FF119" s="18">
        <f>FE119*VLOOKUP('Données projet'!$B$16,Paramètres!$A$1:$I$89,3,0)*VLOOKUP('Données projet'!$B$16,Paramètres!$A$1:$I$89,5,0)</f>
        <v>349.30677600000058</v>
      </c>
      <c r="FG119" s="14">
        <f t="shared" si="101"/>
        <v>81.419752750490431</v>
      </c>
      <c r="FH119" s="22">
        <f t="shared" si="76"/>
        <v>750.18203757377194</v>
      </c>
      <c r="FI119" s="62">
        <f t="shared" si="77"/>
        <v>1043.5153709071053</v>
      </c>
      <c r="FJ119" s="62">
        <f ca="1">AVERAGE(OFFSET($FI$3,0,0,'Données projet'!$E$16+1,1))-AVERAGE(OFFSET($H$3,0,0,'Données projet'!$E$16+1,1))</f>
        <v>646.50767193970182</v>
      </c>
      <c r="FK119" s="62">
        <f t="shared" si="102"/>
        <v>297.06786598620607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52.876279730064013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52.876279730064013</v>
      </c>
      <c r="FU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7.9920000000000018</v>
      </c>
      <c r="FZ119" s="13">
        <f>IF('Données projet'!$A$244&gt;35,FZ118+FY119-GH118,IF(A119&lt;'Données projet'!$A$244,$FW$205^A119,IF(A119='Données projet'!$A$244,'Données projet'!$B$244,FZ118+FY119-GH118)))</f>
        <v>344.48400000000055</v>
      </c>
      <c r="GA119" s="18">
        <f>FZ119*VLOOKUP('Données projet'!$B$17,Paramètres!$A$1:$I$89,3,0)*VLOOKUP('Données projet'!$B$17,Paramètres!$A$1:$I$89,5,0)</f>
        <v>231.07986720000036</v>
      </c>
      <c r="GB119" s="14">
        <f t="shared" si="103"/>
        <v>56.516110375661739</v>
      </c>
      <c r="GC119" s="22">
        <f t="shared" si="79"/>
        <v>500.89632761094487</v>
      </c>
      <c r="GD119" s="62">
        <f t="shared" si="80"/>
        <v>794.22966094427818</v>
      </c>
      <c r="GE119" s="62">
        <f ca="1">AVERAGE(OFFSET($GD$3,0,0,'Données projet'!$E$17+1,1))-AVERAGE(OFFSET($H$3,0,0,'Données projet'!$E$17+1,1))</f>
        <v>442.85175349826028</v>
      </c>
      <c r="GF119" s="62">
        <f t="shared" si="104"/>
        <v>210.70697808232501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43.114505010667585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43.114505010667585</v>
      </c>
      <c r="GP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4.4000000000000004</v>
      </c>
      <c r="GU119" s="13">
        <f>IF('Données projet'!$A$270&gt;35,GU118+GT119-HC118,IF(A119&lt;'Données projet'!$A$270,$GR$205^A119,IF(A119='Données projet'!$A$270,'Données projet'!$B$270,GU118+GT119-HC118)))</f>
        <v>279.39999999999975</v>
      </c>
      <c r="GV119" s="18">
        <f>GU119*VLOOKUP('Données projet'!$B$18,Paramètres!$A$1:$I$89,3,0)*VLOOKUP('Données projet'!$B$18,Paramètres!$A$1:$I$89,5,0)</f>
        <v>265.87703999999979</v>
      </c>
      <c r="GW119" s="14">
        <f t="shared" si="105"/>
        <v>63.973491031659897</v>
      </c>
      <c r="GX119" s="22">
        <f t="shared" si="82"/>
        <v>574.48967488014057</v>
      </c>
      <c r="GY119" s="62">
        <f t="shared" si="83"/>
        <v>867.82300821347394</v>
      </c>
      <c r="GZ119" s="62">
        <f ca="1">AVERAGE(OFFSET($GY$3,0,0,'Données projet'!$E$18+1,1))-AVERAGE(OFFSET($H$3,0,0,'Données projet'!$E$18+1,1))</f>
        <v>420.2510366318939</v>
      </c>
      <c r="HA119" s="62">
        <f t="shared" si="106"/>
        <v>220.59884411514116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56.261427271151831</v>
      </c>
      <c r="HH119" s="23">
        <f>EXP(-LN(2)/25)*HH118+(1-EXP(-LN(2)/25))/(LN(2)/25)*Calculateur!HC119*Calculateur!HE119*VLOOKUP('Données projet'!$B$18,Paramètres!$A$1:$I$89,3,0)*0.475*44/12</f>
        <v>0</v>
      </c>
      <c r="HI119" s="23">
        <f>EXP(-LN(2)/2)*HI118+(1-EXP(-LN(2)/2))/(LN(2)/2)*HC119*HF119*VLOOKUP('Données projet'!$B$18,Paramètres!$A$1:$I$89,3,0)*0.475*44/12</f>
        <v>0</v>
      </c>
      <c r="HJ119" s="24">
        <f t="shared" si="84"/>
        <v>56.261427271151831</v>
      </c>
    </row>
    <row r="120" spans="1:218" s="5" customFormat="1" x14ac:dyDescent="0.2">
      <c r="A120" s="11">
        <f t="shared" si="85"/>
        <v>117</v>
      </c>
      <c r="B120" s="74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-4.5474735088646412E-13</v>
      </c>
      <c r="O120" s="14">
        <f>N120*VLOOKUP('Données projet'!$B$9,Paramètres!$A$1:$I$89,3,0)*VLOOKUP('Données projet'!$B$9,Paramètres!$A$1:$I$89,5,0)</f>
        <v>-3.9017322706058626E-13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623.31285537237943</v>
      </c>
      <c r="T120" s="62">
        <f t="shared" si="88"/>
        <v>462.33909258902241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200.92141096627458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200.92141096627458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projet'!$B$10,Paramètres!$A$1:$I$89,3,0)*VLOOKUP('Données projet'!$B$10,Paramètres!$A$1:$I$89,5,0)</f>
        <v>4.9658410716801891E-14</v>
      </c>
      <c r="AK120" s="14">
        <f t="shared" si="89"/>
        <v>8.0934058173791862E-13</v>
      </c>
      <c r="AL120" s="22">
        <f t="shared" si="58"/>
        <v>1.4960899118586383E-12</v>
      </c>
      <c r="AM120" s="62">
        <f t="shared" si="59"/>
        <v>293.33333333333479</v>
      </c>
      <c r="AN120" s="62">
        <f ca="1">AVERAGE(OFFSET($AM$3,0,0,'Données projet'!$E$10+1,1))-AVERAGE(OFFSET($H$3,0,0,'Données projet'!$E$10+1,1))</f>
        <v>390.70479111593545</v>
      </c>
      <c r="AO120" s="62">
        <f t="shared" si="90"/>
        <v>374.99493809709708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79.14534262794605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79.14534262794605</v>
      </c>
      <c r="AY120" s="7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5.6843418860808015E-14</v>
      </c>
      <c r="BE120" s="14">
        <f>BD120*VLOOKUP('Données projet'!$B$11,Paramètres!$A$1:$I$89,3,0)*VLOOKUP('Données projet'!$B$11,Paramètres!$A$1:$I$89,5,0)</f>
        <v>4.5224624045658861E-14</v>
      </c>
      <c r="BF120" s="14">
        <f t="shared" si="91"/>
        <v>7.4514601661523691E-13</v>
      </c>
      <c r="BG120" s="22">
        <f t="shared" si="61"/>
        <v>1.3765621991510601E-12</v>
      </c>
      <c r="BH120" s="62">
        <f t="shared" si="62"/>
        <v>293.33333333333468</v>
      </c>
      <c r="BI120" s="62">
        <f ca="1">AVERAGE(OFFSET($BH$3,0,0,'Données projet'!$E$11+1,1))-AVERAGE(OFFSET($H$3,0,0,'Données projet'!$E$11+1,1))</f>
        <v>359.18294335011535</v>
      </c>
      <c r="BJ120" s="62">
        <f t="shared" si="92"/>
        <v>345.47508134331241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72.078794179022296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72.078794179022296</v>
      </c>
      <c r="BT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5.6843418860808015E-14</v>
      </c>
      <c r="BZ120" s="14">
        <f>BY120*VLOOKUP('Données projet'!$B$12,Paramètres!$A$1:$I$89,3,0)*VLOOKUP('Données projet'!$B$12,Paramètres!$A$1:$I$89,5,0)</f>
        <v>4.1677594708744434E-14</v>
      </c>
      <c r="CA120" s="14">
        <f t="shared" si="93"/>
        <v>6.9326303456159188E-13</v>
      </c>
      <c r="CB120" s="22">
        <f t="shared" si="64"/>
        <v>1.2800215959791691E-12</v>
      </c>
      <c r="CC120" s="62">
        <f t="shared" si="65"/>
        <v>293.33333333333462</v>
      </c>
      <c r="CD120" s="62">
        <f ca="1">AVERAGE(OFFSET($CC$3,0,0,'Données projet'!$E$12+1,1))-AVERAGE(OFFSET($H$3,0,0,'Données projet'!$E$12+1,1))</f>
        <v>333.9187211440219</v>
      </c>
      <c r="CE120" s="62">
        <f t="shared" si="94"/>
        <v>321.81422611044997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53.892431755754352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53.892431755754352</v>
      </c>
      <c r="CO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5.6843418860808015E-14</v>
      </c>
      <c r="CU120" s="18">
        <f>CT120*VLOOKUP('Données projet'!$B$13,Paramètres!$A$1:$I$89,3,0)*VLOOKUP('Données projet'!$B$13,Paramètres!$A$1:$I$89,5,0)</f>
        <v>4.6111381379887463E-14</v>
      </c>
      <c r="CV120" s="14">
        <f t="shared" si="95"/>
        <v>7.5804141040779151E-13</v>
      </c>
      <c r="CW120" s="22">
        <f t="shared" si="67"/>
        <v>1.4005661123635408E-12</v>
      </c>
      <c r="CX120" s="62">
        <f t="shared" si="68"/>
        <v>293.33333333333474</v>
      </c>
      <c r="CY120" s="62">
        <f ca="1">AVERAGE(OFFSET($CX$3,0,0,'Données projet'!$E$13+1,1))-AVERAGE(OFFSET($H$3,0,0,'Données projet'!$E$13+1,1))</f>
        <v>365.492319515595</v>
      </c>
      <c r="CZ120" s="62">
        <f t="shared" si="96"/>
        <v>351.38386928091433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59.625669176579258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59.625669176579258</v>
      </c>
      <c r="DJ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7.9920000000000018</v>
      </c>
      <c r="DO120" s="13">
        <f>IF('Données projet'!$A$166&gt;35,DO119+DN120-DW119,IF(A120&lt;'Données projet'!$A$166,$DL$205^A120,IF(A120='Données projet'!$A$166,'Données projet'!$B$166,DO119+DN120-DW119)))</f>
        <v>352.47600000000057</v>
      </c>
      <c r="DP120" s="18">
        <f>DO120*VLOOKUP('Données projet'!$B$14,Paramètres!$A$1:$I$89,3,0)*VLOOKUP('Données projet'!$B$14,Paramètres!$A$1:$I$89,5,0)</f>
        <v>296.92578240000051</v>
      </c>
      <c r="DQ120" s="14">
        <f t="shared" si="97"/>
        <v>70.5316035478034</v>
      </c>
      <c r="DR120" s="22">
        <f t="shared" si="70"/>
        <v>639.98828052575846</v>
      </c>
      <c r="DS120" s="62">
        <f t="shared" si="71"/>
        <v>933.32161385909171</v>
      </c>
      <c r="DT120" s="62">
        <f ca="1">AVERAGE(OFFSET($DS$3,0,0,'Données projet'!$E$14+1,1))-AVERAGE(OFFSET($H$3,0,0,'Données projet'!$E$14+1,1))</f>
        <v>544.89250424794909</v>
      </c>
      <c r="DU120" s="62">
        <f t="shared" si="98"/>
        <v>253.98688498110715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43.066585220596778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43.066585220596778</v>
      </c>
      <c r="EE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7.9920000000000018</v>
      </c>
      <c r="EJ120" s="13">
        <f>IF('Données projet'!$A$192&gt;35,EJ119+EI120-ER119,IF(A120&lt;'Données projet'!$A$192,$EG$205^A120,IF(A120='Données projet'!$A$192,'Données projet'!$B$192,EJ119+EI120-ER119)))</f>
        <v>352.47600000000057</v>
      </c>
      <c r="EK120" s="18">
        <f>EJ120*VLOOKUP('Données projet'!$B$15,Paramètres!$A$1:$I$89,3,0)*VLOOKUP('Données projet'!$B$15,Paramètres!$A$1:$I$89,5,0)</f>
        <v>318.9202848000005</v>
      </c>
      <c r="EL120" s="14">
        <f t="shared" si="99"/>
        <v>75.128653745521831</v>
      </c>
      <c r="EM120" s="22">
        <f t="shared" si="73"/>
        <v>686.30190130011806</v>
      </c>
      <c r="EN120" s="62">
        <f t="shared" si="74"/>
        <v>979.63523463345132</v>
      </c>
      <c r="EO120" s="62">
        <f ca="1">AVERAGE(OFFSET($EN$3,0,0,'Données projet'!$E$15+1,1))-AVERAGE(OFFSET($H$3,0,0,'Données projet'!$E$15+1,1))</f>
        <v>581.88778927327667</v>
      </c>
      <c r="EP120" s="62">
        <f t="shared" si="100"/>
        <v>269.67340993773422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46.256702644344699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46.256702644344699</v>
      </c>
      <c r="EZ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7.9920000000000018</v>
      </c>
      <c r="FE120" s="13">
        <f>IF('Données projet'!$A$218&gt;35,FE119+FD120-FM119,IF(A120&lt;'Données projet'!$A$218,$FB$205^A120,IF(A120='Données projet'!$A$218,'Données projet'!$B$218,FE119+FD120-FM119)))</f>
        <v>352.47600000000057</v>
      </c>
      <c r="FF120" s="18">
        <f>FE120*VLOOKUP('Données projet'!$B$16,Paramètres!$A$1:$I$89,3,0)*VLOOKUP('Données projet'!$B$16,Paramètres!$A$1:$I$89,5,0)</f>
        <v>357.41066400000057</v>
      </c>
      <c r="FG120" s="14">
        <f t="shared" si="101"/>
        <v>83.086578183672941</v>
      </c>
      <c r="FH120" s="22">
        <f t="shared" si="76"/>
        <v>767.199363469898</v>
      </c>
      <c r="FI120" s="62">
        <f t="shared" si="77"/>
        <v>1060.5326968032314</v>
      </c>
      <c r="FJ120" s="62">
        <f ca="1">AVERAGE(OFFSET($FI$3,0,0,'Données projet'!$E$16+1,1))-AVERAGE(OFFSET($H$3,0,0,'Données projet'!$E$16+1,1))</f>
        <v>646.50767193970182</v>
      </c>
      <c r="FK120" s="62">
        <f t="shared" si="102"/>
        <v>297.06786598620607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51.83940813590354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51.83940813590354</v>
      </c>
      <c r="FU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7.9920000000000018</v>
      </c>
      <c r="FZ120" s="13">
        <f>IF('Données projet'!$A$244&gt;35,FZ119+FY120-GH119,IF(A120&lt;'Données projet'!$A$244,$FW$205^A120,IF(A120='Données projet'!$A$244,'Données projet'!$B$244,FZ119+FY120-GH119)))</f>
        <v>352.47600000000057</v>
      </c>
      <c r="GA120" s="18">
        <f>FZ120*VLOOKUP('Données projet'!$B$17,Paramètres!$A$1:$I$89,3,0)*VLOOKUP('Données projet'!$B$17,Paramètres!$A$1:$I$89,5,0)</f>
        <v>236.44090080000038</v>
      </c>
      <c r="GB120" s="14">
        <f t="shared" si="103"/>
        <v>57.673108364188977</v>
      </c>
      <c r="GC120" s="22">
        <f t="shared" si="79"/>
        <v>512.24856596096311</v>
      </c>
      <c r="GD120" s="62">
        <f t="shared" si="80"/>
        <v>805.58189929429636</v>
      </c>
      <c r="GE120" s="62">
        <f ca="1">AVERAGE(OFFSET($GD$3,0,0,'Données projet'!$E$17+1,1))-AVERAGE(OFFSET($H$3,0,0,'Données projet'!$E$17+1,1))</f>
        <v>442.85175349826028</v>
      </c>
      <c r="GF120" s="62">
        <f t="shared" si="104"/>
        <v>210.70697808232501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42.269055864659812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42.269055864659812</v>
      </c>
      <c r="GP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4.4000000000000004</v>
      </c>
      <c r="GU120" s="13">
        <f>IF('Données projet'!$A$270&gt;35,GU119+GT120-HC119,IF(A120&lt;'Données projet'!$A$270,$GR$205^A120,IF(A120='Données projet'!$A$270,'Données projet'!$B$270,GU119+GT120-HC119)))</f>
        <v>283.79999999999973</v>
      </c>
      <c r="GV120" s="18">
        <f>GU120*VLOOKUP('Données projet'!$B$18,Paramètres!$A$1:$I$89,3,0)*VLOOKUP('Données projet'!$B$18,Paramètres!$A$1:$I$89,5,0)</f>
        <v>270.06407999999976</v>
      </c>
      <c r="GW120" s="14">
        <f t="shared" si="105"/>
        <v>64.862868493280203</v>
      </c>
      <c r="GX120" s="22">
        <f t="shared" si="82"/>
        <v>583.33110195912923</v>
      </c>
      <c r="GY120" s="62">
        <f t="shared" si="83"/>
        <v>876.66443529246249</v>
      </c>
      <c r="GZ120" s="62">
        <f ca="1">AVERAGE(OFFSET($GY$3,0,0,'Données projet'!$E$18+1,1))-AVERAGE(OFFSET($H$3,0,0,'Données projet'!$E$18+1,1))</f>
        <v>420.2510366318939</v>
      </c>
      <c r="HA120" s="62">
        <f t="shared" si="106"/>
        <v>220.59884411514116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55.158174998446746</v>
      </c>
      <c r="HH120" s="23">
        <f>EXP(-LN(2)/25)*HH119+(1-EXP(-LN(2)/25))/(LN(2)/25)*Calculateur!HC120*Calculateur!HE120*VLOOKUP('Données projet'!$B$18,Paramètres!$A$1:$I$89,3,0)*0.475*44/12</f>
        <v>0</v>
      </c>
      <c r="HI120" s="23">
        <f>EXP(-LN(2)/2)*HI119+(1-EXP(-LN(2)/2))/(LN(2)/2)*HC120*HF120*VLOOKUP('Données projet'!$B$18,Paramètres!$A$1:$I$89,3,0)*0.475*44/12</f>
        <v>0</v>
      </c>
      <c r="HJ120" s="24">
        <f t="shared" si="84"/>
        <v>55.158174998446746</v>
      </c>
    </row>
    <row r="121" spans="1:218" s="5" customFormat="1" x14ac:dyDescent="0.2">
      <c r="A121" s="11">
        <f t="shared" si="85"/>
        <v>118</v>
      </c>
      <c r="B121" s="74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-4.5474735088646412E-13</v>
      </c>
      <c r="O121" s="14">
        <f>N121*VLOOKUP('Données projet'!$B$9,Paramètres!$A$1:$I$89,3,0)*VLOOKUP('Données projet'!$B$9,Paramètres!$A$1:$I$89,5,0)</f>
        <v>-3.9017322706058626E-13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623.31285537237943</v>
      </c>
      <c r="T121" s="62">
        <f t="shared" si="88"/>
        <v>462.33909258902241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196.98146464718582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196.98146464718582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projet'!$B$10,Paramètres!$A$1:$I$89,3,0)*VLOOKUP('Données projet'!$B$10,Paramètres!$A$1:$I$89,5,0)</f>
        <v>4.9658410716801891E-14</v>
      </c>
      <c r="AK121" s="14">
        <f t="shared" si="89"/>
        <v>8.0934058173791862E-13</v>
      </c>
      <c r="AL121" s="22">
        <f t="shared" si="58"/>
        <v>1.4960899118586383E-12</v>
      </c>
      <c r="AM121" s="62">
        <f t="shared" si="59"/>
        <v>293.33333333333479</v>
      </c>
      <c r="AN121" s="62">
        <f ca="1">AVERAGE(OFFSET($AM$3,0,0,'Données projet'!$E$10+1,1))-AVERAGE(OFFSET($H$3,0,0,'Données projet'!$E$10+1,1))</f>
        <v>390.70479111593545</v>
      </c>
      <c r="AO121" s="62">
        <f t="shared" si="90"/>
        <v>374.99493809709708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77.593350732904383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77.593350732904383</v>
      </c>
      <c r="AY121" s="7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5.6843418860808015E-14</v>
      </c>
      <c r="BE121" s="14">
        <f>BD121*VLOOKUP('Données projet'!$B$11,Paramètres!$A$1:$I$89,3,0)*VLOOKUP('Données projet'!$B$11,Paramètres!$A$1:$I$89,5,0)</f>
        <v>4.5224624045658861E-14</v>
      </c>
      <c r="BF121" s="14">
        <f t="shared" si="91"/>
        <v>7.4514601661523691E-13</v>
      </c>
      <c r="BG121" s="22">
        <f t="shared" si="61"/>
        <v>1.3765621991510601E-12</v>
      </c>
      <c r="BH121" s="62">
        <f t="shared" si="62"/>
        <v>293.33333333333468</v>
      </c>
      <c r="BI121" s="62">
        <f ca="1">AVERAGE(OFFSET($BH$3,0,0,'Données projet'!$E$11+1,1))-AVERAGE(OFFSET($H$3,0,0,'Données projet'!$E$11+1,1))</f>
        <v>359.18294335011535</v>
      </c>
      <c r="BJ121" s="62">
        <f t="shared" si="92"/>
        <v>345.47508134331241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70.665372988895058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70.665372988895058</v>
      </c>
      <c r="BT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5.6843418860808015E-14</v>
      </c>
      <c r="BZ121" s="14">
        <f>BY121*VLOOKUP('Données projet'!$B$12,Paramètres!$A$1:$I$89,3,0)*VLOOKUP('Données projet'!$B$12,Paramètres!$A$1:$I$89,5,0)</f>
        <v>4.1677594708744434E-14</v>
      </c>
      <c r="CA121" s="14">
        <f t="shared" si="93"/>
        <v>6.9326303456159188E-13</v>
      </c>
      <c r="CB121" s="22">
        <f t="shared" si="64"/>
        <v>1.2800215959791691E-12</v>
      </c>
      <c r="CC121" s="62">
        <f t="shared" si="65"/>
        <v>293.33333333333462</v>
      </c>
      <c r="CD121" s="62">
        <f ca="1">AVERAGE(OFFSET($CC$3,0,0,'Données projet'!$E$12+1,1))-AVERAGE(OFFSET($H$3,0,0,'Données projet'!$E$12+1,1))</f>
        <v>333.9187211440219</v>
      </c>
      <c r="CE121" s="62">
        <f t="shared" si="94"/>
        <v>321.81422611044997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52.835634040161622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52.835634040161622</v>
      </c>
      <c r="CO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5.6843418860808015E-14</v>
      </c>
      <c r="CU121" s="18">
        <f>CT121*VLOOKUP('Données projet'!$B$13,Paramètres!$A$1:$I$89,3,0)*VLOOKUP('Données projet'!$B$13,Paramètres!$A$1:$I$89,5,0)</f>
        <v>4.6111381379887463E-14</v>
      </c>
      <c r="CV121" s="14">
        <f t="shared" si="95"/>
        <v>7.5804141040779151E-13</v>
      </c>
      <c r="CW121" s="22">
        <f t="shared" si="67"/>
        <v>1.4005661123635408E-12</v>
      </c>
      <c r="CX121" s="62">
        <f t="shared" si="68"/>
        <v>293.33333333333474</v>
      </c>
      <c r="CY121" s="62">
        <f ca="1">AVERAGE(OFFSET($CX$3,0,0,'Données projet'!$E$13+1,1))-AVERAGE(OFFSET($H$3,0,0,'Données projet'!$E$13+1,1))</f>
        <v>365.492319515595</v>
      </c>
      <c r="CZ121" s="62">
        <f t="shared" si="96"/>
        <v>351.38386928091433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58.456446172093685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58.456446172093685</v>
      </c>
      <c r="DJ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7.9920000000000018</v>
      </c>
      <c r="DO121" s="13">
        <f>IF('Données projet'!$A$166&gt;35,DO120+DN121-DW120,IF(A121&lt;'Données projet'!$A$166,$DL$205^A121,IF(A121='Données projet'!$A$166,'Données projet'!$B$166,DO120+DN121-DW120)))</f>
        <v>360.46800000000059</v>
      </c>
      <c r="DP121" s="18">
        <f>DO121*VLOOKUP('Données projet'!$B$14,Paramètres!$A$1:$I$89,3,0)*VLOOKUP('Données projet'!$B$14,Paramètres!$A$1:$I$89,5,0)</f>
        <v>303.65824320000053</v>
      </c>
      <c r="DQ121" s="14">
        <f t="shared" si="97"/>
        <v>71.942829944913228</v>
      </c>
      <c r="DR121" s="22">
        <f t="shared" si="70"/>
        <v>654.1718690607247</v>
      </c>
      <c r="DS121" s="62">
        <f t="shared" si="71"/>
        <v>947.50520239405796</v>
      </c>
      <c r="DT121" s="62">
        <f ca="1">AVERAGE(OFFSET($DS$3,0,0,'Données projet'!$E$14+1,1))-AVERAGE(OFFSET($H$3,0,0,'Données projet'!$E$14+1,1))</f>
        <v>544.89250424794909</v>
      </c>
      <c r="DU121" s="62">
        <f t="shared" si="98"/>
        <v>253.98688498110715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42.222075752444105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42.222075752444105</v>
      </c>
      <c r="EE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7.9920000000000018</v>
      </c>
      <c r="EJ121" s="13">
        <f>IF('Données projet'!$A$192&gt;35,EJ120+EI121-ER120,IF(A121&lt;'Données projet'!$A$192,$EG$205^A121,IF(A121='Données projet'!$A$192,'Données projet'!$B$192,EJ120+EI121-ER120)))</f>
        <v>360.46800000000059</v>
      </c>
      <c r="EK121" s="18">
        <f>EJ121*VLOOKUP('Données projet'!$B$15,Paramètres!$A$1:$I$89,3,0)*VLOOKUP('Données projet'!$B$15,Paramètres!$A$1:$I$89,5,0)</f>
        <v>326.15144640000051</v>
      </c>
      <c r="EL121" s="14">
        <f t="shared" si="99"/>
        <v>76.631859883081802</v>
      </c>
      <c r="EM121" s="22">
        <f t="shared" si="73"/>
        <v>701.51425844303503</v>
      </c>
      <c r="EN121" s="62">
        <f t="shared" si="74"/>
        <v>994.84759177636829</v>
      </c>
      <c r="EO121" s="62">
        <f ca="1">AVERAGE(OFFSET($EN$3,0,0,'Données projet'!$E$15+1,1))-AVERAGE(OFFSET($H$3,0,0,'Données projet'!$E$15+1,1))</f>
        <v>581.88778927327667</v>
      </c>
      <c r="EP121" s="62">
        <f t="shared" si="100"/>
        <v>269.67340993773422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45.349636919291832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45.349636919291832</v>
      </c>
      <c r="EZ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7.9920000000000018</v>
      </c>
      <c r="FE121" s="13">
        <f>IF('Données projet'!$A$218&gt;35,FE120+FD121-FM120,IF(A121&lt;'Données projet'!$A$218,$FB$205^A121,IF(A121='Données projet'!$A$218,'Données projet'!$B$218,FE120+FD121-FM120)))</f>
        <v>360.46800000000059</v>
      </c>
      <c r="FF121" s="18">
        <f>FE121*VLOOKUP('Données projet'!$B$16,Paramètres!$A$1:$I$89,3,0)*VLOOKUP('Données projet'!$B$16,Paramètres!$A$1:$I$89,5,0)</f>
        <v>365.51455200000061</v>
      </c>
      <c r="FG121" s="14">
        <f t="shared" si="101"/>
        <v>84.749009866498071</v>
      </c>
      <c r="FH121" s="22">
        <f t="shared" si="76"/>
        <v>784.20903691748515</v>
      </c>
      <c r="FI121" s="62">
        <f t="shared" si="77"/>
        <v>1077.5423702508185</v>
      </c>
      <c r="FJ121" s="62">
        <f ca="1">AVERAGE(OFFSET($FI$3,0,0,'Données projet'!$E$16+1,1))-AVERAGE(OFFSET($H$3,0,0,'Données projet'!$E$16+1,1))</f>
        <v>646.50767193970182</v>
      </c>
      <c r="FK121" s="62">
        <f t="shared" si="102"/>
        <v>297.06786598620607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50.822868961275326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50.822868961275326</v>
      </c>
      <c r="FU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7.9920000000000018</v>
      </c>
      <c r="FZ121" s="13">
        <f>IF('Données projet'!$A$244&gt;35,FZ120+FY121-GH120,IF(A121&lt;'Données projet'!$A$244,$FW$205^A121,IF(A121='Données projet'!$A$244,'Données projet'!$B$244,FZ120+FY121-GH120)))</f>
        <v>360.46800000000059</v>
      </c>
      <c r="GA121" s="18">
        <f>FZ121*VLOOKUP('Données projet'!$B$17,Paramètres!$A$1:$I$89,3,0)*VLOOKUP('Données projet'!$B$17,Paramètres!$A$1:$I$89,5,0)</f>
        <v>241.80193440000039</v>
      </c>
      <c r="GB121" s="14">
        <f t="shared" si="103"/>
        <v>58.827056507048894</v>
      </c>
      <c r="GC121" s="22">
        <f t="shared" si="79"/>
        <v>523.59549249644408</v>
      </c>
      <c r="GD121" s="62">
        <f t="shared" si="80"/>
        <v>816.92882582977745</v>
      </c>
      <c r="GE121" s="62">
        <f ca="1">AVERAGE(OFFSET($GD$3,0,0,'Données projet'!$E$17+1,1))-AVERAGE(OFFSET($H$3,0,0,'Données projet'!$E$17+1,1))</f>
        <v>442.85175349826028</v>
      </c>
      <c r="GF121" s="62">
        <f t="shared" si="104"/>
        <v>210.70697808232501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41.440185460732188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41.440185460732188</v>
      </c>
      <c r="GP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4.4000000000000004</v>
      </c>
      <c r="GU121" s="13">
        <f>IF('Données projet'!$A$270&gt;35,GU120+GT121-HC120,IF(A121&lt;'Données projet'!$A$270,$GR$205^A121,IF(A121='Données projet'!$A$270,'Données projet'!$B$270,GU120+GT121-HC120)))</f>
        <v>288.1999999999997</v>
      </c>
      <c r="GV121" s="18">
        <f>GU121*VLOOKUP('Données projet'!$B$18,Paramètres!$A$1:$I$89,3,0)*VLOOKUP('Données projet'!$B$18,Paramètres!$A$1:$I$89,5,0)</f>
        <v>274.25111999999973</v>
      </c>
      <c r="GW121" s="14">
        <f t="shared" si="105"/>
        <v>65.750642318280498</v>
      </c>
      <c r="GX121" s="22">
        <f t="shared" si="82"/>
        <v>592.16973603767133</v>
      </c>
      <c r="GY121" s="62">
        <f t="shared" si="83"/>
        <v>885.50306937100459</v>
      </c>
      <c r="GZ121" s="62">
        <f ca="1">AVERAGE(OFFSET($GY$3,0,0,'Données projet'!$E$18+1,1))-AVERAGE(OFFSET($H$3,0,0,'Données projet'!$E$18+1,1))</f>
        <v>420.2510366318939</v>
      </c>
      <c r="HA121" s="62">
        <f t="shared" si="106"/>
        <v>220.59884411514116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54.07655682989197</v>
      </c>
      <c r="HH121" s="23">
        <f>EXP(-LN(2)/25)*HH120+(1-EXP(-LN(2)/25))/(LN(2)/25)*Calculateur!HC121*Calculateur!HE121*VLOOKUP('Données projet'!$B$18,Paramètres!$A$1:$I$89,3,0)*0.475*44/12</f>
        <v>0</v>
      </c>
      <c r="HI121" s="23">
        <f>EXP(-LN(2)/2)*HI120+(1-EXP(-LN(2)/2))/(LN(2)/2)*HC121*HF121*VLOOKUP('Données projet'!$B$18,Paramètres!$A$1:$I$89,3,0)*0.475*44/12</f>
        <v>0</v>
      </c>
      <c r="HJ121" s="24">
        <f t="shared" si="84"/>
        <v>54.07655682989197</v>
      </c>
    </row>
    <row r="122" spans="1:218" s="5" customFormat="1" x14ac:dyDescent="0.2">
      <c r="A122" s="11">
        <f t="shared" si="85"/>
        <v>119</v>
      </c>
      <c r="B122" s="74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-4.5474735088646412E-13</v>
      </c>
      <c r="O122" s="14">
        <f>N122*VLOOKUP('Données projet'!$B$9,Paramètres!$A$1:$I$89,3,0)*VLOOKUP('Données projet'!$B$9,Paramètres!$A$1:$I$89,5,0)</f>
        <v>-3.9017322706058626E-13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623.31285537237943</v>
      </c>
      <c r="T122" s="62">
        <f t="shared" si="88"/>
        <v>462.33909258902241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193.11877827228443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193.11877827228443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projet'!$B$10,Paramètres!$A$1:$I$89,3,0)*VLOOKUP('Données projet'!$B$10,Paramètres!$A$1:$I$89,5,0)</f>
        <v>4.9658410716801891E-14</v>
      </c>
      <c r="AK122" s="14">
        <f t="shared" si="89"/>
        <v>8.0934058173791862E-13</v>
      </c>
      <c r="AL122" s="22">
        <f t="shared" si="58"/>
        <v>1.4960899118586383E-12</v>
      </c>
      <c r="AM122" s="62">
        <f t="shared" si="59"/>
        <v>293.33333333333479</v>
      </c>
      <c r="AN122" s="62">
        <f ca="1">AVERAGE(OFFSET($AM$3,0,0,'Données projet'!$E$10+1,1))-AVERAGE(OFFSET($H$3,0,0,'Données projet'!$E$10+1,1))</f>
        <v>390.70479111593545</v>
      </c>
      <c r="AO122" s="62">
        <f t="shared" si="90"/>
        <v>374.99493809709708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76.071792452302901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76.071792452302901</v>
      </c>
      <c r="AY122" s="7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5.6843418860808015E-14</v>
      </c>
      <c r="BE122" s="14">
        <f>BD122*VLOOKUP('Données projet'!$B$11,Paramètres!$A$1:$I$89,3,0)*VLOOKUP('Données projet'!$B$11,Paramètres!$A$1:$I$89,5,0)</f>
        <v>4.5224624045658861E-14</v>
      </c>
      <c r="BF122" s="14">
        <f t="shared" si="91"/>
        <v>7.4514601661523691E-13</v>
      </c>
      <c r="BG122" s="22">
        <f t="shared" si="61"/>
        <v>1.3765621991510601E-12</v>
      </c>
      <c r="BH122" s="62">
        <f t="shared" si="62"/>
        <v>293.33333333333468</v>
      </c>
      <c r="BI122" s="62">
        <f ca="1">AVERAGE(OFFSET($BH$3,0,0,'Données projet'!$E$11+1,1))-AVERAGE(OFFSET($H$3,0,0,'Données projet'!$E$11+1,1))</f>
        <v>359.18294335011535</v>
      </c>
      <c r="BJ122" s="62">
        <f t="shared" si="92"/>
        <v>345.47508134331241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69.279668126204413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69.279668126204413</v>
      </c>
      <c r="BT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5.6843418860808015E-14</v>
      </c>
      <c r="BZ122" s="14">
        <f>BY122*VLOOKUP('Données projet'!$B$12,Paramètres!$A$1:$I$89,3,0)*VLOOKUP('Données projet'!$B$12,Paramètres!$A$1:$I$89,5,0)</f>
        <v>4.1677594708744434E-14</v>
      </c>
      <c r="CA122" s="14">
        <f t="shared" si="93"/>
        <v>6.9326303456159188E-13</v>
      </c>
      <c r="CB122" s="22">
        <f t="shared" si="64"/>
        <v>1.2800215959791691E-12</v>
      </c>
      <c r="CC122" s="62">
        <f t="shared" si="65"/>
        <v>293.33333333333462</v>
      </c>
      <c r="CD122" s="62">
        <f ca="1">AVERAGE(OFFSET($CC$3,0,0,'Données projet'!$E$12+1,1))-AVERAGE(OFFSET($H$3,0,0,'Données projet'!$E$12+1,1))</f>
        <v>333.9187211440219</v>
      </c>
      <c r="CE122" s="62">
        <f t="shared" si="94"/>
        <v>321.81422611044997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51.799559483188709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51.799559483188709</v>
      </c>
      <c r="CO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5.6843418860808015E-14</v>
      </c>
      <c r="CU122" s="18">
        <f>CT122*VLOOKUP('Données projet'!$B$13,Paramètres!$A$1:$I$89,3,0)*VLOOKUP('Données projet'!$B$13,Paramètres!$A$1:$I$89,5,0)</f>
        <v>4.6111381379887463E-14</v>
      </c>
      <c r="CV122" s="14">
        <f t="shared" si="95"/>
        <v>7.5804141040779151E-13</v>
      </c>
      <c r="CW122" s="22">
        <f t="shared" si="67"/>
        <v>1.4005661123635408E-12</v>
      </c>
      <c r="CX122" s="62">
        <f t="shared" si="68"/>
        <v>293.33333333333474</v>
      </c>
      <c r="CY122" s="62">
        <f ca="1">AVERAGE(OFFSET($CX$3,0,0,'Données projet'!$E$13+1,1))-AVERAGE(OFFSET($H$3,0,0,'Données projet'!$E$13+1,1))</f>
        <v>365.492319515595</v>
      </c>
      <c r="CZ122" s="62">
        <f t="shared" si="96"/>
        <v>351.38386928091433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57.310150917570461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57.310150917570461</v>
      </c>
      <c r="DJ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7.9920000000000018</v>
      </c>
      <c r="DO122" s="13">
        <f>IF('Données projet'!$A$166&gt;35,DO121+DN122-DW121,IF(A122&lt;'Données projet'!$A$166,$DL$205^A122,IF(A122='Données projet'!$A$166,'Données projet'!$B$166,DO121+DN122-DW121)))</f>
        <v>368.4600000000006</v>
      </c>
      <c r="DP122" s="18">
        <f>DO122*VLOOKUP('Données projet'!$B$14,Paramètres!$A$1:$I$89,3,0)*VLOOKUP('Données projet'!$B$14,Paramètres!$A$1:$I$89,5,0)</f>
        <v>310.39070400000054</v>
      </c>
      <c r="DQ122" s="14">
        <f t="shared" si="97"/>
        <v>73.350418735149177</v>
      </c>
      <c r="DR122" s="22">
        <f t="shared" si="70"/>
        <v>668.34912209705237</v>
      </c>
      <c r="DS122" s="62">
        <f t="shared" si="71"/>
        <v>961.68245543038574</v>
      </c>
      <c r="DT122" s="62">
        <f ca="1">AVERAGE(OFFSET($DS$3,0,0,'Données projet'!$E$14+1,1))-AVERAGE(OFFSET($H$3,0,0,'Données projet'!$E$14+1,1))</f>
        <v>544.89250424794909</v>
      </c>
      <c r="DU122" s="62">
        <f t="shared" si="98"/>
        <v>253.98688498110715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41.394126599861998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41.394126599861998</v>
      </c>
      <c r="EE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7.9920000000000018</v>
      </c>
      <c r="EJ122" s="13">
        <f>IF('Données projet'!$A$192&gt;35,EJ121+EI122-ER121,IF(A122&lt;'Données projet'!$A$192,$EG$205^A122,IF(A122='Données projet'!$A$192,'Données projet'!$B$192,EJ121+EI122-ER121)))</f>
        <v>368.4600000000006</v>
      </c>
      <c r="EK122" s="18">
        <f>EJ122*VLOOKUP('Données projet'!$B$15,Paramètres!$A$1:$I$89,3,0)*VLOOKUP('Données projet'!$B$15,Paramètres!$A$1:$I$89,5,0)</f>
        <v>333.38260800000052</v>
      </c>
      <c r="EL122" s="14">
        <f t="shared" si="99"/>
        <v>78.13119132485231</v>
      </c>
      <c r="EM122" s="22">
        <f t="shared" si="73"/>
        <v>716.71986715745197</v>
      </c>
      <c r="EN122" s="62">
        <f t="shared" si="74"/>
        <v>1010.0532004907852</v>
      </c>
      <c r="EO122" s="62">
        <f ca="1">AVERAGE(OFFSET($EN$3,0,0,'Données projet'!$E$15+1,1))-AVERAGE(OFFSET($H$3,0,0,'Données projet'!$E$15+1,1))</f>
        <v>581.88778927327667</v>
      </c>
      <c r="EP122" s="62">
        <f t="shared" si="100"/>
        <v>269.67340993773422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44.46035819985179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44.46035819985179</v>
      </c>
      <c r="EZ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7.9920000000000018</v>
      </c>
      <c r="FE122" s="13">
        <f>IF('Données projet'!$A$218&gt;35,FE121+FD122-FM121,IF(A122&lt;'Données projet'!$A$218,$FB$205^A122,IF(A122='Données projet'!$A$218,'Données projet'!$B$218,FE121+FD122-FM121)))</f>
        <v>368.4600000000006</v>
      </c>
      <c r="FF122" s="18">
        <f>FE122*VLOOKUP('Données projet'!$B$16,Paramètres!$A$1:$I$89,3,0)*VLOOKUP('Données projet'!$B$16,Paramètres!$A$1:$I$89,5,0)</f>
        <v>373.61844000000065</v>
      </c>
      <c r="FG122" s="14">
        <f t="shared" si="101"/>
        <v>86.407156430415824</v>
      </c>
      <c r="FH122" s="22">
        <f t="shared" si="76"/>
        <v>801.21124711630875</v>
      </c>
      <c r="FI122" s="62">
        <f t="shared" si="77"/>
        <v>1094.5445804496421</v>
      </c>
      <c r="FJ122" s="62">
        <f ca="1">AVERAGE(OFFSET($FI$3,0,0,'Données projet'!$E$16+1,1))-AVERAGE(OFFSET($H$3,0,0,'Données projet'!$E$16+1,1))</f>
        <v>646.50767193970182</v>
      </c>
      <c r="FK122" s="62">
        <f t="shared" si="102"/>
        <v>297.06786598620607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49.8262634998339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49.8262634998339</v>
      </c>
      <c r="FU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7.9920000000000018</v>
      </c>
      <c r="FZ122" s="13">
        <f>IF('Données projet'!$A$244&gt;35,FZ121+FY122-GH121,IF(A122&lt;'Données projet'!$A$244,$FW$205^A122,IF(A122='Données projet'!$A$244,'Données projet'!$B$244,FZ121+FY122-GH121)))</f>
        <v>368.4600000000006</v>
      </c>
      <c r="GA122" s="18">
        <f>FZ122*VLOOKUP('Données projet'!$B$17,Paramètres!$A$1:$I$89,3,0)*VLOOKUP('Données projet'!$B$17,Paramètres!$A$1:$I$89,5,0)</f>
        <v>247.16296800000043</v>
      </c>
      <c r="GB122" s="14">
        <f t="shared" si="103"/>
        <v>59.978030208879936</v>
      </c>
      <c r="GC122" s="22">
        <f t="shared" si="79"/>
        <v>534.93723854713335</v>
      </c>
      <c r="GD122" s="62">
        <f t="shared" si="80"/>
        <v>828.2705718804666</v>
      </c>
      <c r="GE122" s="62">
        <f ca="1">AVERAGE(OFFSET($GD$3,0,0,'Données projet'!$E$17+1,1))-AVERAGE(OFFSET($H$3,0,0,'Données projet'!$E$17+1,1))</f>
        <v>442.85175349826028</v>
      </c>
      <c r="GF122" s="62">
        <f t="shared" si="104"/>
        <v>210.70697808232501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40.627568699864561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40.627568699864561</v>
      </c>
      <c r="GP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4.4000000000000004</v>
      </c>
      <c r="GU122" s="13">
        <f>IF('Données projet'!$A$270&gt;35,GU121+GT122-HC121,IF(A122&lt;'Données projet'!$A$270,$GR$205^A122,IF(A122='Données projet'!$A$270,'Données projet'!$B$270,GU121+GT122-HC121)))</f>
        <v>292.59999999999968</v>
      </c>
      <c r="GV122" s="18">
        <f>GU122*VLOOKUP('Données projet'!$B$18,Paramètres!$A$1:$I$89,3,0)*VLOOKUP('Données projet'!$B$18,Paramètres!$A$1:$I$89,5,0)</f>
        <v>278.4381599999997</v>
      </c>
      <c r="GW122" s="14">
        <f t="shared" si="105"/>
        <v>66.636839817348346</v>
      </c>
      <c r="GX122" s="22">
        <f t="shared" si="82"/>
        <v>601.00562468188116</v>
      </c>
      <c r="GY122" s="62">
        <f t="shared" si="83"/>
        <v>894.33895801521453</v>
      </c>
      <c r="GZ122" s="62">
        <f ca="1">AVERAGE(OFFSET($GY$3,0,0,'Données projet'!$E$18+1,1))-AVERAGE(OFFSET($H$3,0,0,'Données projet'!$E$18+1,1))</f>
        <v>420.2510366318939</v>
      </c>
      <c r="HA122" s="62">
        <f t="shared" si="106"/>
        <v>220.59884411514116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53.016148533900612</v>
      </c>
      <c r="HH122" s="23">
        <f>EXP(-LN(2)/25)*HH121+(1-EXP(-LN(2)/25))/(LN(2)/25)*Calculateur!HC122*Calculateur!HE122*VLOOKUP('Données projet'!$B$18,Paramètres!$A$1:$I$89,3,0)*0.475*44/12</f>
        <v>0</v>
      </c>
      <c r="HI122" s="23">
        <f>EXP(-LN(2)/2)*HI121+(1-EXP(-LN(2)/2))/(LN(2)/2)*HC122*HF122*VLOOKUP('Données projet'!$B$18,Paramètres!$A$1:$I$89,3,0)*0.475*44/12</f>
        <v>0</v>
      </c>
      <c r="HJ122" s="24">
        <f t="shared" si="84"/>
        <v>53.016148533900612</v>
      </c>
    </row>
    <row r="123" spans="1:218" s="5" customFormat="1" x14ac:dyDescent="0.2">
      <c r="A123" s="11">
        <f t="shared" si="85"/>
        <v>120</v>
      </c>
      <c r="B123" s="74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-4.5474735088646412E-13</v>
      </c>
      <c r="O123" s="14">
        <f>N123*VLOOKUP('Données projet'!$B$9,Paramètres!$A$1:$I$89,3,0)*VLOOKUP('Données projet'!$B$9,Paramètres!$A$1:$I$89,5,0)</f>
        <v>-3.9017322706058626E-13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623.31285537237943</v>
      </c>
      <c r="T123" s="62">
        <f t="shared" si="88"/>
        <v>462.33909258902241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189.3318368211888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189.3318368211888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projet'!$B$10,Paramètres!$A$1:$I$89,3,0)*VLOOKUP('Données projet'!$B$10,Paramètres!$A$1:$I$89,5,0)</f>
        <v>4.9658410716801891E-14</v>
      </c>
      <c r="AK123" s="14">
        <f t="shared" si="89"/>
        <v>8.0934058173791862E-13</v>
      </c>
      <c r="AL123" s="22">
        <f t="shared" si="58"/>
        <v>1.4960899118586383E-12</v>
      </c>
      <c r="AM123" s="62">
        <f t="shared" si="59"/>
        <v>293.33333333333479</v>
      </c>
      <c r="AN123" s="62">
        <f ca="1">AVERAGE(OFFSET($AM$3,0,0,'Données projet'!$E$10+1,1))-AVERAGE(OFFSET($H$3,0,0,'Données projet'!$E$10+1,1))</f>
        <v>390.70479111593545</v>
      </c>
      <c r="AO123" s="62">
        <f t="shared" si="90"/>
        <v>374.99493809709708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74.580071001525098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74.580071001525098</v>
      </c>
      <c r="AY123" s="7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5.6843418860808015E-14</v>
      </c>
      <c r="BE123" s="14">
        <f>BD123*VLOOKUP('Données projet'!$B$11,Paramètres!$A$1:$I$89,3,0)*VLOOKUP('Données projet'!$B$11,Paramètres!$A$1:$I$89,5,0)</f>
        <v>4.5224624045658861E-14</v>
      </c>
      <c r="BF123" s="14">
        <f t="shared" si="91"/>
        <v>7.4514601661523691E-13</v>
      </c>
      <c r="BG123" s="22">
        <f t="shared" si="61"/>
        <v>1.3765621991510601E-12</v>
      </c>
      <c r="BH123" s="62">
        <f t="shared" si="62"/>
        <v>293.33333333333468</v>
      </c>
      <c r="BI123" s="62">
        <f ca="1">AVERAGE(OFFSET($BH$3,0,0,'Données projet'!$E$11+1,1))-AVERAGE(OFFSET($H$3,0,0,'Données projet'!$E$11+1,1))</f>
        <v>359.18294335011535</v>
      </c>
      <c r="BJ123" s="62">
        <f t="shared" si="92"/>
        <v>345.47508134331241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67.921136090674622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67.921136090674622</v>
      </c>
      <c r="BT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5.6843418860808015E-14</v>
      </c>
      <c r="BZ123" s="14">
        <f>BY123*VLOOKUP('Données projet'!$B$12,Paramètres!$A$1:$I$89,3,0)*VLOOKUP('Données projet'!$B$12,Paramètres!$A$1:$I$89,5,0)</f>
        <v>4.1677594708744434E-14</v>
      </c>
      <c r="CA123" s="14">
        <f t="shared" si="93"/>
        <v>6.9326303456159188E-13</v>
      </c>
      <c r="CB123" s="22">
        <f t="shared" si="64"/>
        <v>1.2800215959791691E-12</v>
      </c>
      <c r="CC123" s="62">
        <f t="shared" si="65"/>
        <v>293.33333333333462</v>
      </c>
      <c r="CD123" s="62">
        <f ca="1">AVERAGE(OFFSET($CC$3,0,0,'Données projet'!$E$12+1,1))-AVERAGE(OFFSET($H$3,0,0,'Données projet'!$E$12+1,1))</f>
        <v>333.9187211440219</v>
      </c>
      <c r="CE123" s="62">
        <f t="shared" si="94"/>
        <v>321.81422611044997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50.783801716334956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50.783801716334956</v>
      </c>
      <c r="CO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5.6843418860808015E-14</v>
      </c>
      <c r="CU123" s="18">
        <f>CT123*VLOOKUP('Données projet'!$B$13,Paramètres!$A$1:$I$89,3,0)*VLOOKUP('Données projet'!$B$13,Paramètres!$A$1:$I$89,5,0)</f>
        <v>4.6111381379887463E-14</v>
      </c>
      <c r="CV123" s="14">
        <f t="shared" si="95"/>
        <v>7.5804141040779151E-13</v>
      </c>
      <c r="CW123" s="22">
        <f t="shared" si="67"/>
        <v>1.4005661123635408E-12</v>
      </c>
      <c r="CX123" s="62">
        <f t="shared" si="68"/>
        <v>293.33333333333474</v>
      </c>
      <c r="CY123" s="62">
        <f ca="1">AVERAGE(OFFSET($CX$3,0,0,'Données projet'!$E$13+1,1))-AVERAGE(OFFSET($H$3,0,0,'Données projet'!$E$13+1,1))</f>
        <v>365.492319515595</v>
      </c>
      <c r="CZ123" s="62">
        <f t="shared" si="96"/>
        <v>351.38386928091433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56.18633381381737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56.18633381381737</v>
      </c>
      <c r="DJ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7.9920000000000018</v>
      </c>
      <c r="DO123" s="13">
        <f>IF('Données projet'!$A$166&gt;35,DO122+DN123-DW122,IF(A123&lt;'Données projet'!$A$166,$DL$205^A123,IF(A123='Données projet'!$A$166,'Données projet'!$B$166,DO122+DN123-DW122)))</f>
        <v>376.45200000000062</v>
      </c>
      <c r="DP123" s="18">
        <f>DO123*VLOOKUP('Données projet'!$B$14,Paramètres!$A$1:$I$89,3,0)*VLOOKUP('Données projet'!$B$14,Paramètres!$A$1:$I$89,5,0)</f>
        <v>317.12316480000055</v>
      </c>
      <c r="DQ123" s="14">
        <f t="shared" si="97"/>
        <v>74.754457906092398</v>
      </c>
      <c r="DR123" s="22">
        <f t="shared" si="70"/>
        <v>682.52019287977851</v>
      </c>
      <c r="DS123" s="62">
        <f t="shared" si="71"/>
        <v>975.85352621311176</v>
      </c>
      <c r="DT123" s="62">
        <f ca="1">AVERAGE(OFFSET($DS$3,0,0,'Données projet'!$E$14+1,1))-AVERAGE(OFFSET($H$3,0,0,'Données projet'!$E$14+1,1))</f>
        <v>544.89250424794909</v>
      </c>
      <c r="DU123" s="62">
        <f t="shared" si="98"/>
        <v>253.98688498110715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40.582413025162907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40.582413025162907</v>
      </c>
      <c r="EE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7.9920000000000018</v>
      </c>
      <c r="EJ123" s="13">
        <f>IF('Données projet'!$A$192&gt;35,EJ122+EI123-ER122,IF(A123&lt;'Données projet'!$A$192,$EG$205^A123,IF(A123='Données projet'!$A$192,'Données projet'!$B$192,EJ122+EI123-ER122)))</f>
        <v>376.45200000000062</v>
      </c>
      <c r="EK123" s="18">
        <f>EJ123*VLOOKUP('Données projet'!$B$15,Paramètres!$A$1:$I$89,3,0)*VLOOKUP('Données projet'!$B$15,Paramètres!$A$1:$I$89,5,0)</f>
        <v>340.61376960000058</v>
      </c>
      <c r="EL123" s="14">
        <f t="shared" si="99"/>
        <v>79.626741793195919</v>
      </c>
      <c r="EM123" s="22">
        <f t="shared" si="73"/>
        <v>731.9188906764839</v>
      </c>
      <c r="EN123" s="62">
        <f t="shared" si="74"/>
        <v>1025.2522240098172</v>
      </c>
      <c r="EO123" s="62">
        <f ca="1">AVERAGE(OFFSET($EN$3,0,0,'Données projet'!$E$15+1,1))-AVERAGE(OFFSET($H$3,0,0,'Données projet'!$E$15+1,1))</f>
        <v>581.88778927327667</v>
      </c>
      <c r="EP123" s="62">
        <f t="shared" si="100"/>
        <v>269.67340993773422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43.588517693693504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43.588517693693504</v>
      </c>
      <c r="EZ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7.9920000000000018</v>
      </c>
      <c r="FE123" s="13">
        <f>IF('Données projet'!$A$218&gt;35,FE122+FD123-FM122,IF(A123&lt;'Données projet'!$A$218,$FB$205^A123,IF(A123='Données projet'!$A$218,'Données projet'!$B$218,FE122+FD123-FM122)))</f>
        <v>376.45200000000062</v>
      </c>
      <c r="FF123" s="18">
        <f>FE123*VLOOKUP('Données projet'!$B$16,Paramètres!$A$1:$I$89,3,0)*VLOOKUP('Données projet'!$B$16,Paramètres!$A$1:$I$89,5,0)</f>
        <v>381.72232800000063</v>
      </c>
      <c r="FG123" s="14">
        <f t="shared" si="101"/>
        <v>88.061121525232409</v>
      </c>
      <c r="FH123" s="22">
        <f t="shared" si="76"/>
        <v>818.20617458978086</v>
      </c>
      <c r="FI123" s="62">
        <f t="shared" si="77"/>
        <v>1111.5395079231141</v>
      </c>
      <c r="FJ123" s="62">
        <f ca="1">AVERAGE(OFFSET($FI$3,0,0,'Données projet'!$E$16+1,1))-AVERAGE(OFFSET($H$3,0,0,'Données projet'!$E$16+1,1))</f>
        <v>646.50767193970182</v>
      </c>
      <c r="FK123" s="62">
        <f t="shared" si="102"/>
        <v>297.06786598620607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48.849200863622031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48.849200863622031</v>
      </c>
      <c r="FU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7.9920000000000018</v>
      </c>
      <c r="FZ123" s="13">
        <f>IF('Données projet'!$A$244&gt;35,FZ122+FY123-GH122,IF(A123&lt;'Données projet'!$A$244,$FW$205^A123,IF(A123='Données projet'!$A$244,'Données projet'!$B$244,FZ122+FY123-GH122)))</f>
        <v>376.45200000000062</v>
      </c>
      <c r="GA123" s="18">
        <f>FZ123*VLOOKUP('Données projet'!$B$17,Paramètres!$A$1:$I$89,3,0)*VLOOKUP('Données projet'!$B$17,Paramètres!$A$1:$I$89,5,0)</f>
        <v>252.52400160000039</v>
      </c>
      <c r="GB123" s="14">
        <f t="shared" si="103"/>
        <v>61.126101416398889</v>
      </c>
      <c r="GC123" s="22">
        <f t="shared" si="79"/>
        <v>546.27392942022868</v>
      </c>
      <c r="GD123" s="62">
        <f t="shared" si="80"/>
        <v>839.60726275356205</v>
      </c>
      <c r="GE123" s="62">
        <f ca="1">AVERAGE(OFFSET($GD$3,0,0,'Données projet'!$E$17+1,1))-AVERAGE(OFFSET($H$3,0,0,'Données projet'!$E$17+1,1))</f>
        <v>442.85175349826028</v>
      </c>
      <c r="GF123" s="62">
        <f t="shared" si="104"/>
        <v>210.70697808232501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39.830886858030269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39.830886858030269</v>
      </c>
      <c r="GP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>
        <f>VLOOKUP(A123,'Données projet'!$A$269:$I$289,2,0)</f>
        <v>297</v>
      </c>
      <c r="GS123" s="13">
        <f>VLOOKUP(A123,'Données projet'!$A$269:$I$289,9,0)</f>
        <v>4.4000000000000004</v>
      </c>
      <c r="GT123" s="13">
        <f t="array" ref="GT123">INDEX(GS:GS,MIN(IF(ISNUMBER(GS123:GS319),ROW(GS123:GS319),"")))</f>
        <v>4.4000000000000004</v>
      </c>
      <c r="GU123" s="13">
        <f>IF('Données projet'!$A$270&gt;35,GU122+GT123-HC122,IF(A123&lt;'Données projet'!$A$270,$GR$205^A123,IF(A123='Données projet'!$A$270,'Données projet'!$B$270,GU122+GT123-HC122)))</f>
        <v>296.99999999999966</v>
      </c>
      <c r="GV123" s="18">
        <f>GU123*VLOOKUP('Données projet'!$B$18,Paramètres!$A$1:$I$89,3,0)*VLOOKUP('Données projet'!$B$18,Paramètres!$A$1:$I$89,5,0)</f>
        <v>282.62519999999967</v>
      </c>
      <c r="GW123" s="14">
        <f t="shared" si="105"/>
        <v>67.521487432655803</v>
      </c>
      <c r="GX123" s="22">
        <f t="shared" si="82"/>
        <v>609.83881394520824</v>
      </c>
      <c r="GY123" s="62">
        <f t="shared" si="83"/>
        <v>903.17214727854162</v>
      </c>
      <c r="GZ123" s="62">
        <f ca="1">AVERAGE(OFFSET($GY$3,0,0,'Données projet'!$E$18+1,1))-AVERAGE(OFFSET($H$3,0,0,'Données projet'!$E$18+1,1))</f>
        <v>420.2510366318939</v>
      </c>
      <c r="HA123" s="62">
        <f t="shared" si="106"/>
        <v>220.59884411514116</v>
      </c>
      <c r="HB123" s="16">
        <f>IF(ISNA(VLOOKUP(A123,'Données projet'!$A$269:$I$289,3,0)),0,VLOOKUP(A123,'Données projet'!$A$269:$I$289,3,0))</f>
        <v>19</v>
      </c>
      <c r="HC123" s="16">
        <f>IF(ISNA(VLOOKUP(A123,'Données projet'!$A$269:$I$289,4,0)),0,VLOOKUP(A123,'Données projet'!$A$269:$I$289,4,0))</f>
        <v>19</v>
      </c>
      <c r="HD123" s="17">
        <f>IF(ISNA(VLOOKUP(A123,'Données projet'!$A$269:$I$289,5,0)),0%,VLOOKUP(A123,'Données projet'!$A$269:$I$289,5,0)*VLOOKUP('Données projet'!$B$18,Paramètres!$A$1:$I$89,7,0))</f>
        <v>0.34400000000000003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58.852181445445446</v>
      </c>
      <c r="HH123" s="23">
        <f>EXP(-LN(2)/25)*HH122+(1-EXP(-LN(2)/25))/(LN(2)/25)*Calculateur!HC123*Calculateur!HE123*VLOOKUP('Données projet'!$B$18,Paramètres!$A$1:$I$89,3,0)*0.475*44/12</f>
        <v>0</v>
      </c>
      <c r="HI123" s="23">
        <f>EXP(-LN(2)/2)*HI122+(1-EXP(-LN(2)/2))/(LN(2)/2)*HC123*HF123*VLOOKUP('Données projet'!$B$18,Paramètres!$A$1:$I$89,3,0)*0.475*44/12</f>
        <v>0</v>
      </c>
      <c r="HJ123" s="24">
        <f t="shared" si="84"/>
        <v>58.852181445445446</v>
      </c>
    </row>
    <row r="124" spans="1:218" s="5" customFormat="1" x14ac:dyDescent="0.2">
      <c r="A124" s="11">
        <f t="shared" si="85"/>
        <v>121</v>
      </c>
      <c r="B124" s="74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-4.5474735088646412E-13</v>
      </c>
      <c r="O124" s="14">
        <f>N124*VLOOKUP('Données projet'!$B$9,Paramètres!$A$1:$I$89,3,0)*VLOOKUP('Données projet'!$B$9,Paramètres!$A$1:$I$89,5,0)</f>
        <v>-3.9017322706058626E-13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623.31285537237943</v>
      </c>
      <c r="T124" s="62">
        <f t="shared" si="88"/>
        <v>462.33909258902241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185.61915498214296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185.61915498214296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4.9658410716801891E-14</v>
      </c>
      <c r="AK124" s="14">
        <f t="shared" si="89"/>
        <v>8.0934058173791862E-13</v>
      </c>
      <c r="AL124" s="22">
        <f t="shared" si="58"/>
        <v>1.4960899118586383E-12</v>
      </c>
      <c r="AM124" s="62">
        <f t="shared" si="59"/>
        <v>293.33333333333479</v>
      </c>
      <c r="AN124" s="62">
        <f ca="1">AVERAGE(OFFSET($AM$3,0,0,'Données projet'!$E$10+1,1))-AVERAGE(OFFSET($H$3,0,0,'Données projet'!$E$10+1,1))</f>
        <v>390.70479111593545</v>
      </c>
      <c r="AO124" s="62">
        <f t="shared" si="90"/>
        <v>374.99493809709708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73.117601298536798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73.117601298536798</v>
      </c>
      <c r="AY124" s="7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5.6843418860808015E-14</v>
      </c>
      <c r="BE124" s="14">
        <f>BD124*VLOOKUP('Données projet'!$B$11,Paramètres!$A$1:$I$89,3,0)*VLOOKUP('Données projet'!$B$11,Paramètres!$A$1:$I$89,5,0)</f>
        <v>4.5224624045658861E-14</v>
      </c>
      <c r="BF124" s="14">
        <f t="shared" si="91"/>
        <v>7.4514601661523691E-13</v>
      </c>
      <c r="BG124" s="22">
        <f t="shared" si="61"/>
        <v>1.3765621991510601E-12</v>
      </c>
      <c r="BH124" s="62">
        <f t="shared" si="62"/>
        <v>293.33333333333468</v>
      </c>
      <c r="BI124" s="62">
        <f ca="1">AVERAGE(OFFSET($BH$3,0,0,'Données projet'!$E$11+1,1))-AVERAGE(OFFSET($H$3,0,0,'Données projet'!$E$11+1,1))</f>
        <v>359.18294335011535</v>
      </c>
      <c r="BJ124" s="62">
        <f t="shared" si="92"/>
        <v>345.47508134331241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66.589244039738858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66.589244039738858</v>
      </c>
      <c r="BT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5.6843418860808015E-14</v>
      </c>
      <c r="BZ124" s="14">
        <f>BY124*VLOOKUP('Données projet'!$B$12,Paramètres!$A$1:$I$89,3,0)*VLOOKUP('Données projet'!$B$12,Paramètres!$A$1:$I$89,5,0)</f>
        <v>4.1677594708744434E-14</v>
      </c>
      <c r="CA124" s="14">
        <f t="shared" si="93"/>
        <v>6.9326303456159188E-13</v>
      </c>
      <c r="CB124" s="22">
        <f t="shared" si="64"/>
        <v>1.2800215959791691E-12</v>
      </c>
      <c r="CC124" s="62">
        <f t="shared" si="65"/>
        <v>293.33333333333462</v>
      </c>
      <c r="CD124" s="62">
        <f ca="1">AVERAGE(OFFSET($CC$3,0,0,'Données projet'!$E$12+1,1))-AVERAGE(OFFSET($H$3,0,0,'Données projet'!$E$12+1,1))</f>
        <v>333.9187211440219</v>
      </c>
      <c r="CE124" s="62">
        <f t="shared" si="94"/>
        <v>321.81422611044997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49.787962339738144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49.787962339738144</v>
      </c>
      <c r="CO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5.6843418860808015E-14</v>
      </c>
      <c r="CU124" s="18">
        <f>CT124*VLOOKUP('Données projet'!$B$13,Paramètres!$A$1:$I$89,3,0)*VLOOKUP('Données projet'!$B$13,Paramètres!$A$1:$I$89,5,0)</f>
        <v>4.6111381379887463E-14</v>
      </c>
      <c r="CV124" s="14">
        <f t="shared" si="95"/>
        <v>7.5804141040779151E-13</v>
      </c>
      <c r="CW124" s="22">
        <f t="shared" si="67"/>
        <v>1.4005661123635408E-12</v>
      </c>
      <c r="CX124" s="62">
        <f t="shared" si="68"/>
        <v>293.33333333333474</v>
      </c>
      <c r="CY124" s="62">
        <f ca="1">AVERAGE(OFFSET($CX$3,0,0,'Données projet'!$E$13+1,1))-AVERAGE(OFFSET($H$3,0,0,'Données projet'!$E$13+1,1))</f>
        <v>365.492319515595</v>
      </c>
      <c r="CZ124" s="62">
        <f t="shared" si="96"/>
        <v>351.38386928091433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55.084554078008132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55.084554078008132</v>
      </c>
      <c r="DJ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7.9920000000000018</v>
      </c>
      <c r="DO124" s="13">
        <f>IF('Données projet'!$A$166&gt;35,DO123+DN124-DW123,IF(A124&lt;'Données projet'!$A$166,$DL$205^A124,IF(A124='Données projet'!$A$166,'Données projet'!$B$166,DO123+DN124-DW123)))</f>
        <v>384.44400000000064</v>
      </c>
      <c r="DP124" s="18">
        <f>DO124*VLOOKUP('Données projet'!$B$14,Paramètres!$A$1:$I$89,3,0)*VLOOKUP('Données projet'!$B$14,Paramètres!$A$1:$I$89,5,0)</f>
        <v>323.85562560000056</v>
      </c>
      <c r="DQ124" s="14">
        <f t="shared" si="97"/>
        <v>76.155031495966227</v>
      </c>
      <c r="DR124" s="22">
        <f t="shared" si="70"/>
        <v>696.68522777547548</v>
      </c>
      <c r="DS124" s="62">
        <f t="shared" si="71"/>
        <v>990.01856110880885</v>
      </c>
      <c r="DT124" s="62">
        <f ca="1">AVERAGE(OFFSET($DS$3,0,0,'Données projet'!$E$14+1,1))-AVERAGE(OFFSET($H$3,0,0,'Données projet'!$E$14+1,1))</f>
        <v>544.89250424794909</v>
      </c>
      <c r="DU124" s="62">
        <f t="shared" si="98"/>
        <v>253.98688498110715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39.786616658567269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39.786616658567269</v>
      </c>
      <c r="EE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7.9920000000000018</v>
      </c>
      <c r="EJ124" s="13">
        <f>IF('Données projet'!$A$192&gt;35,EJ123+EI124-ER123,IF(A124&lt;'Données projet'!$A$192,$EG$205^A124,IF(A124='Données projet'!$A$192,'Données projet'!$B$192,EJ123+EI124-ER123)))</f>
        <v>384.44400000000064</v>
      </c>
      <c r="EK124" s="18">
        <f>EJ124*VLOOKUP('Données projet'!$B$15,Paramètres!$A$1:$I$89,3,0)*VLOOKUP('Données projet'!$B$15,Paramètres!$A$1:$I$89,5,0)</f>
        <v>347.84493120000059</v>
      </c>
      <c r="EL124" s="14">
        <f t="shared" si="99"/>
        <v>81.11860080370937</v>
      </c>
      <c r="EM124" s="22">
        <f t="shared" si="73"/>
        <v>747.11148490646144</v>
      </c>
      <c r="EN124" s="62">
        <f t="shared" si="74"/>
        <v>1040.4448182397948</v>
      </c>
      <c r="EO124" s="62">
        <f ca="1">AVERAGE(OFFSET($EN$3,0,0,'Données projet'!$E$15+1,1))-AVERAGE(OFFSET($H$3,0,0,'Données projet'!$E$15+1,1))</f>
        <v>581.88778927327667</v>
      </c>
      <c r="EP124" s="62">
        <f t="shared" si="100"/>
        <v>269.67340993773422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42.73377344809078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42.73377344809078</v>
      </c>
      <c r="EZ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7.9920000000000018</v>
      </c>
      <c r="FE124" s="13">
        <f>IF('Données projet'!$A$218&gt;35,FE123+FD124-FM123,IF(A124&lt;'Données projet'!$A$218,$FB$205^A124,IF(A124='Données projet'!$A$218,'Données projet'!$B$218,FE123+FD124-FM123)))</f>
        <v>384.44400000000064</v>
      </c>
      <c r="FF124" s="18">
        <f>FE124*VLOOKUP('Données projet'!$B$16,Paramètres!$A$1:$I$89,3,0)*VLOOKUP('Données projet'!$B$16,Paramètres!$A$1:$I$89,5,0)</f>
        <v>389.82621600000067</v>
      </c>
      <c r="FG124" s="14">
        <f t="shared" si="101"/>
        <v>89.711004148391098</v>
      </c>
      <c r="FH124" s="22">
        <f t="shared" si="76"/>
        <v>835.19399175844899</v>
      </c>
      <c r="FI124" s="62">
        <f t="shared" si="77"/>
        <v>1128.5273250917824</v>
      </c>
      <c r="FJ124" s="62">
        <f ca="1">AVERAGE(OFFSET($FI$3,0,0,'Données projet'!$E$16+1,1))-AVERAGE(OFFSET($H$3,0,0,'Données projet'!$E$16+1,1))</f>
        <v>646.50767193970182</v>
      </c>
      <c r="FK124" s="62">
        <f t="shared" si="102"/>
        <v>297.06786598620607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47.891297829756908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47.891297829756908</v>
      </c>
      <c r="FU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7.9920000000000018</v>
      </c>
      <c r="FZ124" s="13">
        <f>IF('Données projet'!$A$244&gt;35,FZ123+FY124-GH123,IF(A124&lt;'Données projet'!$A$244,$FW$205^A124,IF(A124='Données projet'!$A$244,'Données projet'!$B$244,FZ123+FY124-GH123)))</f>
        <v>384.44400000000064</v>
      </c>
      <c r="GA124" s="18">
        <f>FZ124*VLOOKUP('Données projet'!$B$17,Paramètres!$A$1:$I$89,3,0)*VLOOKUP('Données projet'!$B$17,Paramètres!$A$1:$I$89,5,0)</f>
        <v>257.8850352000004</v>
      </c>
      <c r="GB124" s="14">
        <f t="shared" si="103"/>
        <v>62.271338846965236</v>
      </c>
      <c r="GC124" s="22">
        <f t="shared" si="79"/>
        <v>557.60568479846518</v>
      </c>
      <c r="GD124" s="62">
        <f t="shared" si="80"/>
        <v>850.93901813179855</v>
      </c>
      <c r="GE124" s="62">
        <f ca="1">AVERAGE(OFFSET($GD$3,0,0,'Données projet'!$E$17+1,1))-AVERAGE(OFFSET($H$3,0,0,'Données projet'!$E$17+1,1))</f>
        <v>442.85175349826028</v>
      </c>
      <c r="GF124" s="62">
        <f t="shared" si="104"/>
        <v>210.70697808232501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39.049827461186403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39.049827461186403</v>
      </c>
      <c r="GP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4</v>
      </c>
      <c r="GU124" s="13">
        <f>IF('Données projet'!$A$270&gt;35,GU123+GT124-HC123,IF(A124&lt;'Données projet'!$A$270,$GR$205^A124,IF(A124='Données projet'!$A$270,'Données projet'!$B$270,GU123+GT124-HC123)))</f>
        <v>281.99999999999966</v>
      </c>
      <c r="GV124" s="18">
        <f>GU124*VLOOKUP('Données projet'!$B$18,Paramètres!$A$1:$I$89,3,0)*VLOOKUP('Données projet'!$B$18,Paramètres!$A$1:$I$89,5,0)</f>
        <v>268.35119999999966</v>
      </c>
      <c r="GW124" s="14">
        <f t="shared" si="105"/>
        <v>64.499227668096012</v>
      </c>
      <c r="GX124" s="22">
        <f t="shared" si="82"/>
        <v>579.71449485526659</v>
      </c>
      <c r="GY124" s="62">
        <f t="shared" si="83"/>
        <v>873.04782818859985</v>
      </c>
      <c r="GZ124" s="62">
        <f ca="1">AVERAGE(OFFSET($GY$3,0,0,'Données projet'!$E$18+1,1))-AVERAGE(OFFSET($H$3,0,0,'Données projet'!$E$18+1,1))</f>
        <v>420.2510366318939</v>
      </c>
      <c r="HA124" s="62">
        <f t="shared" si="106"/>
        <v>220.59884411514116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57.698126063586479</v>
      </c>
      <c r="HH124" s="23">
        <f>EXP(-LN(2)/25)*HH123+(1-EXP(-LN(2)/25))/(LN(2)/25)*Calculateur!HC124*Calculateur!HE124*VLOOKUP('Données projet'!$B$18,Paramètres!$A$1:$I$89,3,0)*0.475*44/12</f>
        <v>0</v>
      </c>
      <c r="HI124" s="23">
        <f>EXP(-LN(2)/2)*HI123+(1-EXP(-LN(2)/2))/(LN(2)/2)*HC124*HF124*VLOOKUP('Données projet'!$B$18,Paramètres!$A$1:$I$89,3,0)*0.475*44/12</f>
        <v>0</v>
      </c>
      <c r="HJ124" s="24">
        <f t="shared" si="84"/>
        <v>57.698126063586479</v>
      </c>
    </row>
    <row r="125" spans="1:218" s="5" customFormat="1" x14ac:dyDescent="0.2">
      <c r="A125" s="11">
        <f t="shared" si="85"/>
        <v>122</v>
      </c>
      <c r="B125" s="74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-4.5474735088646412E-13</v>
      </c>
      <c r="O125" s="14">
        <f>N125*VLOOKUP('Données projet'!$B$9,Paramètres!$A$1:$I$89,3,0)*VLOOKUP('Données projet'!$B$9,Paramètres!$A$1:$I$89,5,0)</f>
        <v>-3.9017322706058626E-13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623.31285537237943</v>
      </c>
      <c r="T125" s="62">
        <f t="shared" si="88"/>
        <v>462.33909258902241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181.97927656944847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181.97927656944847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4.9658410716801891E-14</v>
      </c>
      <c r="AK125" s="14">
        <f t="shared" si="89"/>
        <v>8.0934058173791862E-13</v>
      </c>
      <c r="AL125" s="22">
        <f t="shared" si="58"/>
        <v>1.4960899118586383E-12</v>
      </c>
      <c r="AM125" s="62">
        <f t="shared" si="59"/>
        <v>293.33333333333479</v>
      </c>
      <c r="AN125" s="62">
        <f ca="1">AVERAGE(OFFSET($AM$3,0,0,'Données projet'!$E$10+1,1))-AVERAGE(OFFSET($H$3,0,0,'Données projet'!$E$10+1,1))</f>
        <v>390.70479111593545</v>
      </c>
      <c r="AO125" s="62">
        <f t="shared" si="90"/>
        <v>374.99493809709708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71.683809734405656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71.683809734405656</v>
      </c>
      <c r="AY125" s="7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5.6843418860808015E-14</v>
      </c>
      <c r="BE125" s="14">
        <f>BD125*VLOOKUP('Données projet'!$B$11,Paramètres!$A$1:$I$89,3,0)*VLOOKUP('Données projet'!$B$11,Paramètres!$A$1:$I$89,5,0)</f>
        <v>4.5224624045658861E-14</v>
      </c>
      <c r="BF125" s="14">
        <f t="shared" si="91"/>
        <v>7.4514601661523691E-13</v>
      </c>
      <c r="BG125" s="22">
        <f t="shared" si="61"/>
        <v>1.3765621991510601E-12</v>
      </c>
      <c r="BH125" s="62">
        <f t="shared" si="62"/>
        <v>293.33333333333468</v>
      </c>
      <c r="BI125" s="62">
        <f ca="1">AVERAGE(OFFSET($BH$3,0,0,'Données projet'!$E$11+1,1))-AVERAGE(OFFSET($H$3,0,0,'Données projet'!$E$11+1,1))</f>
        <v>359.18294335011535</v>
      </c>
      <c r="BJ125" s="62">
        <f t="shared" si="92"/>
        <v>345.47508134331241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65.283469579547997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65.283469579547997</v>
      </c>
      <c r="BT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5.6843418860808015E-14</v>
      </c>
      <c r="BZ125" s="14">
        <f>BY125*VLOOKUP('Données projet'!$B$12,Paramètres!$A$1:$I$89,3,0)*VLOOKUP('Données projet'!$B$12,Paramètres!$A$1:$I$89,5,0)</f>
        <v>4.1677594708744434E-14</v>
      </c>
      <c r="CA125" s="14">
        <f t="shared" si="93"/>
        <v>6.9326303456159188E-13</v>
      </c>
      <c r="CB125" s="22">
        <f t="shared" si="64"/>
        <v>1.2800215959791691E-12</v>
      </c>
      <c r="CC125" s="62">
        <f t="shared" si="65"/>
        <v>293.33333333333462</v>
      </c>
      <c r="CD125" s="62">
        <f ca="1">AVERAGE(OFFSET($CC$3,0,0,'Données projet'!$E$12+1,1))-AVERAGE(OFFSET($H$3,0,0,'Données projet'!$E$12+1,1))</f>
        <v>333.9187211440219</v>
      </c>
      <c r="CE125" s="62">
        <f t="shared" si="94"/>
        <v>321.81422611044997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48.811650765914351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48.811650765914351</v>
      </c>
      <c r="CO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5.6843418860808015E-14</v>
      </c>
      <c r="CU125" s="18">
        <f>CT125*VLOOKUP('Données projet'!$B$13,Paramètres!$A$1:$I$89,3,0)*VLOOKUP('Données projet'!$B$13,Paramètres!$A$1:$I$89,5,0)</f>
        <v>4.6111381379887463E-14</v>
      </c>
      <c r="CV125" s="14">
        <f t="shared" si="95"/>
        <v>7.5804141040779151E-13</v>
      </c>
      <c r="CW125" s="22">
        <f t="shared" si="67"/>
        <v>1.4005661123635408E-12</v>
      </c>
      <c r="CX125" s="62">
        <f t="shared" si="68"/>
        <v>293.33333333333474</v>
      </c>
      <c r="CY125" s="62">
        <f ca="1">AVERAGE(OFFSET($CX$3,0,0,'Données projet'!$E$13+1,1))-AVERAGE(OFFSET($H$3,0,0,'Données projet'!$E$13+1,1))</f>
        <v>365.492319515595</v>
      </c>
      <c r="CZ125" s="62">
        <f t="shared" si="96"/>
        <v>351.38386928091433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54.004379570798825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54.004379570798825</v>
      </c>
      <c r="DJ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7.9920000000000018</v>
      </c>
      <c r="DO125" s="13">
        <f>IF('Données projet'!$A$166&gt;35,DO124+DN125-DW124,IF(A125&lt;'Données projet'!$A$166,$DL$205^A125,IF(A125='Données projet'!$A$166,'Données projet'!$B$166,DO124+DN125-DW124)))</f>
        <v>392.43600000000066</v>
      </c>
      <c r="DP125" s="18">
        <f>DO125*VLOOKUP('Données projet'!$B$14,Paramètres!$A$1:$I$89,3,0)*VLOOKUP('Données projet'!$B$14,Paramètres!$A$1:$I$89,5,0)</f>
        <v>330.58808640000058</v>
      </c>
      <c r="DQ125" s="14">
        <f t="shared" si="97"/>
        <v>77.552219849260325</v>
      </c>
      <c r="DR125" s="22">
        <f t="shared" si="70"/>
        <v>710.84436671746278</v>
      </c>
      <c r="DS125" s="62">
        <f t="shared" si="71"/>
        <v>1004.1777000507961</v>
      </c>
      <c r="DT125" s="62">
        <f ca="1">AVERAGE(OFFSET($DS$3,0,0,'Données projet'!$E$14+1,1))-AVERAGE(OFFSET($H$3,0,0,'Données projet'!$E$14+1,1))</f>
        <v>544.89250424794909</v>
      </c>
      <c r="DU125" s="62">
        <f t="shared" si="98"/>
        <v>253.98688498110715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39.006425373332718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39.006425373332718</v>
      </c>
      <c r="EE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7.9920000000000018</v>
      </c>
      <c r="EJ125" s="13">
        <f>IF('Données projet'!$A$192&gt;35,EJ124+EI125-ER124,IF(A125&lt;'Données projet'!$A$192,$EG$205^A125,IF(A125='Données projet'!$A$192,'Données projet'!$B$192,EJ124+EI125-ER124)))</f>
        <v>392.43600000000066</v>
      </c>
      <c r="EK125" s="18">
        <f>EJ125*VLOOKUP('Données projet'!$B$15,Paramètres!$A$1:$I$89,3,0)*VLOOKUP('Données projet'!$B$15,Paramètres!$A$1:$I$89,5,0)</f>
        <v>355.07609280000059</v>
      </c>
      <c r="EL125" s="14">
        <f t="shared" si="99"/>
        <v>82.606853937508674</v>
      </c>
      <c r="EM125" s="22">
        <f t="shared" si="73"/>
        <v>762.29779890116197</v>
      </c>
      <c r="EN125" s="62">
        <f t="shared" si="74"/>
        <v>1055.6311322344952</v>
      </c>
      <c r="EO125" s="62">
        <f ca="1">AVERAGE(OFFSET($EN$3,0,0,'Données projet'!$E$15+1,1))-AVERAGE(OFFSET($H$3,0,0,'Données projet'!$E$15+1,1))</f>
        <v>581.88778927327667</v>
      </c>
      <c r="EP125" s="62">
        <f t="shared" si="100"/>
        <v>269.67340993773422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41.895790215801817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41.895790215801817</v>
      </c>
      <c r="EZ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7.9920000000000018</v>
      </c>
      <c r="FE125" s="13">
        <f>IF('Données projet'!$A$218&gt;35,FE124+FD125-FM124,IF(A125&lt;'Données projet'!$A$218,$FB$205^A125,IF(A125='Données projet'!$A$218,'Données projet'!$B$218,FE124+FD125-FM124)))</f>
        <v>392.43600000000066</v>
      </c>
      <c r="FF125" s="18">
        <f>FE125*VLOOKUP('Données projet'!$B$16,Paramètres!$A$1:$I$89,3,0)*VLOOKUP('Données projet'!$B$16,Paramètres!$A$1:$I$89,5,0)</f>
        <v>397.93010400000071</v>
      </c>
      <c r="FG125" s="14">
        <f t="shared" si="101"/>
        <v>91.356898946098624</v>
      </c>
      <c r="FH125" s="22">
        <f t="shared" si="76"/>
        <v>852.17486346445639</v>
      </c>
      <c r="FI125" s="62">
        <f t="shared" si="77"/>
        <v>1145.5081967977897</v>
      </c>
      <c r="FJ125" s="62">
        <f ca="1">AVERAGE(OFFSET($FI$3,0,0,'Données projet'!$E$16+1,1))-AVERAGE(OFFSET($H$3,0,0,'Données projet'!$E$16+1,1))</f>
        <v>646.50767193970182</v>
      </c>
      <c r="FK125" s="62">
        <f t="shared" si="102"/>
        <v>297.06786598620607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46.952178690122722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46.952178690122722</v>
      </c>
      <c r="FU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7.9920000000000018</v>
      </c>
      <c r="FZ125" s="13">
        <f>IF('Données projet'!$A$244&gt;35,FZ124+FY125-GH124,IF(A125&lt;'Données projet'!$A$244,$FW$205^A125,IF(A125='Données projet'!$A$244,'Données projet'!$B$244,FZ124+FY125-GH124)))</f>
        <v>392.43600000000066</v>
      </c>
      <c r="GA125" s="18">
        <f>FZ125*VLOOKUP('Données projet'!$B$17,Paramètres!$A$1:$I$89,3,0)*VLOOKUP('Données projet'!$B$17,Paramètres!$A$1:$I$89,5,0)</f>
        <v>263.24606880000044</v>
      </c>
      <c r="GB125" s="14">
        <f t="shared" si="103"/>
        <v>63.413808197603316</v>
      </c>
      <c r="GC125" s="22">
        <f t="shared" si="79"/>
        <v>568.93261910415981</v>
      </c>
      <c r="GD125" s="62">
        <f t="shared" si="80"/>
        <v>862.26595243749307</v>
      </c>
      <c r="GE125" s="62">
        <f ca="1">AVERAGE(OFFSET($GD$3,0,0,'Données projet'!$E$17+1,1))-AVERAGE(OFFSET($H$3,0,0,'Données projet'!$E$17+1,1))</f>
        <v>442.85175349826028</v>
      </c>
      <c r="GF125" s="62">
        <f t="shared" si="104"/>
        <v>210.70697808232501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38.284084162715452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38.284084162715452</v>
      </c>
      <c r="GP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4</v>
      </c>
      <c r="GU125" s="13">
        <f>IF('Données projet'!$A$270&gt;35,GU124+GT125-HC124,IF(A125&lt;'Données projet'!$A$270,$GR$205^A125,IF(A125='Données projet'!$A$270,'Données projet'!$B$270,GU124+GT125-HC124)))</f>
        <v>285.99999999999966</v>
      </c>
      <c r="GV125" s="18">
        <f>GU125*VLOOKUP('Données projet'!$B$18,Paramètres!$A$1:$I$89,3,0)*VLOOKUP('Données projet'!$B$18,Paramètres!$A$1:$I$89,5,0)</f>
        <v>272.15759999999966</v>
      </c>
      <c r="GW125" s="14">
        <f t="shared" si="105"/>
        <v>65.306954132597198</v>
      </c>
      <c r="GX125" s="22">
        <f t="shared" si="82"/>
        <v>587.75076511427289</v>
      </c>
      <c r="GY125" s="62">
        <f t="shared" si="83"/>
        <v>881.08409844760627</v>
      </c>
      <c r="GZ125" s="62">
        <f ca="1">AVERAGE(OFFSET($GY$3,0,0,'Données projet'!$E$18+1,1))-AVERAGE(OFFSET($H$3,0,0,'Données projet'!$E$18+1,1))</f>
        <v>420.2510366318939</v>
      </c>
      <c r="HA125" s="62">
        <f t="shared" si="106"/>
        <v>220.59884411514116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56.566701003861489</v>
      </c>
      <c r="HH125" s="23">
        <f>EXP(-LN(2)/25)*HH124+(1-EXP(-LN(2)/25))/(LN(2)/25)*Calculateur!HC125*Calculateur!HE125*VLOOKUP('Données projet'!$B$18,Paramètres!$A$1:$I$89,3,0)*0.475*44/12</f>
        <v>0</v>
      </c>
      <c r="HI125" s="23">
        <f>EXP(-LN(2)/2)*HI124+(1-EXP(-LN(2)/2))/(LN(2)/2)*HC125*HF125*VLOOKUP('Données projet'!$B$18,Paramètres!$A$1:$I$89,3,0)*0.475*44/12</f>
        <v>0</v>
      </c>
      <c r="HJ125" s="24">
        <f t="shared" si="84"/>
        <v>56.566701003861489</v>
      </c>
    </row>
    <row r="126" spans="1:218" s="5" customFormat="1" x14ac:dyDescent="0.2">
      <c r="A126" s="11">
        <f t="shared" si="85"/>
        <v>123</v>
      </c>
      <c r="B126" s="74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-4.5474735088646412E-13</v>
      </c>
      <c r="O126" s="14">
        <f>N126*VLOOKUP('Données projet'!$B$9,Paramètres!$A$1:$I$89,3,0)*VLOOKUP('Données projet'!$B$9,Paramètres!$A$1:$I$89,5,0)</f>
        <v>-3.9017322706058626E-13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623.31285537237943</v>
      </c>
      <c r="T126" s="62">
        <f t="shared" si="88"/>
        <v>462.33909258902241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178.41077395232031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178.41077395232031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4.9658410716801891E-14</v>
      </c>
      <c r="AK126" s="14">
        <f t="shared" si="89"/>
        <v>8.0934058173791862E-13</v>
      </c>
      <c r="AL126" s="22">
        <f t="shared" si="58"/>
        <v>1.4960899118586383E-12</v>
      </c>
      <c r="AM126" s="62">
        <f t="shared" si="59"/>
        <v>293.33333333333479</v>
      </c>
      <c r="AN126" s="62">
        <f ca="1">AVERAGE(OFFSET($AM$3,0,0,'Données projet'!$E$10+1,1))-AVERAGE(OFFSET($H$3,0,0,'Données projet'!$E$10+1,1))</f>
        <v>390.70479111593545</v>
      </c>
      <c r="AO126" s="62">
        <f t="shared" si="90"/>
        <v>374.99493809709708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70.27813394832063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70.27813394832063</v>
      </c>
      <c r="AY126" s="7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5.6843418860808015E-14</v>
      </c>
      <c r="BE126" s="14">
        <f>BD126*VLOOKUP('Données projet'!$B$11,Paramètres!$A$1:$I$89,3,0)*VLOOKUP('Données projet'!$B$11,Paramètres!$A$1:$I$89,5,0)</f>
        <v>4.5224624045658861E-14</v>
      </c>
      <c r="BF126" s="14">
        <f t="shared" si="91"/>
        <v>7.4514601661523691E-13</v>
      </c>
      <c r="BG126" s="22">
        <f t="shared" si="61"/>
        <v>1.3765621991510601E-12</v>
      </c>
      <c r="BH126" s="62">
        <f t="shared" si="62"/>
        <v>293.33333333333468</v>
      </c>
      <c r="BI126" s="62">
        <f ca="1">AVERAGE(OFFSET($BH$3,0,0,'Données projet'!$E$11+1,1))-AVERAGE(OFFSET($H$3,0,0,'Données projet'!$E$11+1,1))</f>
        <v>359.18294335011535</v>
      </c>
      <c r="BJ126" s="62">
        <f t="shared" si="92"/>
        <v>345.47508134331241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64.003300560077705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64.003300560077705</v>
      </c>
      <c r="BT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5.6843418860808015E-14</v>
      </c>
      <c r="BZ126" s="14">
        <f>BY126*VLOOKUP('Données projet'!$B$12,Paramètres!$A$1:$I$89,3,0)*VLOOKUP('Données projet'!$B$12,Paramètres!$A$1:$I$89,5,0)</f>
        <v>4.1677594708744434E-14</v>
      </c>
      <c r="CA126" s="14">
        <f t="shared" si="93"/>
        <v>6.9326303456159188E-13</v>
      </c>
      <c r="CB126" s="22">
        <f t="shared" si="64"/>
        <v>1.2800215959791691E-12</v>
      </c>
      <c r="CC126" s="62">
        <f t="shared" si="65"/>
        <v>293.33333333333462</v>
      </c>
      <c r="CD126" s="62">
        <f ca="1">AVERAGE(OFFSET($CC$3,0,0,'Données projet'!$E$12+1,1))-AVERAGE(OFFSET($H$3,0,0,'Données projet'!$E$12+1,1))</f>
        <v>333.9187211440219</v>
      </c>
      <c r="CE126" s="62">
        <f t="shared" si="94"/>
        <v>321.81422611044997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47.85448406656198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47.85448406656198</v>
      </c>
      <c r="CO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5.6843418860808015E-14</v>
      </c>
      <c r="CU126" s="18">
        <f>CT126*VLOOKUP('Données projet'!$B$13,Paramètres!$A$1:$I$89,3,0)*VLOOKUP('Données projet'!$B$13,Paramètres!$A$1:$I$89,5,0)</f>
        <v>4.6111381379887463E-14</v>
      </c>
      <c r="CV126" s="14">
        <f t="shared" si="95"/>
        <v>7.5804141040779151E-13</v>
      </c>
      <c r="CW126" s="22">
        <f t="shared" si="67"/>
        <v>1.4005661123635408E-12</v>
      </c>
      <c r="CX126" s="62">
        <f t="shared" si="68"/>
        <v>293.33333333333474</v>
      </c>
      <c r="CY126" s="62">
        <f ca="1">AVERAGE(OFFSET($CX$3,0,0,'Données projet'!$E$13+1,1))-AVERAGE(OFFSET($H$3,0,0,'Données projet'!$E$13+1,1))</f>
        <v>365.492319515595</v>
      </c>
      <c r="CZ126" s="62">
        <f t="shared" si="96"/>
        <v>351.38386928091433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52.945386626834498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52.945386626834498</v>
      </c>
      <c r="DJ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7.9920000000000018</v>
      </c>
      <c r="DO126" s="13">
        <f>IF('Données projet'!$A$166&gt;35,DO125+DN126-DW125,IF(A126&lt;'Données projet'!$A$166,$DL$205^A126,IF(A126='Données projet'!$A$166,'Données projet'!$B$166,DO125+DN126-DW125)))</f>
        <v>400.42800000000068</v>
      </c>
      <c r="DP126" s="18">
        <f>DO126*VLOOKUP('Données projet'!$B$14,Paramètres!$A$1:$I$89,3,0)*VLOOKUP('Données projet'!$B$14,Paramètres!$A$1:$I$89,5,0)</f>
        <v>337.32054720000059</v>
      </c>
      <c r="DQ126" s="14">
        <f t="shared" si="97"/>
        <v>78.946099850943924</v>
      </c>
      <c r="DR126" s="22">
        <f t="shared" si="70"/>
        <v>724.99774361372829</v>
      </c>
      <c r="DS126" s="62">
        <f t="shared" si="71"/>
        <v>1018.3310769470615</v>
      </c>
      <c r="DT126" s="62">
        <f ca="1">AVERAGE(OFFSET($DS$3,0,0,'Données projet'!$E$14+1,1))-AVERAGE(OFFSET($H$3,0,0,'Données projet'!$E$14+1,1))</f>
        <v>544.89250424794909</v>
      </c>
      <c r="DU126" s="62">
        <f t="shared" si="98"/>
        <v>253.98688498110715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38.241533163331916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38.241533163331916</v>
      </c>
      <c r="EE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7.9920000000000018</v>
      </c>
      <c r="EJ126" s="13">
        <f>IF('Données projet'!$A$192&gt;35,EJ125+EI126-ER125,IF(A126&lt;'Données projet'!$A$192,$EG$205^A126,IF(A126='Données projet'!$A$192,'Données projet'!$B$192,EJ125+EI126-ER125)))</f>
        <v>400.42800000000068</v>
      </c>
      <c r="EK126" s="18">
        <f>EJ126*VLOOKUP('Données projet'!$B$15,Paramètres!$A$1:$I$89,3,0)*VLOOKUP('Données projet'!$B$15,Paramètres!$A$1:$I$89,5,0)</f>
        <v>362.3072544000006</v>
      </c>
      <c r="EL126" s="14">
        <f t="shared" si="99"/>
        <v>84.09158309070763</v>
      </c>
      <c r="EM126" s="22">
        <f t="shared" si="73"/>
        <v>777.4779752963168</v>
      </c>
      <c r="EN126" s="62">
        <f t="shared" si="74"/>
        <v>1070.8113086296501</v>
      </c>
      <c r="EO126" s="62">
        <f ca="1">AVERAGE(OFFSET($EN$3,0,0,'Données projet'!$E$15+1,1))-AVERAGE(OFFSET($H$3,0,0,'Données projet'!$E$15+1,1))</f>
        <v>581.88778927327667</v>
      </c>
      <c r="EP126" s="62">
        <f t="shared" si="100"/>
        <v>269.67340993773422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41.074239323578738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41.074239323578738</v>
      </c>
      <c r="EZ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7.9920000000000018</v>
      </c>
      <c r="FE126" s="13">
        <f>IF('Données projet'!$A$218&gt;35,FE125+FD126-FM125,IF(A126&lt;'Données projet'!$A$218,$FB$205^A126,IF(A126='Données projet'!$A$218,'Données projet'!$B$218,FE125+FD126-FM125)))</f>
        <v>400.42800000000068</v>
      </c>
      <c r="FF126" s="18">
        <f>FE126*VLOOKUP('Données projet'!$B$16,Paramètres!$A$1:$I$89,3,0)*VLOOKUP('Données projet'!$B$16,Paramètres!$A$1:$I$89,5,0)</f>
        <v>406.03399200000069</v>
      </c>
      <c r="FG126" s="14">
        <f t="shared" si="101"/>
        <v>92.998896489228883</v>
      </c>
      <c r="FH126" s="22">
        <f t="shared" si="76"/>
        <v>869.14894745207482</v>
      </c>
      <c r="FI126" s="62">
        <f t="shared" si="77"/>
        <v>1162.4822807854082</v>
      </c>
      <c r="FJ126" s="62">
        <f ca="1">AVERAGE(OFFSET($FI$3,0,0,'Données projet'!$E$16+1,1))-AVERAGE(OFFSET($H$3,0,0,'Données projet'!$E$16+1,1))</f>
        <v>646.50767193970182</v>
      </c>
      <c r="FK126" s="62">
        <f t="shared" si="102"/>
        <v>297.06786598620607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46.031475104010646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46.031475104010646</v>
      </c>
      <c r="FU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7.9920000000000018</v>
      </c>
      <c r="FZ126" s="13">
        <f>IF('Données projet'!$A$244&gt;35,FZ125+FY126-GH125,IF(A126&lt;'Données projet'!$A$244,$FW$205^A126,IF(A126='Données projet'!$A$244,'Données projet'!$B$244,FZ125+FY126-GH125)))</f>
        <v>400.42800000000068</v>
      </c>
      <c r="GA126" s="18">
        <f>FZ126*VLOOKUP('Données projet'!$B$17,Paramètres!$A$1:$I$89,3,0)*VLOOKUP('Données projet'!$B$17,Paramètres!$A$1:$I$89,5,0)</f>
        <v>268.60710240000049</v>
      </c>
      <c r="GB126" s="14">
        <f t="shared" si="103"/>
        <v>64.553572336515671</v>
      </c>
      <c r="GC126" s="22">
        <f t="shared" si="79"/>
        <v>580.25484183276569</v>
      </c>
      <c r="GD126" s="62">
        <f t="shared" si="80"/>
        <v>873.58817516609906</v>
      </c>
      <c r="GE126" s="62">
        <f ca="1">AVERAGE(OFFSET($GD$3,0,0,'Données projet'!$E$17+1,1))-AVERAGE(OFFSET($H$3,0,0,'Données projet'!$E$17+1,1))</f>
        <v>442.85175349826028</v>
      </c>
      <c r="GF126" s="62">
        <f t="shared" si="104"/>
        <v>210.70697808232501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37.533356623270222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37.533356623270222</v>
      </c>
      <c r="GP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4</v>
      </c>
      <c r="GU126" s="13">
        <f>IF('Données projet'!$A$270&gt;35,GU125+GT126-HC125,IF(A126&lt;'Données projet'!$A$270,$GR$205^A126,IF(A126='Données projet'!$A$270,'Données projet'!$B$270,GU125+GT126-HC125)))</f>
        <v>289.99999999999966</v>
      </c>
      <c r="GV126" s="18">
        <f>GU126*VLOOKUP('Données projet'!$B$18,Paramètres!$A$1:$I$89,3,0)*VLOOKUP('Données projet'!$B$18,Paramètres!$A$1:$I$89,5,0)</f>
        <v>275.96399999999966</v>
      </c>
      <c r="GW126" s="14">
        <f t="shared" si="105"/>
        <v>66.113366665488854</v>
      </c>
      <c r="GX126" s="22">
        <f t="shared" si="82"/>
        <v>595.78474694239253</v>
      </c>
      <c r="GY126" s="62">
        <f t="shared" si="83"/>
        <v>889.11808027572579</v>
      </c>
      <c r="GZ126" s="62">
        <f ca="1">AVERAGE(OFFSET($GY$3,0,0,'Données projet'!$E$18+1,1))-AVERAGE(OFFSET($H$3,0,0,'Données projet'!$E$18+1,1))</f>
        <v>420.2510366318939</v>
      </c>
      <c r="HA126" s="62">
        <f t="shared" si="106"/>
        <v>220.59884411514116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55.457462499456561</v>
      </c>
      <c r="HH126" s="23">
        <f>EXP(-LN(2)/25)*HH125+(1-EXP(-LN(2)/25))/(LN(2)/25)*Calculateur!HC126*Calculateur!HE126*VLOOKUP('Données projet'!$B$18,Paramètres!$A$1:$I$89,3,0)*0.475*44/12</f>
        <v>0</v>
      </c>
      <c r="HI126" s="23">
        <f>EXP(-LN(2)/2)*HI125+(1-EXP(-LN(2)/2))/(LN(2)/2)*HC126*HF126*VLOOKUP('Données projet'!$B$18,Paramètres!$A$1:$I$89,3,0)*0.475*44/12</f>
        <v>0</v>
      </c>
      <c r="HJ126" s="24">
        <f t="shared" si="84"/>
        <v>55.457462499456561</v>
      </c>
    </row>
    <row r="127" spans="1:218" s="5" customFormat="1" x14ac:dyDescent="0.2">
      <c r="A127" s="11">
        <f t="shared" si="85"/>
        <v>124</v>
      </c>
      <c r="B127" s="74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-4.5474735088646412E-13</v>
      </c>
      <c r="O127" s="14">
        <f>N127*VLOOKUP('Données projet'!$B$9,Paramètres!$A$1:$I$89,3,0)*VLOOKUP('Données projet'!$B$9,Paramètres!$A$1:$I$89,5,0)</f>
        <v>-3.9017322706058626E-13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623.31285537237943</v>
      </c>
      <c r="T127" s="62">
        <f t="shared" si="88"/>
        <v>462.33909258902241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174.91224749494236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174.91224749494236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4.9658410716801891E-14</v>
      </c>
      <c r="AK127" s="14">
        <f t="shared" si="89"/>
        <v>8.0934058173791862E-13</v>
      </c>
      <c r="AL127" s="22">
        <f t="shared" si="58"/>
        <v>1.4960899118586383E-12</v>
      </c>
      <c r="AM127" s="62">
        <f t="shared" si="59"/>
        <v>293.33333333333479</v>
      </c>
      <c r="AN127" s="62">
        <f ca="1">AVERAGE(OFFSET($AM$3,0,0,'Données projet'!$E$10+1,1))-AVERAGE(OFFSET($H$3,0,0,'Données projet'!$E$10+1,1))</f>
        <v>390.70479111593545</v>
      </c>
      <c r="AO127" s="62">
        <f t="shared" si="90"/>
        <v>374.99493809709708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68.900022607023161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68.900022607023161</v>
      </c>
      <c r="AY127" s="7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5.6843418860808015E-14</v>
      </c>
      <c r="BE127" s="14">
        <f>BD127*VLOOKUP('Données projet'!$B$11,Paramètres!$A$1:$I$89,3,0)*VLOOKUP('Données projet'!$B$11,Paramètres!$A$1:$I$89,5,0)</f>
        <v>4.5224624045658861E-14</v>
      </c>
      <c r="BF127" s="14">
        <f t="shared" si="91"/>
        <v>7.4514601661523691E-13</v>
      </c>
      <c r="BG127" s="22">
        <f t="shared" si="61"/>
        <v>1.3765621991510601E-12</v>
      </c>
      <c r="BH127" s="62">
        <f t="shared" si="62"/>
        <v>293.33333333333468</v>
      </c>
      <c r="BI127" s="62">
        <f ca="1">AVERAGE(OFFSET($BH$3,0,0,'Données projet'!$E$11+1,1))-AVERAGE(OFFSET($H$3,0,0,'Données projet'!$E$11+1,1))</f>
        <v>359.18294335011535</v>
      </c>
      <c r="BJ127" s="62">
        <f t="shared" si="92"/>
        <v>345.47508134331241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62.748234874253221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62.748234874253221</v>
      </c>
      <c r="BT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5.6843418860808015E-14</v>
      </c>
      <c r="BZ127" s="14">
        <f>BY127*VLOOKUP('Données projet'!$B$12,Paramètres!$A$1:$I$89,3,0)*VLOOKUP('Données projet'!$B$12,Paramètres!$A$1:$I$89,5,0)</f>
        <v>4.1677594708744434E-14</v>
      </c>
      <c r="CA127" s="14">
        <f t="shared" si="93"/>
        <v>6.9326303456159188E-13</v>
      </c>
      <c r="CB127" s="22">
        <f t="shared" si="64"/>
        <v>1.2800215959791691E-12</v>
      </c>
      <c r="CC127" s="62">
        <f t="shared" si="65"/>
        <v>293.33333333333462</v>
      </c>
      <c r="CD127" s="62">
        <f ca="1">AVERAGE(OFFSET($CC$3,0,0,'Données projet'!$E$12+1,1))-AVERAGE(OFFSET($H$3,0,0,'Données projet'!$E$12+1,1))</f>
        <v>333.9187211440219</v>
      </c>
      <c r="CE127" s="62">
        <f t="shared" si="94"/>
        <v>321.81422611044997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46.91608682236987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46.91608682236987</v>
      </c>
      <c r="CO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5.6843418860808015E-14</v>
      </c>
      <c r="CU127" s="18">
        <f>CT127*VLOOKUP('Données projet'!$B$13,Paramètres!$A$1:$I$89,3,0)*VLOOKUP('Données projet'!$B$13,Paramètres!$A$1:$I$89,5,0)</f>
        <v>4.6111381379887463E-14</v>
      </c>
      <c r="CV127" s="14">
        <f t="shared" si="95"/>
        <v>7.5804141040779151E-13</v>
      </c>
      <c r="CW127" s="22">
        <f t="shared" si="67"/>
        <v>1.4005661123635408E-12</v>
      </c>
      <c r="CX127" s="62">
        <f t="shared" si="68"/>
        <v>293.33333333333474</v>
      </c>
      <c r="CY127" s="62">
        <f ca="1">AVERAGE(OFFSET($CX$3,0,0,'Données projet'!$E$13+1,1))-AVERAGE(OFFSET($H$3,0,0,'Données projet'!$E$13+1,1))</f>
        <v>365.492319515595</v>
      </c>
      <c r="CZ127" s="62">
        <f t="shared" si="96"/>
        <v>351.38386928091433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51.9071598885794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51.9071598885794</v>
      </c>
      <c r="DJ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>
        <f>VLOOKUP(A127,'Données projet'!$A$165:$I$185,2,0)</f>
        <v>408.42</v>
      </c>
      <c r="DM127" s="13">
        <f>VLOOKUP(A127,'Données projet'!$A$165:$I$185,9,0)</f>
        <v>7.9920000000000018</v>
      </c>
      <c r="DN127" s="13">
        <f t="array" ref="DN127">INDEX(DM:DM,MIN(IF(ISNUMBER(DM127:DM323),ROW(DM127:DM323),"")))</f>
        <v>7.9920000000000018</v>
      </c>
      <c r="DO127" s="13">
        <f>IF('Données projet'!$A$166&gt;35,DO126+DN127-DW126,IF(A127&lt;'Données projet'!$A$166,$DL$205^A127,IF(A127='Données projet'!$A$166,'Données projet'!$B$166,DO126+DN127-DW126)))</f>
        <v>408.4200000000007</v>
      </c>
      <c r="DP127" s="18">
        <f>DO127*VLOOKUP('Données projet'!$B$14,Paramètres!$A$1:$I$89,3,0)*VLOOKUP('Données projet'!$B$14,Paramètres!$A$1:$I$89,5,0)</f>
        <v>344.0530080000006</v>
      </c>
      <c r="DQ127" s="14">
        <f t="shared" si="97"/>
        <v>80.3367451414518</v>
      </c>
      <c r="DR127" s="22">
        <f t="shared" si="70"/>
        <v>739.14548672136289</v>
      </c>
      <c r="DS127" s="62">
        <f t="shared" si="71"/>
        <v>1032.4788200546961</v>
      </c>
      <c r="DT127" s="62">
        <f ca="1">AVERAGE(OFFSET($DS$3,0,0,'Données projet'!$E$14+1,1))-AVERAGE(OFFSET($H$3,0,0,'Données projet'!$E$14+1,1))</f>
        <v>544.89250424794909</v>
      </c>
      <c r="DU127" s="62">
        <f t="shared" si="98"/>
        <v>253.98688498110715</v>
      </c>
      <c r="DV127" s="16">
        <f>IF(ISNA(VLOOKUP(A127,'Données projet'!$A$165:$I$185,3,0)),0,VLOOKUP(A127,'Données projet'!$A$165:$I$185,3,0))</f>
        <v>10</v>
      </c>
      <c r="DW127" s="16">
        <f>IF(ISNA(VLOOKUP(A127,'Données projet'!$A$165:$I$185,4,0)),0,VLOOKUP(A127,'Données projet'!$A$165:$I$185,4,0))</f>
        <v>52.53</v>
      </c>
      <c r="DX127" s="17">
        <f>IF(ISNA(VLOOKUP(A127,'Données projet'!$A$165:$I$185,5,0)),0%,VLOOKUP(A127,'Données projet'!$A$165:$I$185,5,0)*VLOOKUP('Données projet'!$B$14,Paramètres!$A$1:$I$89,7,0))</f>
        <v>0.30099999999999999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52.216099629280457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52.216099629280457</v>
      </c>
      <c r="EE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>
        <f>VLOOKUP(A127,'Données projet'!$A$191:$I$211,2,0)</f>
        <v>408.42</v>
      </c>
      <c r="EH127" s="13">
        <f>VLOOKUP(A127,'Données projet'!$A$191:$I$211,9,0)</f>
        <v>7.9920000000000018</v>
      </c>
      <c r="EI127" s="13">
        <f t="array" ref="EI127">INDEX(EH:EH,MIN(IF(ISNUMBER(EH127:EH323),ROW(EH127:EH323),"")))</f>
        <v>7.9920000000000018</v>
      </c>
      <c r="EJ127" s="13">
        <f>IF('Données projet'!$A$192&gt;35,EJ126+EI127-ER126,IF(A127&lt;'Données projet'!$A$192,$EG$205^A127,IF(A127='Données projet'!$A$192,'Données projet'!$B$192,EJ126+EI127-ER126)))</f>
        <v>408.4200000000007</v>
      </c>
      <c r="EK127" s="18">
        <f>EJ127*VLOOKUP('Données projet'!$B$15,Paramètres!$A$1:$I$89,3,0)*VLOOKUP('Données projet'!$B$15,Paramètres!$A$1:$I$89,5,0)</f>
        <v>369.53841600000061</v>
      </c>
      <c r="EL127" s="14">
        <f t="shared" si="99"/>
        <v>85.572866703416025</v>
      </c>
      <c r="EM127" s="22">
        <f t="shared" si="73"/>
        <v>792.65215070845068</v>
      </c>
      <c r="EN127" s="62">
        <f t="shared" si="74"/>
        <v>1085.985484041784</v>
      </c>
      <c r="EO127" s="62">
        <f ca="1">AVERAGE(OFFSET($EN$3,0,0,'Données projet'!$E$15+1,1))-AVERAGE(OFFSET($H$3,0,0,'Données projet'!$E$15+1,1))</f>
        <v>581.88778927327667</v>
      </c>
      <c r="EP127" s="62">
        <f t="shared" si="100"/>
        <v>269.67340993773422</v>
      </c>
      <c r="EQ127" s="16">
        <f>IF(ISNA(VLOOKUP(A127,'Données projet'!$A$191:$I$211,3,0)),0,VLOOKUP(A127,'Données projet'!$A$191:$I$211,3,0))</f>
        <v>10</v>
      </c>
      <c r="ER127" s="16">
        <f>IF(ISNA(VLOOKUP(A127,'Données projet'!$A$191:$I$211,4,0)),0,VLOOKUP(A127,'Données projet'!$A$191:$I$211,4,0))</f>
        <v>52.53</v>
      </c>
      <c r="ES127" s="17">
        <f>IF(ISNA(VLOOKUP(A127,'Données projet'!$A$191:$I$211,5,0)),0%,VLOOKUP(A127,'Données projet'!$A$191:$I$211,5,0)*VLOOKUP('Données projet'!$B$15,Paramètres!$A$1:$I$89,7,0))</f>
        <v>0.30099999999999999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56.083958861079012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56.083958861079012</v>
      </c>
      <c r="EZ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>
        <f>VLOOKUP(A127,'Données projet'!$A$217:$I$237,2,0)</f>
        <v>408.42</v>
      </c>
      <c r="FC127" s="13">
        <f>VLOOKUP(A127,'Données projet'!$A$217:$I$237,9,0)</f>
        <v>7.9920000000000018</v>
      </c>
      <c r="FD127" s="13">
        <f t="array" ref="FD127">INDEX(FC:FC,MIN(IF(ISNUMBER(FC127:FC323),ROW(FC127:FC323),"")))</f>
        <v>7.9920000000000018</v>
      </c>
      <c r="FE127" s="13">
        <f>IF('Données projet'!$A$218&gt;35,FE126+FD127-FM126,IF(A127&lt;'Données projet'!$A$218,$FB$205^A127,IF(A127='Données projet'!$A$218,'Données projet'!$B$218,FE126+FD127-FM126)))</f>
        <v>408.4200000000007</v>
      </c>
      <c r="FF127" s="18">
        <f>FE127*VLOOKUP('Données projet'!$B$16,Paramètres!$A$1:$I$89,3,0)*VLOOKUP('Données projet'!$B$16,Paramètres!$A$1:$I$89,5,0)</f>
        <v>414.13788000000073</v>
      </c>
      <c r="FG127" s="14">
        <f t="shared" si="101"/>
        <v>94.637083526579147</v>
      </c>
      <c r="FH127" s="22">
        <f t="shared" si="76"/>
        <v>886.1163948087933</v>
      </c>
      <c r="FI127" s="62">
        <f t="shared" si="77"/>
        <v>1179.4497281421266</v>
      </c>
      <c r="FJ127" s="62">
        <f ca="1">AVERAGE(OFFSET($FI$3,0,0,'Données projet'!$E$16+1,1))-AVERAGE(OFFSET($H$3,0,0,'Données projet'!$E$16+1,1))</f>
        <v>646.50767193970182</v>
      </c>
      <c r="FK127" s="62">
        <f t="shared" si="102"/>
        <v>297.06786598620607</v>
      </c>
      <c r="FL127" s="16">
        <f>IF(ISNA(VLOOKUP(A127,'Données projet'!$A$217:$I$237,3,0)),0,VLOOKUP(A127,'Données projet'!$A$217:$I$237,3,0))</f>
        <v>10</v>
      </c>
      <c r="FM127" s="16">
        <f>IF(ISNA(VLOOKUP(A127,'Données projet'!$A$217:$I$237,4,0)),0,VLOOKUP(A127,'Données projet'!$A$217:$I$237,4,0))</f>
        <v>52.53</v>
      </c>
      <c r="FN127" s="17">
        <f>IF(ISNA(VLOOKUP(A127,'Données projet'!$A$217:$I$237,5,0)),0%,VLOOKUP(A127,'Données projet'!$A$217:$I$237,5,0)*VLOOKUP('Données projet'!$B$16,Paramètres!$A$1:$I$89,7,0))</f>
        <v>0.30099999999999999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62.85271251672647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62.85271251672647</v>
      </c>
      <c r="FU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>
        <f>VLOOKUP(A127,'Données projet'!$A$243:$I$263,2,0)</f>
        <v>408.42</v>
      </c>
      <c r="FX127" s="13">
        <f>VLOOKUP(A127,'Données projet'!$A$243:$I$263,9,0)</f>
        <v>7.9920000000000018</v>
      </c>
      <c r="FY127" s="13">
        <f t="array" ref="FY127">INDEX(FX:FX,MIN(IF(ISNUMBER(FX127:FX323),ROW(FX127:FX323),"")))</f>
        <v>7.9920000000000018</v>
      </c>
      <c r="FZ127" s="13">
        <f>IF('Données projet'!$A$244&gt;35,FZ126+FY127-GH126,IF(A127&lt;'Données projet'!$A$244,$FW$205^A127,IF(A127='Données projet'!$A$244,'Données projet'!$B$244,FZ126+FY127-GH126)))</f>
        <v>408.4200000000007</v>
      </c>
      <c r="GA127" s="18">
        <f>FZ127*VLOOKUP('Données projet'!$B$17,Paramètres!$A$1:$I$89,3,0)*VLOOKUP('Données projet'!$B$17,Paramètres!$A$1:$I$89,5,0)</f>
        <v>273.96813600000047</v>
      </c>
      <c r="GB127" s="14">
        <f t="shared" si="103"/>
        <v>65.690691478876531</v>
      </c>
      <c r="GC127" s="22">
        <f t="shared" si="79"/>
        <v>591.57245785904422</v>
      </c>
      <c r="GD127" s="62">
        <f t="shared" si="80"/>
        <v>884.90579119237759</v>
      </c>
      <c r="GE127" s="62">
        <f ca="1">AVERAGE(OFFSET($GD$3,0,0,'Données projet'!$E$17+1,1))-AVERAGE(OFFSET($H$3,0,0,'Données projet'!$E$17+1,1))</f>
        <v>442.85175349826028</v>
      </c>
      <c r="GF127" s="62">
        <f t="shared" si="104"/>
        <v>210.70697808232501</v>
      </c>
      <c r="GG127" s="16">
        <f>IF(ISNA(VLOOKUP(A127,'Données projet'!$A$243:$I$263,3,0)),0,VLOOKUP(A127,'Données projet'!$A$243:$I$263,3,0))</f>
        <v>10</v>
      </c>
      <c r="GH127" s="16">
        <f>IF(ISNA(VLOOKUP(A127,'Données projet'!$A$243:$I$263,4,0)),0,VLOOKUP(A127,'Données projet'!$A$243:$I$263,4,0))</f>
        <v>52.53</v>
      </c>
      <c r="GI127" s="17">
        <f>IF(ISNA(VLOOKUP(A127,'Données projet'!$A$243:$I$263,5,0)),0%,VLOOKUP(A127,'Données projet'!$A$243:$I$263,5,0)*VLOOKUP('Données projet'!$B$17,Paramètres!$A$1:$I$89,7,0))</f>
        <v>0.371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51.24913482133082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51.24913482133082</v>
      </c>
      <c r="GP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4</v>
      </c>
      <c r="GU127" s="13">
        <f>IF('Données projet'!$A$270&gt;35,GU126+GT127-HC126,IF(A127&lt;'Données projet'!$A$270,$GR$205^A127,IF(A127='Données projet'!$A$270,'Données projet'!$B$270,GU126+GT127-HC126)))</f>
        <v>293.99999999999966</v>
      </c>
      <c r="GV127" s="18">
        <f>GU127*VLOOKUP('Données projet'!$B$18,Paramètres!$A$1:$I$89,3,0)*VLOOKUP('Données projet'!$B$18,Paramètres!$A$1:$I$89,5,0)</f>
        <v>279.77039999999965</v>
      </c>
      <c r="GW127" s="14">
        <f t="shared" si="105"/>
        <v>66.918485484562169</v>
      </c>
      <c r="GX127" s="22">
        <f t="shared" si="82"/>
        <v>603.81647555227835</v>
      </c>
      <c r="GY127" s="62">
        <f t="shared" si="83"/>
        <v>897.14980888561172</v>
      </c>
      <c r="GZ127" s="62">
        <f ca="1">AVERAGE(OFFSET($GY$3,0,0,'Données projet'!$E$18+1,1))-AVERAGE(OFFSET($H$3,0,0,'Données projet'!$E$18+1,1))</f>
        <v>420.2510366318939</v>
      </c>
      <c r="HA127" s="62">
        <f t="shared" si="106"/>
        <v>220.59884411514116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54.369975485554328</v>
      </c>
      <c r="HH127" s="23">
        <f>EXP(-LN(2)/25)*HH126+(1-EXP(-LN(2)/25))/(LN(2)/25)*Calculateur!HC127*Calculateur!HE127*VLOOKUP('Données projet'!$B$18,Paramètres!$A$1:$I$89,3,0)*0.475*44/12</f>
        <v>0</v>
      </c>
      <c r="HI127" s="23">
        <f>EXP(-LN(2)/2)*HI126+(1-EXP(-LN(2)/2))/(LN(2)/2)*HC127*HF127*VLOOKUP('Données projet'!$B$18,Paramètres!$A$1:$I$89,3,0)*0.475*44/12</f>
        <v>0</v>
      </c>
      <c r="HJ127" s="24">
        <f t="shared" si="84"/>
        <v>54.369975485554328</v>
      </c>
    </row>
    <row r="128" spans="1:218" s="5" customFormat="1" x14ac:dyDescent="0.2">
      <c r="A128" s="11">
        <f t="shared" si="85"/>
        <v>125</v>
      </c>
      <c r="B128" s="74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-4.5474735088646412E-13</v>
      </c>
      <c r="O128" s="14">
        <f>N128*VLOOKUP('Données projet'!$B$9,Paramètres!$A$1:$I$89,3,0)*VLOOKUP('Données projet'!$B$9,Paramètres!$A$1:$I$89,5,0)</f>
        <v>-3.9017322706058626E-13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623.31285537237943</v>
      </c>
      <c r="T128" s="62">
        <f t="shared" si="88"/>
        <v>462.33909258902241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171.48232500750316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171.48232500750316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4.9658410716801891E-14</v>
      </c>
      <c r="AK128" s="14">
        <f t="shared" si="89"/>
        <v>8.0934058173791862E-13</v>
      </c>
      <c r="AL128" s="22">
        <f t="shared" si="58"/>
        <v>1.4960899118586383E-12</v>
      </c>
      <c r="AM128" s="62">
        <f t="shared" si="59"/>
        <v>293.33333333333479</v>
      </c>
      <c r="AN128" s="62">
        <f ca="1">AVERAGE(OFFSET($AM$3,0,0,'Données projet'!$E$10+1,1))-AVERAGE(OFFSET($H$3,0,0,'Données projet'!$E$10+1,1))</f>
        <v>390.70479111593545</v>
      </c>
      <c r="AO128" s="62">
        <f t="shared" si="90"/>
        <v>374.99493809709708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67.548935188563618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67.548935188563618</v>
      </c>
      <c r="AY128" s="7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5.6843418860808015E-14</v>
      </c>
      <c r="BE128" s="14">
        <f>BD128*VLOOKUP('Données projet'!$B$11,Paramètres!$A$1:$I$89,3,0)*VLOOKUP('Données projet'!$B$11,Paramètres!$A$1:$I$89,5,0)</f>
        <v>4.5224624045658861E-14</v>
      </c>
      <c r="BF128" s="14">
        <f t="shared" si="91"/>
        <v>7.4514601661523691E-13</v>
      </c>
      <c r="BG128" s="22">
        <f t="shared" si="61"/>
        <v>1.3765621991510601E-12</v>
      </c>
      <c r="BH128" s="62">
        <f t="shared" si="62"/>
        <v>293.33333333333468</v>
      </c>
      <c r="BI128" s="62">
        <f ca="1">AVERAGE(OFFSET($BH$3,0,0,'Données projet'!$E$11+1,1))-AVERAGE(OFFSET($H$3,0,0,'Données projet'!$E$11+1,1))</f>
        <v>359.18294335011535</v>
      </c>
      <c r="BJ128" s="62">
        <f t="shared" si="92"/>
        <v>345.47508134331241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61.517780261013279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61.517780261013279</v>
      </c>
      <c r="BT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5.6843418860808015E-14</v>
      </c>
      <c r="BZ128" s="14">
        <f>BY128*VLOOKUP('Données projet'!$B$12,Paramètres!$A$1:$I$89,3,0)*VLOOKUP('Données projet'!$B$12,Paramètres!$A$1:$I$89,5,0)</f>
        <v>4.1677594708744434E-14</v>
      </c>
      <c r="CA128" s="14">
        <f t="shared" si="93"/>
        <v>6.9326303456159188E-13</v>
      </c>
      <c r="CB128" s="22">
        <f t="shared" si="64"/>
        <v>1.2800215959791691E-12</v>
      </c>
      <c r="CC128" s="62">
        <f t="shared" si="65"/>
        <v>293.33333333333462</v>
      </c>
      <c r="CD128" s="62">
        <f ca="1">AVERAGE(OFFSET($CC$3,0,0,'Données projet'!$E$12+1,1))-AVERAGE(OFFSET($H$3,0,0,'Données projet'!$E$12+1,1))</f>
        <v>333.9187211440219</v>
      </c>
      <c r="CE128" s="62">
        <f t="shared" si="94"/>
        <v>321.81422611044997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45.996090975770564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45.996090975770564</v>
      </c>
      <c r="CO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5.6843418860808015E-14</v>
      </c>
      <c r="CU128" s="18">
        <f>CT128*VLOOKUP('Données projet'!$B$13,Paramètres!$A$1:$I$89,3,0)*VLOOKUP('Données projet'!$B$13,Paramètres!$A$1:$I$89,5,0)</f>
        <v>4.6111381379887463E-14</v>
      </c>
      <c r="CV128" s="14">
        <f t="shared" si="95"/>
        <v>7.5804141040779151E-13</v>
      </c>
      <c r="CW128" s="22">
        <f t="shared" si="67"/>
        <v>1.4005661123635408E-12</v>
      </c>
      <c r="CX128" s="62">
        <f t="shared" si="68"/>
        <v>293.33333333333474</v>
      </c>
      <c r="CY128" s="62">
        <f ca="1">AVERAGE(OFFSET($CX$3,0,0,'Données projet'!$E$13+1,1))-AVERAGE(OFFSET($H$3,0,0,'Données projet'!$E$13+1,1))</f>
        <v>365.492319515595</v>
      </c>
      <c r="CZ128" s="62">
        <f t="shared" si="96"/>
        <v>351.38386928091433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50.889292143405704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50.889292143405704</v>
      </c>
      <c r="DJ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8.0699999999999985</v>
      </c>
      <c r="DO128" s="13">
        <f>IF('Données projet'!$A$166&gt;35,DO127+DN128-DW127,IF(A128&lt;'Données projet'!$A$166,$DL$205^A128,IF(A128='Données projet'!$A$166,'Données projet'!$B$166,DO127+DN128-DW127)))</f>
        <v>363.96000000000072</v>
      </c>
      <c r="DP128" s="18">
        <f>DO128*VLOOKUP('Données projet'!$B$14,Paramètres!$A$1:$I$89,3,0)*VLOOKUP('Données projet'!$B$14,Paramètres!$A$1:$I$89,5,0)</f>
        <v>306.59990400000061</v>
      </c>
      <c r="DQ128" s="14">
        <f t="shared" si="97"/>
        <v>72.558299668624656</v>
      </c>
      <c r="DR128" s="22">
        <f t="shared" si="70"/>
        <v>660.3672047228556</v>
      </c>
      <c r="DS128" s="62">
        <f t="shared" si="71"/>
        <v>953.70053805618886</v>
      </c>
      <c r="DT128" s="62">
        <f ca="1">AVERAGE(OFFSET($DS$3,0,0,'Données projet'!$E$14+1,1))-AVERAGE(OFFSET($H$3,0,0,'Données projet'!$E$14+1,1))</f>
        <v>544.89250424794909</v>
      </c>
      <c r="DU128" s="62">
        <f t="shared" si="98"/>
        <v>253.98688498110715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51.192173764226247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51.192173764226247</v>
      </c>
      <c r="EE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8.0699999999999985</v>
      </c>
      <c r="EJ128" s="13">
        <f>IF('Données projet'!$A$192&gt;35,EJ127+EI128-ER127,IF(A128&lt;'Données projet'!$A$192,$EG$205^A128,IF(A128='Données projet'!$A$192,'Données projet'!$B$192,EJ127+EI128-ER127)))</f>
        <v>363.96000000000072</v>
      </c>
      <c r="EK128" s="18">
        <f>EJ128*VLOOKUP('Données projet'!$B$15,Paramètres!$A$1:$I$89,3,0)*VLOOKUP('Données projet'!$B$15,Paramètres!$A$1:$I$89,5,0)</f>
        <v>329.31100800000064</v>
      </c>
      <c r="EL128" s="14">
        <f t="shared" si="99"/>
        <v>77.287444180583748</v>
      </c>
      <c r="EM128" s="22">
        <f t="shared" si="73"/>
        <v>708.15897088118447</v>
      </c>
      <c r="EN128" s="62">
        <f t="shared" si="74"/>
        <v>1001.4923042145178</v>
      </c>
      <c r="EO128" s="62">
        <f ca="1">AVERAGE(OFFSET($EN$3,0,0,'Données projet'!$E$15+1,1))-AVERAGE(OFFSET($H$3,0,0,'Données projet'!$E$15+1,1))</f>
        <v>581.88778927327667</v>
      </c>
      <c r="EP128" s="62">
        <f t="shared" si="100"/>
        <v>269.67340993773422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54.984186635650417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54.984186635650417</v>
      </c>
      <c r="EZ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8.0699999999999985</v>
      </c>
      <c r="FE128" s="13">
        <f>IF('Données projet'!$A$218&gt;35,FE127+FD128-FM127,IF(A128&lt;'Données projet'!$A$218,$FB$205^A128,IF(A128='Données projet'!$A$218,'Données projet'!$B$218,FE127+FD128-FM127)))</f>
        <v>363.96000000000072</v>
      </c>
      <c r="FF128" s="18">
        <f>FE128*VLOOKUP('Données projet'!$B$16,Paramètres!$A$1:$I$89,3,0)*VLOOKUP('Données projet'!$B$16,Paramètres!$A$1:$I$89,5,0)</f>
        <v>369.05544000000071</v>
      </c>
      <c r="FG128" s="14">
        <f t="shared" si="101"/>
        <v>85.474036248241589</v>
      </c>
      <c r="FH128" s="22">
        <f t="shared" si="76"/>
        <v>791.63883779902199</v>
      </c>
      <c r="FI128" s="62">
        <f t="shared" si="77"/>
        <v>1084.9721711323552</v>
      </c>
      <c r="FJ128" s="62">
        <f ca="1">AVERAGE(OFFSET($FI$3,0,0,'Données projet'!$E$16+1,1))-AVERAGE(OFFSET($H$3,0,0,'Données projet'!$E$16+1,1))</f>
        <v>646.50767193970182</v>
      </c>
      <c r="FK128" s="62">
        <f t="shared" si="102"/>
        <v>297.06786598620607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61.620209160642695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61.620209160642695</v>
      </c>
      <c r="FU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8.0699999999999985</v>
      </c>
      <c r="FZ128" s="13">
        <f>IF('Données projet'!$A$244&gt;35,FZ127+FY128-GH127,IF(A128&lt;'Données projet'!$A$244,$FW$205^A128,IF(A128='Données projet'!$A$244,'Données projet'!$B$244,FZ127+FY128-GH127)))</f>
        <v>363.96000000000072</v>
      </c>
      <c r="GA128" s="18">
        <f>FZ128*VLOOKUP('Données projet'!$B$17,Paramètres!$A$1:$I$89,3,0)*VLOOKUP('Données projet'!$B$17,Paramètres!$A$1:$I$89,5,0)</f>
        <v>244.1443680000005</v>
      </c>
      <c r="GB128" s="14">
        <f t="shared" si="103"/>
        <v>59.330321005302253</v>
      </c>
      <c r="GC128" s="22">
        <f t="shared" si="79"/>
        <v>528.55175001756891</v>
      </c>
      <c r="GD128" s="62">
        <f t="shared" si="80"/>
        <v>821.88508335090228</v>
      </c>
      <c r="GE128" s="62">
        <f ca="1">AVERAGE(OFFSET($GD$3,0,0,'Données projet'!$E$17+1,1))-AVERAGE(OFFSET($H$3,0,0,'Données projet'!$E$17+1,1))</f>
        <v>442.85175349826028</v>
      </c>
      <c r="GF128" s="62">
        <f t="shared" si="104"/>
        <v>210.70697808232501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50.244170546370206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50.244170546370206</v>
      </c>
      <c r="GP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>
        <f>VLOOKUP(A128,'Données projet'!$A$269:$I$289,2,0)</f>
        <v>298</v>
      </c>
      <c r="GS128" s="13">
        <f>VLOOKUP(A128,'Données projet'!$A$269:$I$289,9,0)</f>
        <v>4</v>
      </c>
      <c r="GT128" s="13">
        <f t="array" ref="GT128">INDEX(GS:GS,MIN(IF(ISNUMBER(GS128:GS324),ROW(GS128:GS324),"")))</f>
        <v>4</v>
      </c>
      <c r="GU128" s="13">
        <f>IF('Données projet'!$A$270&gt;35,GU127+GT128-HC127,IF(A128&lt;'Données projet'!$A$270,$GR$205^A128,IF(A128='Données projet'!$A$270,'Données projet'!$B$270,GU127+GT128-HC127)))</f>
        <v>297.99999999999966</v>
      </c>
      <c r="GV128" s="18">
        <f>GU128*VLOOKUP('Données projet'!$B$18,Paramètres!$A$1:$I$89,3,0)*VLOOKUP('Données projet'!$B$18,Paramètres!$A$1:$I$89,5,0)</f>
        <v>283.57679999999971</v>
      </c>
      <c r="GW128" s="14">
        <f t="shared" si="105"/>
        <v>67.722330225853327</v>
      </c>
      <c r="GX128" s="22">
        <f t="shared" si="82"/>
        <v>611.84598514336074</v>
      </c>
      <c r="GY128" s="62">
        <f t="shared" si="83"/>
        <v>905.17931847669411</v>
      </c>
      <c r="GZ128" s="62">
        <f ca="1">AVERAGE(OFFSET($GY$3,0,0,'Données projet'!$E$18+1,1))-AVERAGE(OFFSET($H$3,0,0,'Données projet'!$E$18+1,1))</f>
        <v>420.2510366318939</v>
      </c>
      <c r="HA128" s="62">
        <f t="shared" si="106"/>
        <v>220.59884411514116</v>
      </c>
      <c r="HB128" s="16">
        <f>IF(ISNA(VLOOKUP(A128,'Données projet'!$A$269:$I$289,3,0)),0,VLOOKUP(A128,'Données projet'!$A$269:$I$289,3,0))</f>
        <v>20</v>
      </c>
      <c r="HC128" s="16">
        <f>IF(ISNA(VLOOKUP(A128,'Données projet'!$A$269:$I$289,4,0)),0,VLOOKUP(A128,'Données projet'!$A$269:$I$289,4,0))</f>
        <v>298</v>
      </c>
      <c r="HD128" s="17">
        <f>IF(ISNA(VLOOKUP(A128,'Données projet'!$A$269:$I$289,5,0)),0%,VLOOKUP(A128,'Données projet'!$A$269:$I$289,5,0)*VLOOKUP('Données projet'!$B$18,Paramètres!$A$1:$I$89,7,0))</f>
        <v>0.34400000000000003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161.14291236531554</v>
      </c>
      <c r="HH128" s="23">
        <f>EXP(-LN(2)/25)*HH127+(1-EXP(-LN(2)/25))/(LN(2)/25)*Calculateur!HC128*Calculateur!HE128*VLOOKUP('Données projet'!$B$18,Paramètres!$A$1:$I$89,3,0)*0.475*44/12</f>
        <v>0</v>
      </c>
      <c r="HI128" s="23">
        <f>EXP(-LN(2)/2)*HI127+(1-EXP(-LN(2)/2))/(LN(2)/2)*HC128*HF128*VLOOKUP('Données projet'!$B$18,Paramètres!$A$1:$I$89,3,0)*0.475*44/12</f>
        <v>0</v>
      </c>
      <c r="HJ128" s="24">
        <f t="shared" si="84"/>
        <v>161.14291236531554</v>
      </c>
    </row>
    <row r="129" spans="1:218" s="5" customFormat="1" x14ac:dyDescent="0.2">
      <c r="A129" s="11">
        <f t="shared" si="85"/>
        <v>126</v>
      </c>
      <c r="B129" s="74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-4.5474735088646412E-13</v>
      </c>
      <c r="O129" s="14">
        <f>N129*VLOOKUP('Données projet'!$B$9,Paramètres!$A$1:$I$89,3,0)*VLOOKUP('Données projet'!$B$9,Paramètres!$A$1:$I$89,5,0)</f>
        <v>-3.9017322706058626E-13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623.31285537237943</v>
      </c>
      <c r="T129" s="62">
        <f t="shared" si="88"/>
        <v>462.33909258902241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168.1196612079965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168.1196612079965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4.9658410716801891E-14</v>
      </c>
      <c r="AK129" s="14">
        <f t="shared" si="89"/>
        <v>8.0934058173791862E-13</v>
      </c>
      <c r="AL129" s="22">
        <f t="shared" si="58"/>
        <v>1.4960899118586383E-12</v>
      </c>
      <c r="AM129" s="62">
        <f t="shared" si="59"/>
        <v>293.33333333333479</v>
      </c>
      <c r="AN129" s="62">
        <f ca="1">AVERAGE(OFFSET($AM$3,0,0,'Données projet'!$E$10+1,1))-AVERAGE(OFFSET($H$3,0,0,'Données projet'!$E$10+1,1))</f>
        <v>390.70479111593545</v>
      </c>
      <c r="AO129" s="62">
        <f t="shared" si="90"/>
        <v>374.99493809709708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66.224341770298111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66.224341770298111</v>
      </c>
      <c r="AY129" s="7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5.6843418860808015E-14</v>
      </c>
      <c r="BE129" s="14">
        <f>BD129*VLOOKUP('Données projet'!$B$11,Paramètres!$A$1:$I$89,3,0)*VLOOKUP('Données projet'!$B$11,Paramètres!$A$1:$I$89,5,0)</f>
        <v>4.5224624045658861E-14</v>
      </c>
      <c r="BF129" s="14">
        <f t="shared" si="91"/>
        <v>7.4514601661523691E-13</v>
      </c>
      <c r="BG129" s="22">
        <f t="shared" si="61"/>
        <v>1.3765621991510601E-12</v>
      </c>
      <c r="BH129" s="62">
        <f t="shared" si="62"/>
        <v>293.33333333333468</v>
      </c>
      <c r="BI129" s="62">
        <f ca="1">AVERAGE(OFFSET($BH$3,0,0,'Données projet'!$E$11+1,1))-AVERAGE(OFFSET($H$3,0,0,'Données projet'!$E$11+1,1))</f>
        <v>359.18294335011535</v>
      </c>
      <c r="BJ129" s="62">
        <f t="shared" si="92"/>
        <v>345.47508134331241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60.311454112235765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60.311454112235765</v>
      </c>
      <c r="BT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5.6843418860808015E-14</v>
      </c>
      <c r="BZ129" s="14">
        <f>BY129*VLOOKUP('Données projet'!$B$12,Paramètres!$A$1:$I$89,3,0)*VLOOKUP('Données projet'!$B$12,Paramètres!$A$1:$I$89,5,0)</f>
        <v>4.1677594708744434E-14</v>
      </c>
      <c r="CA129" s="14">
        <f t="shared" si="93"/>
        <v>6.9326303456159188E-13</v>
      </c>
      <c r="CB129" s="22">
        <f t="shared" si="64"/>
        <v>1.2800215959791691E-12</v>
      </c>
      <c r="CC129" s="62">
        <f t="shared" si="65"/>
        <v>293.33333333333462</v>
      </c>
      <c r="CD129" s="62">
        <f ca="1">AVERAGE(OFFSET($CC$3,0,0,'Données projet'!$E$12+1,1))-AVERAGE(OFFSET($H$3,0,0,'Données projet'!$E$12+1,1))</f>
        <v>333.9187211440219</v>
      </c>
      <c r="CE129" s="62">
        <f t="shared" si="94"/>
        <v>321.81422611044997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45.094135686581012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45.094135686581012</v>
      </c>
      <c r="CO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5.6843418860808015E-14</v>
      </c>
      <c r="CU129" s="18">
        <f>CT129*VLOOKUP('Données projet'!$B$13,Paramètres!$A$1:$I$89,3,0)*VLOOKUP('Données projet'!$B$13,Paramètres!$A$1:$I$89,5,0)</f>
        <v>4.6111381379887463E-14</v>
      </c>
      <c r="CV129" s="14">
        <f t="shared" si="95"/>
        <v>7.5804141040779151E-13</v>
      </c>
      <c r="CW129" s="22">
        <f t="shared" si="67"/>
        <v>1.4005661123635408E-12</v>
      </c>
      <c r="CX129" s="62">
        <f t="shared" si="68"/>
        <v>293.33333333333474</v>
      </c>
      <c r="CY129" s="62">
        <f ca="1">AVERAGE(OFFSET($CX$3,0,0,'Données projet'!$E$13+1,1))-AVERAGE(OFFSET($H$3,0,0,'Données projet'!$E$13+1,1))</f>
        <v>365.492319515595</v>
      </c>
      <c r="CZ129" s="62">
        <f t="shared" si="96"/>
        <v>351.38386928091433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49.891384163876836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49.891384163876836</v>
      </c>
      <c r="DJ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8.0699999999999985</v>
      </c>
      <c r="DO129" s="13">
        <f>IF('Données projet'!$A$166&gt;35,DO128+DN129-DW128,IF(A129&lt;'Données projet'!$A$166,$DL$205^A129,IF(A129='Données projet'!$A$166,'Données projet'!$B$166,DO128+DN129-DW128)))</f>
        <v>372.03000000000071</v>
      </c>
      <c r="DP129" s="18">
        <f>DO129*VLOOKUP('Données projet'!$B$14,Paramètres!$A$1:$I$89,3,0)*VLOOKUP('Données projet'!$B$14,Paramètres!$A$1:$I$89,5,0)</f>
        <v>313.39807200000064</v>
      </c>
      <c r="DQ129" s="14">
        <f t="shared" si="97"/>
        <v>73.978031958027543</v>
      </c>
      <c r="DR129" s="22">
        <f t="shared" si="70"/>
        <v>674.68004772689903</v>
      </c>
      <c r="DS129" s="62">
        <f t="shared" si="71"/>
        <v>968.0133810602324</v>
      </c>
      <c r="DT129" s="62">
        <f ca="1">AVERAGE(OFFSET($DS$3,0,0,'Données projet'!$E$14+1,1))-AVERAGE(OFFSET($H$3,0,0,'Données projet'!$E$14+1,1))</f>
        <v>544.89250424794909</v>
      </c>
      <c r="DU129" s="62">
        <f t="shared" si="98"/>
        <v>253.98688498110715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50.188326460852636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50.188326460852636</v>
      </c>
      <c r="EE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8.0699999999999985</v>
      </c>
      <c r="EJ129" s="13">
        <f>IF('Données projet'!$A$192&gt;35,EJ128+EI129-ER128,IF(A129&lt;'Données projet'!$A$192,$EG$205^A129,IF(A129='Données projet'!$A$192,'Données projet'!$B$192,EJ128+EI129-ER128)))</f>
        <v>372.03000000000071</v>
      </c>
      <c r="EK129" s="18">
        <f>EJ129*VLOOKUP('Données projet'!$B$15,Paramètres!$A$1:$I$89,3,0)*VLOOKUP('Données projet'!$B$15,Paramètres!$A$1:$I$89,5,0)</f>
        <v>336.61274400000065</v>
      </c>
      <c r="EL129" s="14">
        <f t="shared" si="99"/>
        <v>78.799710600410648</v>
      </c>
      <c r="EM129" s="22">
        <f t="shared" si="73"/>
        <v>723.51002509571629</v>
      </c>
      <c r="EN129" s="62">
        <f t="shared" si="74"/>
        <v>1016.8433584290497</v>
      </c>
      <c r="EO129" s="62">
        <f ca="1">AVERAGE(OFFSET($EN$3,0,0,'Données projet'!$E$15+1,1))-AVERAGE(OFFSET($H$3,0,0,'Données projet'!$E$15+1,1))</f>
        <v>581.88778927327667</v>
      </c>
      <c r="EP129" s="62">
        <f t="shared" si="100"/>
        <v>269.67340993773422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53.90598027276765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53.90598027276765</v>
      </c>
      <c r="EZ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8.0699999999999985</v>
      </c>
      <c r="FE129" s="13">
        <f>IF('Données projet'!$A$218&gt;35,FE128+FD129-FM128,IF(A129&lt;'Données projet'!$A$218,$FB$205^A129,IF(A129='Données projet'!$A$218,'Données projet'!$B$218,FE128+FD129-FM128)))</f>
        <v>372.03000000000071</v>
      </c>
      <c r="FF129" s="18">
        <f>FE129*VLOOKUP('Données projet'!$B$16,Paramètres!$A$1:$I$89,3,0)*VLOOKUP('Données projet'!$B$16,Paramètres!$A$1:$I$89,5,0)</f>
        <v>377.23842000000076</v>
      </c>
      <c r="FG129" s="14">
        <f t="shared" si="101"/>
        <v>87.146487914300891</v>
      </c>
      <c r="FH129" s="22">
        <f t="shared" si="76"/>
        <v>808.80371461740867</v>
      </c>
      <c r="FI129" s="62">
        <f t="shared" si="77"/>
        <v>1102.137047950742</v>
      </c>
      <c r="FJ129" s="62">
        <f ca="1">AVERAGE(OFFSET($FI$3,0,0,'Données projet'!$E$16+1,1))-AVERAGE(OFFSET($H$3,0,0,'Données projet'!$E$16+1,1))</f>
        <v>646.50767193970182</v>
      </c>
      <c r="FK129" s="62">
        <f t="shared" si="102"/>
        <v>297.06786598620607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60.411874443618906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60.411874443618906</v>
      </c>
      <c r="FU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8.0699999999999985</v>
      </c>
      <c r="FZ129" s="13">
        <f>IF('Données projet'!$A$244&gt;35,FZ128+FY129-GH128,IF(A129&lt;'Données projet'!$A$244,$FW$205^A129,IF(A129='Données projet'!$A$244,'Données projet'!$B$244,FZ128+FY129-GH128)))</f>
        <v>372.03000000000071</v>
      </c>
      <c r="GA129" s="18">
        <f>FZ129*VLOOKUP('Données projet'!$B$17,Paramètres!$A$1:$I$89,3,0)*VLOOKUP('Données projet'!$B$17,Paramètres!$A$1:$I$89,5,0)</f>
        <v>249.55772400000046</v>
      </c>
      <c r="GB129" s="14">
        <f t="shared" si="103"/>
        <v>60.49122434587882</v>
      </c>
      <c r="GC129" s="22">
        <f t="shared" si="79"/>
        <v>540.00191836907311</v>
      </c>
      <c r="GD129" s="62">
        <f t="shared" si="80"/>
        <v>833.33525170240637</v>
      </c>
      <c r="GE129" s="62">
        <f ca="1">AVERAGE(OFFSET($GD$3,0,0,'Données projet'!$E$17+1,1))-AVERAGE(OFFSET($H$3,0,0,'Données projet'!$E$17+1,1))</f>
        <v>442.85175349826028</v>
      </c>
      <c r="GF129" s="62">
        <f t="shared" si="104"/>
        <v>210.70697808232501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49.258913007873886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49.258913007873886</v>
      </c>
      <c r="GP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-3.4106051316484809E-13</v>
      </c>
      <c r="GV129" s="18">
        <f>GU129*VLOOKUP('Données projet'!$B$18,Paramètres!$A$1:$I$89,3,0)*VLOOKUP('Données projet'!$B$18,Paramètres!$A$1:$I$89,5,0)</f>
        <v>-3.2455318432766944E-13</v>
      </c>
      <c r="GW129" s="14" t="e">
        <f t="shared" si="105"/>
        <v>#NUM!</v>
      </c>
      <c r="GX129" s="22" t="e">
        <f t="shared" si="82"/>
        <v>#NUM!</v>
      </c>
      <c r="GY129" s="62" t="e">
        <f t="shared" si="83"/>
        <v>#NUM!</v>
      </c>
      <c r="GZ129" s="62">
        <f ca="1">AVERAGE(OFFSET($GY$3,0,0,'Données projet'!$E$18+1,1))-AVERAGE(OFFSET($H$3,0,0,'Données projet'!$E$18+1,1))</f>
        <v>420.2510366318939</v>
      </c>
      <c r="HA129" s="62">
        <f t="shared" si="106"/>
        <v>220.59884411514116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157.98299814130317</v>
      </c>
      <c r="HH129" s="23">
        <f>EXP(-LN(2)/25)*HH128+(1-EXP(-LN(2)/25))/(LN(2)/25)*Calculateur!HC129*Calculateur!HE129*VLOOKUP('Données projet'!$B$18,Paramètres!$A$1:$I$89,3,0)*0.475*44/12</f>
        <v>0</v>
      </c>
      <c r="HI129" s="23">
        <f>EXP(-LN(2)/2)*HI128+(1-EXP(-LN(2)/2))/(LN(2)/2)*HC129*HF129*VLOOKUP('Données projet'!$B$18,Paramètres!$A$1:$I$89,3,0)*0.475*44/12</f>
        <v>0</v>
      </c>
      <c r="HJ129" s="24">
        <f t="shared" si="84"/>
        <v>157.98299814130317</v>
      </c>
    </row>
    <row r="130" spans="1:218" s="5" customFormat="1" x14ac:dyDescent="0.2">
      <c r="A130" s="11">
        <f t="shared" si="85"/>
        <v>127</v>
      </c>
      <c r="B130" s="74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-4.5474735088646412E-13</v>
      </c>
      <c r="O130" s="14">
        <f>N130*VLOOKUP('Données projet'!$B$9,Paramètres!$A$1:$I$89,3,0)*VLOOKUP('Données projet'!$B$9,Paramètres!$A$1:$I$89,5,0)</f>
        <v>-3.9017322706058626E-13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623.31285537237943</v>
      </c>
      <c r="T130" s="62">
        <f t="shared" si="88"/>
        <v>462.33909258902241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164.82293719457576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164.82293719457576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4.9658410716801891E-14</v>
      </c>
      <c r="AK130" s="14">
        <f t="shared" si="89"/>
        <v>8.0934058173791862E-13</v>
      </c>
      <c r="AL130" s="22">
        <f t="shared" si="58"/>
        <v>1.4960899118586383E-12</v>
      </c>
      <c r="AM130" s="62">
        <f t="shared" si="59"/>
        <v>293.33333333333479</v>
      </c>
      <c r="AN130" s="62">
        <f ca="1">AVERAGE(OFFSET($AM$3,0,0,'Données projet'!$E$10+1,1))-AVERAGE(OFFSET($H$3,0,0,'Données projet'!$E$10+1,1))</f>
        <v>390.70479111593545</v>
      </c>
      <c r="AO130" s="62">
        <f t="shared" si="90"/>
        <v>374.99493809709708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64.925722821042584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64.925722821042584</v>
      </c>
      <c r="AY130" s="7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5.6843418860808015E-14</v>
      </c>
      <c r="BE130" s="14">
        <f>BD130*VLOOKUP('Données projet'!$B$11,Paramètres!$A$1:$I$89,3,0)*VLOOKUP('Données projet'!$B$11,Paramètres!$A$1:$I$89,5,0)</f>
        <v>4.5224624045658861E-14</v>
      </c>
      <c r="BF130" s="14">
        <f t="shared" si="91"/>
        <v>7.4514601661523691E-13</v>
      </c>
      <c r="BG130" s="22">
        <f t="shared" si="61"/>
        <v>1.3765621991510601E-12</v>
      </c>
      <c r="BH130" s="62">
        <f t="shared" si="62"/>
        <v>293.33333333333468</v>
      </c>
      <c r="BI130" s="62">
        <f ca="1">AVERAGE(OFFSET($BH$3,0,0,'Données projet'!$E$11+1,1))-AVERAGE(OFFSET($H$3,0,0,'Données projet'!$E$11+1,1))</f>
        <v>359.18294335011535</v>
      </c>
      <c r="BJ130" s="62">
        <f t="shared" si="92"/>
        <v>345.47508134331241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59.128783283449479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59.128783283449479</v>
      </c>
      <c r="BT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5.6843418860808015E-14</v>
      </c>
      <c r="BZ130" s="14">
        <f>BY130*VLOOKUP('Données projet'!$B$12,Paramètres!$A$1:$I$89,3,0)*VLOOKUP('Données projet'!$B$12,Paramètres!$A$1:$I$89,5,0)</f>
        <v>4.1677594708744434E-14</v>
      </c>
      <c r="CA130" s="14">
        <f t="shared" si="93"/>
        <v>6.9326303456159188E-13</v>
      </c>
      <c r="CB130" s="22">
        <f t="shared" si="64"/>
        <v>1.2800215959791691E-12</v>
      </c>
      <c r="CC130" s="62">
        <f t="shared" si="65"/>
        <v>293.33333333333462</v>
      </c>
      <c r="CD130" s="62">
        <f ca="1">AVERAGE(OFFSET($CC$3,0,0,'Données projet'!$E$12+1,1))-AVERAGE(OFFSET($H$3,0,0,'Données projet'!$E$12+1,1))</f>
        <v>333.9187211440219</v>
      </c>
      <c r="CE130" s="62">
        <f t="shared" si="94"/>
        <v>321.81422611044997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44.209867190474064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44.209867190474064</v>
      </c>
      <c r="CO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5.6843418860808015E-14</v>
      </c>
      <c r="CU130" s="18">
        <f>CT130*VLOOKUP('Données projet'!$B$13,Paramètres!$A$1:$I$89,3,0)*VLOOKUP('Données projet'!$B$13,Paramètres!$A$1:$I$89,5,0)</f>
        <v>4.6111381379887463E-14</v>
      </c>
      <c r="CV130" s="14">
        <f t="shared" si="95"/>
        <v>7.5804141040779151E-13</v>
      </c>
      <c r="CW130" s="22">
        <f t="shared" si="67"/>
        <v>1.4005661123635408E-12</v>
      </c>
      <c r="CX130" s="62">
        <f t="shared" si="68"/>
        <v>293.33333333333474</v>
      </c>
      <c r="CY130" s="62">
        <f ca="1">AVERAGE(OFFSET($CX$3,0,0,'Données projet'!$E$13+1,1))-AVERAGE(OFFSET($H$3,0,0,'Données projet'!$E$13+1,1))</f>
        <v>365.492319515595</v>
      </c>
      <c r="CZ130" s="62">
        <f t="shared" si="96"/>
        <v>351.38386928091433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48.913044551162763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48.913044551162763</v>
      </c>
      <c r="DJ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8.0699999999999985</v>
      </c>
      <c r="DO130" s="13">
        <f>IF('Données projet'!$A$166&gt;35,DO129+DN130-DW129,IF(A130&lt;'Données projet'!$A$166,$DL$205^A130,IF(A130='Données projet'!$A$166,'Données projet'!$B$166,DO129+DN130-DW129)))</f>
        <v>380.1000000000007</v>
      </c>
      <c r="DP130" s="18">
        <f>DO130*VLOOKUP('Données projet'!$B$14,Paramètres!$A$1:$I$89,3,0)*VLOOKUP('Données projet'!$B$14,Paramètres!$A$1:$I$89,5,0)</f>
        <v>320.19624000000061</v>
      </c>
      <c r="DQ130" s="14">
        <f t="shared" si="97"/>
        <v>75.394183754273371</v>
      </c>
      <c r="DR130" s="22">
        <f t="shared" si="70"/>
        <v>688.98665470536037</v>
      </c>
      <c r="DS130" s="62">
        <f t="shared" si="71"/>
        <v>982.31998803869374</v>
      </c>
      <c r="DT130" s="62">
        <f ca="1">AVERAGE(OFFSET($DS$3,0,0,'Données projet'!$E$14+1,1))-AVERAGE(OFFSET($H$3,0,0,'Données projet'!$E$14+1,1))</f>
        <v>544.89250424794909</v>
      </c>
      <c r="DU130" s="62">
        <f t="shared" si="98"/>
        <v>253.98688498110715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49.204163990811786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49.204163990811786</v>
      </c>
      <c r="EE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8.0699999999999985</v>
      </c>
      <c r="EJ130" s="13">
        <f>IF('Données projet'!$A$192&gt;35,EJ129+EI130-ER129,IF(A130&lt;'Données projet'!$A$192,$EG$205^A130,IF(A130='Données projet'!$A$192,'Données projet'!$B$192,EJ129+EI130-ER129)))</f>
        <v>380.1000000000007</v>
      </c>
      <c r="EK130" s="18">
        <f>EJ130*VLOOKUP('Données projet'!$B$15,Paramètres!$A$1:$I$89,3,0)*VLOOKUP('Données projet'!$B$15,Paramètres!$A$1:$I$89,5,0)</f>
        <v>343.91448000000065</v>
      </c>
      <c r="EL130" s="14">
        <f t="shared" si="99"/>
        <v>80.308163160675235</v>
      </c>
      <c r="EM130" s="22">
        <f t="shared" si="73"/>
        <v>738.85443683817709</v>
      </c>
      <c r="EN130" s="62">
        <f t="shared" si="74"/>
        <v>1032.1877701715105</v>
      </c>
      <c r="EO130" s="62">
        <f ca="1">AVERAGE(OFFSET($EN$3,0,0,'Données projet'!$E$15+1,1))-AVERAGE(OFFSET($H$3,0,0,'Données projet'!$E$15+1,1))</f>
        <v>581.88778927327667</v>
      </c>
      <c r="EP130" s="62">
        <f t="shared" si="100"/>
        <v>269.67340993773422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52.848916879020074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52.848916879020074</v>
      </c>
      <c r="EZ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8.0699999999999985</v>
      </c>
      <c r="FE130" s="13">
        <f>IF('Données projet'!$A$218&gt;35,FE129+FD130-FM129,IF(A130&lt;'Données projet'!$A$218,$FB$205^A130,IF(A130='Données projet'!$A$218,'Données projet'!$B$218,FE129+FD130-FM129)))</f>
        <v>380.1000000000007</v>
      </c>
      <c r="FF130" s="18">
        <f>FE130*VLOOKUP('Données projet'!$B$16,Paramètres!$A$1:$I$89,3,0)*VLOOKUP('Données projet'!$B$16,Paramètres!$A$1:$I$89,5,0)</f>
        <v>385.42140000000074</v>
      </c>
      <c r="FG130" s="14">
        <f t="shared" si="101"/>
        <v>88.814721741694029</v>
      </c>
      <c r="FH130" s="22">
        <f t="shared" si="76"/>
        <v>825.96124536678508</v>
      </c>
      <c r="FI130" s="62">
        <f t="shared" si="77"/>
        <v>1119.2945787001183</v>
      </c>
      <c r="FJ130" s="62">
        <f ca="1">AVERAGE(OFFSET($FI$3,0,0,'Données projet'!$E$16+1,1))-AVERAGE(OFFSET($H$3,0,0,'Données projet'!$E$16+1,1))</f>
        <v>646.50767193970182</v>
      </c>
      <c r="FK130" s="62">
        <f t="shared" si="102"/>
        <v>297.06786598620607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59.227234433384552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59.227234433384552</v>
      </c>
      <c r="FU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8.0699999999999985</v>
      </c>
      <c r="FZ130" s="13">
        <f>IF('Données projet'!$A$244&gt;35,FZ129+FY130-GH129,IF(A130&lt;'Données projet'!$A$244,$FW$205^A130,IF(A130='Données projet'!$A$244,'Données projet'!$B$244,FZ129+FY130-GH129)))</f>
        <v>380.1000000000007</v>
      </c>
      <c r="GA130" s="18">
        <f>FZ130*VLOOKUP('Données projet'!$B$17,Paramètres!$A$1:$I$89,3,0)*VLOOKUP('Données projet'!$B$17,Paramètres!$A$1:$I$89,5,0)</f>
        <v>254.97108000000048</v>
      </c>
      <c r="GB130" s="14">
        <f t="shared" si="103"/>
        <v>61.649199946840042</v>
      </c>
      <c r="GC130" s="22">
        <f t="shared" si="79"/>
        <v>551.44698757408059</v>
      </c>
      <c r="GD130" s="62">
        <f t="shared" si="80"/>
        <v>844.78032090741385</v>
      </c>
      <c r="GE130" s="62">
        <f ca="1">AVERAGE(OFFSET($GD$3,0,0,'Données projet'!$E$17+1,1))-AVERAGE(OFFSET($H$3,0,0,'Données projet'!$E$17+1,1))</f>
        <v>442.85175349826028</v>
      </c>
      <c r="GF130" s="62">
        <f t="shared" si="104"/>
        <v>210.70697808232501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48.292975768759717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48.292975768759717</v>
      </c>
      <c r="GP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-3.4106051316484809E-13</v>
      </c>
      <c r="GV130" s="18">
        <f>GU130*VLOOKUP('Données projet'!$B$18,Paramètres!$A$1:$I$89,3,0)*VLOOKUP('Données projet'!$B$18,Paramètres!$A$1:$I$89,5,0)</f>
        <v>-3.2455318432766944E-13</v>
      </c>
      <c r="GW130" s="14" t="e">
        <f t="shared" si="105"/>
        <v>#NUM!</v>
      </c>
      <c r="GX130" s="22" t="e">
        <f t="shared" si="82"/>
        <v>#NUM!</v>
      </c>
      <c r="GY130" s="62" t="e">
        <f t="shared" si="83"/>
        <v>#NUM!</v>
      </c>
      <c r="GZ130" s="62">
        <f ca="1">AVERAGE(OFFSET($GY$3,0,0,'Données projet'!$E$18+1,1))-AVERAGE(OFFSET($H$3,0,0,'Données projet'!$E$18+1,1))</f>
        <v>420.2510366318939</v>
      </c>
      <c r="HA130" s="62">
        <f t="shared" si="106"/>
        <v>220.59884411514116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154.88504790786632</v>
      </c>
      <c r="HH130" s="23">
        <f>EXP(-LN(2)/25)*HH129+(1-EXP(-LN(2)/25))/(LN(2)/25)*Calculateur!HC130*Calculateur!HE130*VLOOKUP('Données projet'!$B$18,Paramètres!$A$1:$I$89,3,0)*0.475*44/12</f>
        <v>0</v>
      </c>
      <c r="HI130" s="23">
        <f>EXP(-LN(2)/2)*HI129+(1-EXP(-LN(2)/2))/(LN(2)/2)*HC130*HF130*VLOOKUP('Données projet'!$B$18,Paramètres!$A$1:$I$89,3,0)*0.475*44/12</f>
        <v>0</v>
      </c>
      <c r="HJ130" s="24">
        <f t="shared" si="84"/>
        <v>154.88504790786632</v>
      </c>
    </row>
    <row r="131" spans="1:218" s="5" customFormat="1" x14ac:dyDescent="0.2">
      <c r="A131" s="11">
        <f t="shared" si="85"/>
        <v>128</v>
      </c>
      <c r="B131" s="74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-4.5474735088646412E-13</v>
      </c>
      <c r="O131" s="14">
        <f>N131*VLOOKUP('Données projet'!$B$9,Paramètres!$A$1:$I$89,3,0)*VLOOKUP('Données projet'!$B$9,Paramètres!$A$1:$I$89,5,0)</f>
        <v>-3.9017322706058626E-13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623.31285537237943</v>
      </c>
      <c r="T131" s="62">
        <f t="shared" si="88"/>
        <v>462.33909258902241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161.5908599282551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161.5908599282551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4.9658410716801891E-14</v>
      </c>
      <c r="AK131" s="14">
        <f t="shared" si="89"/>
        <v>8.0934058173791862E-13</v>
      </c>
      <c r="AL131" s="22">
        <f t="shared" si="58"/>
        <v>1.4960899118586383E-12</v>
      </c>
      <c r="AM131" s="62">
        <f t="shared" si="59"/>
        <v>293.33333333333479</v>
      </c>
      <c r="AN131" s="62">
        <f ca="1">AVERAGE(OFFSET($AM$3,0,0,'Données projet'!$E$10+1,1))-AVERAGE(OFFSET($H$3,0,0,'Données projet'!$E$10+1,1))</f>
        <v>390.70479111593545</v>
      </c>
      <c r="AO131" s="62">
        <f t="shared" si="90"/>
        <v>374.99493809709708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63.652568997302609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63.652568997302609</v>
      </c>
      <c r="AY131" s="7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5.6843418860808015E-14</v>
      </c>
      <c r="BE131" s="14">
        <f>BD131*VLOOKUP('Données projet'!$B$11,Paramètres!$A$1:$I$89,3,0)*VLOOKUP('Données projet'!$B$11,Paramètres!$A$1:$I$89,5,0)</f>
        <v>4.5224624045658861E-14</v>
      </c>
      <c r="BF131" s="14">
        <f t="shared" si="91"/>
        <v>7.4514601661523691E-13</v>
      </c>
      <c r="BG131" s="22">
        <f t="shared" si="61"/>
        <v>1.3765621991510601E-12</v>
      </c>
      <c r="BH131" s="62">
        <f t="shared" si="62"/>
        <v>293.33333333333468</v>
      </c>
      <c r="BI131" s="62">
        <f ca="1">AVERAGE(OFFSET($BH$3,0,0,'Données projet'!$E$11+1,1))-AVERAGE(OFFSET($H$3,0,0,'Données projet'!$E$11+1,1))</f>
        <v>359.18294335011535</v>
      </c>
      <c r="BJ131" s="62">
        <f t="shared" si="92"/>
        <v>345.47508134331241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57.969303908257714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57.969303908257714</v>
      </c>
      <c r="BT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5.6843418860808015E-14</v>
      </c>
      <c r="BZ131" s="14">
        <f>BY131*VLOOKUP('Données projet'!$B$12,Paramètres!$A$1:$I$89,3,0)*VLOOKUP('Données projet'!$B$12,Paramètres!$A$1:$I$89,5,0)</f>
        <v>4.1677594708744434E-14</v>
      </c>
      <c r="CA131" s="14">
        <f t="shared" si="93"/>
        <v>6.9326303456159188E-13</v>
      </c>
      <c r="CB131" s="22">
        <f t="shared" si="64"/>
        <v>1.2800215959791691E-12</v>
      </c>
      <c r="CC131" s="62">
        <f t="shared" si="65"/>
        <v>293.33333333333462</v>
      </c>
      <c r="CD131" s="62">
        <f ca="1">AVERAGE(OFFSET($CC$3,0,0,'Données projet'!$E$12+1,1))-AVERAGE(OFFSET($H$3,0,0,'Données projet'!$E$12+1,1))</f>
        <v>333.9187211440219</v>
      </c>
      <c r="CE131" s="62">
        <f t="shared" si="94"/>
        <v>321.81422611044997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43.342938660225244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43.342938660225244</v>
      </c>
      <c r="CO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5.6843418860808015E-14</v>
      </c>
      <c r="CU131" s="18">
        <f>CT131*VLOOKUP('Données projet'!$B$13,Paramètres!$A$1:$I$89,3,0)*VLOOKUP('Données projet'!$B$13,Paramètres!$A$1:$I$89,5,0)</f>
        <v>4.6111381379887463E-14</v>
      </c>
      <c r="CV131" s="14">
        <f t="shared" si="95"/>
        <v>7.5804141040779151E-13</v>
      </c>
      <c r="CW131" s="22">
        <f t="shared" si="67"/>
        <v>1.4005661123635408E-12</v>
      </c>
      <c r="CX131" s="62">
        <f t="shared" si="68"/>
        <v>293.33333333333474</v>
      </c>
      <c r="CY131" s="62">
        <f ca="1">AVERAGE(OFFSET($CX$3,0,0,'Données projet'!$E$13+1,1))-AVERAGE(OFFSET($H$3,0,0,'Données projet'!$E$13+1,1))</f>
        <v>365.492319515595</v>
      </c>
      <c r="CZ131" s="62">
        <f t="shared" si="96"/>
        <v>351.38386928091433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47.953889581525772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47.953889581525772</v>
      </c>
      <c r="DJ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8.0699999999999985</v>
      </c>
      <c r="DO131" s="13">
        <f>IF('Données projet'!$A$166&gt;35,DO130+DN131-DW130,IF(A131&lt;'Données projet'!$A$166,$DL$205^A131,IF(A131='Données projet'!$A$166,'Données projet'!$B$166,DO130+DN131-DW130)))</f>
        <v>388.1700000000007</v>
      </c>
      <c r="DP131" s="18">
        <f>DO131*VLOOKUP('Données projet'!$B$14,Paramètres!$A$1:$I$89,3,0)*VLOOKUP('Données projet'!$B$14,Paramètres!$A$1:$I$89,5,0)</f>
        <v>326.99440800000059</v>
      </c>
      <c r="DQ131" s="14">
        <f t="shared" si="97"/>
        <v>76.806839832344025</v>
      </c>
      <c r="DR131" s="22">
        <f t="shared" si="70"/>
        <v>703.28717330800021</v>
      </c>
      <c r="DS131" s="62">
        <f t="shared" si="71"/>
        <v>996.62050664133358</v>
      </c>
      <c r="DT131" s="62">
        <f ca="1">AVERAGE(OFFSET($DS$3,0,0,'Données projet'!$E$14+1,1))-AVERAGE(OFFSET($H$3,0,0,'Données projet'!$E$14+1,1))</f>
        <v>544.89250424794909</v>
      </c>
      <c r="DU131" s="62">
        <f t="shared" si="98"/>
        <v>253.98688498110715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48.239300346528601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48.239300346528601</v>
      </c>
      <c r="EE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8.0699999999999985</v>
      </c>
      <c r="EJ131" s="13">
        <f>IF('Données projet'!$A$192&gt;35,EJ130+EI131-ER130,IF(A131&lt;'Données projet'!$A$192,$EG$205^A131,IF(A131='Données projet'!$A$192,'Données projet'!$B$192,EJ130+EI131-ER130)))</f>
        <v>388.1700000000007</v>
      </c>
      <c r="EK131" s="18">
        <f>EJ131*VLOOKUP('Données projet'!$B$15,Paramètres!$A$1:$I$89,3,0)*VLOOKUP('Données projet'!$B$15,Paramètres!$A$1:$I$89,5,0)</f>
        <v>351.2162160000006</v>
      </c>
      <c r="EL131" s="14">
        <f t="shared" si="99"/>
        <v>81.812892161752615</v>
      </c>
      <c r="EM131" s="22">
        <f t="shared" si="73"/>
        <v>754.19236338172016</v>
      </c>
      <c r="EN131" s="62">
        <f t="shared" si="74"/>
        <v>1047.5256967150535</v>
      </c>
      <c r="EO131" s="62">
        <f ca="1">AVERAGE(OFFSET($EN$3,0,0,'Données projet'!$E$15+1,1))-AVERAGE(OFFSET($H$3,0,0,'Données projet'!$E$15+1,1))</f>
        <v>581.88778927327667</v>
      </c>
      <c r="EP131" s="62">
        <f t="shared" si="100"/>
        <v>269.67340993773422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51.812581853678878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51.812581853678878</v>
      </c>
      <c r="EZ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8.0699999999999985</v>
      </c>
      <c r="FE131" s="13">
        <f>IF('Données projet'!$A$218&gt;35,FE130+FD131-FM130,IF(A131&lt;'Données projet'!$A$218,$FB$205^A131,IF(A131='Données projet'!$A$218,'Données projet'!$B$218,FE130+FD131-FM130)))</f>
        <v>388.1700000000007</v>
      </c>
      <c r="FF131" s="18">
        <f>FE131*VLOOKUP('Données projet'!$B$16,Paramètres!$A$1:$I$89,3,0)*VLOOKUP('Données projet'!$B$16,Paramètres!$A$1:$I$89,5,0)</f>
        <v>393.60438000000073</v>
      </c>
      <c r="FG131" s="14">
        <f t="shared" si="101"/>
        <v>90.478837595769321</v>
      </c>
      <c r="FH131" s="22">
        <f t="shared" si="76"/>
        <v>843.1116039792995</v>
      </c>
      <c r="FI131" s="62">
        <f t="shared" si="77"/>
        <v>1136.4449373126329</v>
      </c>
      <c r="FJ131" s="62">
        <f ca="1">AVERAGE(OFFSET($FI$3,0,0,'Données projet'!$E$16+1,1))-AVERAGE(OFFSET($H$3,0,0,'Données projet'!$E$16+1,1))</f>
        <v>646.50767193970182</v>
      </c>
      <c r="FK131" s="62">
        <f t="shared" si="102"/>
        <v>297.06786598620607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58.065824491191833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58.065824491191833</v>
      </c>
      <c r="FU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8.0699999999999985</v>
      </c>
      <c r="FZ131" s="13">
        <f>IF('Données projet'!$A$244&gt;35,FZ130+FY131-GH130,IF(A131&lt;'Données projet'!$A$244,$FW$205^A131,IF(A131='Données projet'!$A$244,'Données projet'!$B$244,FZ130+FY131-GH130)))</f>
        <v>388.1700000000007</v>
      </c>
      <c r="GA131" s="18">
        <f>FZ131*VLOOKUP('Données projet'!$B$17,Paramètres!$A$1:$I$89,3,0)*VLOOKUP('Données projet'!$B$17,Paramètres!$A$1:$I$89,5,0)</f>
        <v>260.38443600000045</v>
      </c>
      <c r="GB131" s="14">
        <f t="shared" si="103"/>
        <v>62.804317127986735</v>
      </c>
      <c r="GC131" s="22">
        <f t="shared" si="79"/>
        <v>562.88707836457763</v>
      </c>
      <c r="GD131" s="62">
        <f t="shared" si="80"/>
        <v>856.220411697911</v>
      </c>
      <c r="GE131" s="62">
        <f ca="1">AVERAGE(OFFSET($GD$3,0,0,'Données projet'!$E$17+1,1))-AVERAGE(OFFSET($H$3,0,0,'Données projet'!$E$17+1,1))</f>
        <v>442.85175349826028</v>
      </c>
      <c r="GF131" s="62">
        <f t="shared" si="104"/>
        <v>210.70697808232501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47.345979969741038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47.345979969741038</v>
      </c>
      <c r="GP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-3.4106051316484809E-13</v>
      </c>
      <c r="GV131" s="18">
        <f>GU131*VLOOKUP('Données projet'!$B$18,Paramètres!$A$1:$I$89,3,0)*VLOOKUP('Données projet'!$B$18,Paramètres!$A$1:$I$89,5,0)</f>
        <v>-3.2455318432766944E-13</v>
      </c>
      <c r="GW131" s="14" t="e">
        <f t="shared" si="105"/>
        <v>#NUM!</v>
      </c>
      <c r="GX131" s="22" t="e">
        <f t="shared" si="82"/>
        <v>#NUM!</v>
      </c>
      <c r="GY131" s="62" t="e">
        <f t="shared" si="83"/>
        <v>#NUM!</v>
      </c>
      <c r="GZ131" s="62">
        <f ca="1">AVERAGE(OFFSET($GY$3,0,0,'Données projet'!$E$18+1,1))-AVERAGE(OFFSET($H$3,0,0,'Données projet'!$E$18+1,1))</f>
        <v>420.2510366318939</v>
      </c>
      <c r="HA131" s="62">
        <f t="shared" si="106"/>
        <v>220.59884411514116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151.84784658894409</v>
      </c>
      <c r="HH131" s="23">
        <f>EXP(-LN(2)/25)*HH130+(1-EXP(-LN(2)/25))/(LN(2)/25)*Calculateur!HC131*Calculateur!HE131*VLOOKUP('Données projet'!$B$18,Paramètres!$A$1:$I$89,3,0)*0.475*44/12</f>
        <v>0</v>
      </c>
      <c r="HI131" s="23">
        <f>EXP(-LN(2)/2)*HI130+(1-EXP(-LN(2)/2))/(LN(2)/2)*HC131*HF131*VLOOKUP('Données projet'!$B$18,Paramètres!$A$1:$I$89,3,0)*0.475*44/12</f>
        <v>0</v>
      </c>
      <c r="HJ131" s="24">
        <f t="shared" si="84"/>
        <v>151.84784658894409</v>
      </c>
    </row>
    <row r="132" spans="1:218" s="5" customFormat="1" x14ac:dyDescent="0.2">
      <c r="A132" s="11">
        <f t="shared" si="85"/>
        <v>129</v>
      </c>
      <c r="B132" s="74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-4.5474735088646412E-13</v>
      </c>
      <c r="O132" s="14">
        <f>N132*VLOOKUP('Données projet'!$B$9,Paramètres!$A$1:$I$89,3,0)*VLOOKUP('Données projet'!$B$9,Paramètres!$A$1:$I$89,5,0)</f>
        <v>-3.9017322706058626E-13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623.31285537237943</v>
      </c>
      <c r="T132" s="62">
        <f t="shared" si="88"/>
        <v>462.33909258902241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158.42216172575451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158.42216172575451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4.9658410716801891E-14</v>
      </c>
      <c r="AK132" s="14">
        <f t="shared" si="89"/>
        <v>8.0934058173791862E-13</v>
      </c>
      <c r="AL132" s="22">
        <f t="shared" ref="AL132:AL153" si="112">(AJ132+AK132)*0.475*44/12</f>
        <v>1.4960899118586383E-12</v>
      </c>
      <c r="AM132" s="62">
        <f t="shared" ref="AM132:AM195" si="113">AL132+(AD132+AE132)*44/12</f>
        <v>293.33333333333479</v>
      </c>
      <c r="AN132" s="62">
        <f ca="1">AVERAGE(OFFSET($AM$3,0,0,'Données projet'!$E$10+1,1))-AVERAGE(OFFSET($H$3,0,0,'Données projet'!$E$10+1,1))</f>
        <v>390.70479111593545</v>
      </c>
      <c r="AO132" s="62">
        <f t="shared" si="90"/>
        <v>374.99493809709708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62.404380943499021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62.404380943499021</v>
      </c>
      <c r="AY132" s="7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5.6843418860808015E-14</v>
      </c>
      <c r="BE132" s="14">
        <f>BD132*VLOOKUP('Données projet'!$B$11,Paramètres!$A$1:$I$89,3,0)*VLOOKUP('Données projet'!$B$11,Paramètres!$A$1:$I$89,5,0)</f>
        <v>4.5224624045658861E-14</v>
      </c>
      <c r="BF132" s="14">
        <f t="shared" si="91"/>
        <v>7.4514601661523691E-13</v>
      </c>
      <c r="BG132" s="22">
        <f t="shared" ref="BG132:BG153" si="115">(BE132+BF132)*0.475*44/12</f>
        <v>1.3765621991510601E-12</v>
      </c>
      <c r="BH132" s="62">
        <f t="shared" ref="BH132:BH195" si="116">BG132+(AY132+AZ132)*44/12</f>
        <v>293.33333333333468</v>
      </c>
      <c r="BI132" s="62">
        <f ca="1">AVERAGE(OFFSET($BH$3,0,0,'Données projet'!$E$11+1,1))-AVERAGE(OFFSET($H$3,0,0,'Données projet'!$E$11+1,1))</f>
        <v>359.18294335011535</v>
      </c>
      <c r="BJ132" s="62">
        <f t="shared" si="92"/>
        <v>345.47508134331241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56.832561216400876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56.832561216400876</v>
      </c>
      <c r="BT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5.6843418860808015E-14</v>
      </c>
      <c r="BZ132" s="14">
        <f>BY132*VLOOKUP('Données projet'!$B$12,Paramètres!$A$1:$I$89,3,0)*VLOOKUP('Données projet'!$B$12,Paramètres!$A$1:$I$89,5,0)</f>
        <v>4.1677594708744434E-14</v>
      </c>
      <c r="CA132" s="14">
        <f t="shared" si="93"/>
        <v>6.9326303456159188E-13</v>
      </c>
      <c r="CB132" s="22">
        <f t="shared" ref="CB132:CB153" si="118">(BZ132+CA132)*0.475*44/12</f>
        <v>1.2800215959791691E-12</v>
      </c>
      <c r="CC132" s="62">
        <f t="shared" ref="CC132:CC195" si="119">CB132+(BT132+BU132)*44/12</f>
        <v>293.33333333333462</v>
      </c>
      <c r="CD132" s="62">
        <f ca="1">AVERAGE(OFFSET($CC$3,0,0,'Données projet'!$E$12+1,1))-AVERAGE(OFFSET($H$3,0,0,'Données projet'!$E$12+1,1))</f>
        <v>333.9187211440219</v>
      </c>
      <c r="CE132" s="62">
        <f t="shared" si="94"/>
        <v>321.81422611044997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42.493010069680416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42.493010069680416</v>
      </c>
      <c r="CO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5.6843418860808015E-14</v>
      </c>
      <c r="CU132" s="18">
        <f>CT132*VLOOKUP('Données projet'!$B$13,Paramètres!$A$1:$I$89,3,0)*VLOOKUP('Données projet'!$B$13,Paramètres!$A$1:$I$89,5,0)</f>
        <v>4.6111381379887463E-14</v>
      </c>
      <c r="CV132" s="14">
        <f t="shared" si="95"/>
        <v>7.5804141040779151E-13</v>
      </c>
      <c r="CW132" s="22">
        <f t="shared" ref="CW132:CW153" si="121">(CU132+CV132)*0.475*44/12</f>
        <v>1.4005661123635408E-12</v>
      </c>
      <c r="CX132" s="62">
        <f t="shared" ref="CX132:CX195" si="122">CW132+(CO132+CP132)*44/12</f>
        <v>293.33333333333474</v>
      </c>
      <c r="CY132" s="62">
        <f ca="1">AVERAGE(OFFSET($CX$3,0,0,'Données projet'!$E$13+1,1))-AVERAGE(OFFSET($H$3,0,0,'Données projet'!$E$13+1,1))</f>
        <v>365.492319515595</v>
      </c>
      <c r="CZ132" s="62">
        <f t="shared" si="96"/>
        <v>351.38386928091433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47.013543055816598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47.013543055816598</v>
      </c>
      <c r="DJ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8.0699999999999985</v>
      </c>
      <c r="DO132" s="13">
        <f>IF('Données projet'!$A$166&gt;35,DO131+DN132-DW131,IF(A132&lt;'Données projet'!$A$166,$DL$205^A132,IF(A132='Données projet'!$A$166,'Données projet'!$B$166,DO131+DN132-DW131)))</f>
        <v>396.24000000000069</v>
      </c>
      <c r="DP132" s="18">
        <f>DO132*VLOOKUP('Données projet'!$B$14,Paramètres!$A$1:$I$89,3,0)*VLOOKUP('Données projet'!$B$14,Paramètres!$A$1:$I$89,5,0)</f>
        <v>333.79257600000062</v>
      </c>
      <c r="DQ132" s="14">
        <f t="shared" si="97"/>
        <v>78.216081240854521</v>
      </c>
      <c r="DR132" s="22">
        <f t="shared" ref="DR132:DR153" si="124">(DP132+DQ132)*0.475*44/12</f>
        <v>717.58174469448932</v>
      </c>
      <c r="DS132" s="62">
        <f t="shared" ref="DS132:DS195" si="125">DR132+(DJ132+DK132)*44/12</f>
        <v>1010.9150780278226</v>
      </c>
      <c r="DT132" s="62">
        <f ca="1">AVERAGE(OFFSET($DS$3,0,0,'Données projet'!$E$14+1,1))-AVERAGE(OFFSET($H$3,0,0,'Données projet'!$E$14+1,1))</f>
        <v>544.89250424794909</v>
      </c>
      <c r="DU132" s="62">
        <f t="shared" si="98"/>
        <v>253.98688498110715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47.293357089801098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47.293357089801098</v>
      </c>
      <c r="EE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8.0699999999999985</v>
      </c>
      <c r="EJ132" s="13">
        <f>IF('Données projet'!$A$192&gt;35,EJ131+EI132-ER131,IF(A132&lt;'Données projet'!$A$192,$EG$205^A132,IF(A132='Données projet'!$A$192,'Données projet'!$B$192,EJ131+EI132-ER131)))</f>
        <v>396.24000000000069</v>
      </c>
      <c r="EK132" s="18">
        <f>EJ132*VLOOKUP('Données projet'!$B$15,Paramètres!$A$1:$I$89,3,0)*VLOOKUP('Données projet'!$B$15,Paramètres!$A$1:$I$89,5,0)</f>
        <v>358.51795200000061</v>
      </c>
      <c r="EL132" s="14">
        <f t="shared" si="99"/>
        <v>83.313983934777241</v>
      </c>
      <c r="EM132" s="22">
        <f t="shared" ref="EM132:EM153" si="127">(EK132+EL132)*0.475*44/12</f>
        <v>769.52395508640473</v>
      </c>
      <c r="EN132" s="62">
        <f t="shared" ref="EN132:EN195" si="128">EM132+(EE132+EF132)*44/12</f>
        <v>1062.8572884197381</v>
      </c>
      <c r="EO132" s="62">
        <f ca="1">AVERAGE(OFFSET($EN$3,0,0,'Données projet'!$E$15+1,1))-AVERAGE(OFFSET($H$3,0,0,'Données projet'!$E$15+1,1))</f>
        <v>581.88778927327667</v>
      </c>
      <c r="EP132" s="62">
        <f t="shared" si="100"/>
        <v>269.67340993773422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50.796568726082675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50.796568726082675</v>
      </c>
      <c r="EZ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8.0699999999999985</v>
      </c>
      <c r="FE132" s="13">
        <f>IF('Données projet'!$A$218&gt;35,FE131+FD132-FM131,IF(A132&lt;'Données projet'!$A$218,$FB$205^A132,IF(A132='Données projet'!$A$218,'Données projet'!$B$218,FE131+FD132-FM131)))</f>
        <v>396.24000000000069</v>
      </c>
      <c r="FF132" s="18">
        <f>FE132*VLOOKUP('Données projet'!$B$16,Paramètres!$A$1:$I$89,3,0)*VLOOKUP('Données projet'!$B$16,Paramètres!$A$1:$I$89,5,0)</f>
        <v>401.78736000000072</v>
      </c>
      <c r="FG132" s="14">
        <f t="shared" si="101"/>
        <v>92.138930952196844</v>
      </c>
      <c r="FH132" s="22">
        <f t="shared" ref="FH132:FH153" si="130">(FF132+FG132)*0.475*44/12</f>
        <v>860.25495674174408</v>
      </c>
      <c r="FI132" s="62">
        <f t="shared" ref="FI132:FI195" si="131">FH132+(EZ132+FA132)*44/12</f>
        <v>1153.5882900750773</v>
      </c>
      <c r="FJ132" s="62">
        <f ca="1">AVERAGE(OFFSET($FI$3,0,0,'Données projet'!$E$16+1,1))-AVERAGE(OFFSET($H$3,0,0,'Données projet'!$E$16+1,1))</f>
        <v>646.50767193970182</v>
      </c>
      <c r="FK132" s="62">
        <f t="shared" si="102"/>
        <v>297.06786598620607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56.9271890895754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56.9271890895754</v>
      </c>
      <c r="FU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8.0699999999999985</v>
      </c>
      <c r="FZ132" s="13">
        <f>IF('Données projet'!$A$244&gt;35,FZ131+FY132-GH131,IF(A132&lt;'Données projet'!$A$244,$FW$205^A132,IF(A132='Données projet'!$A$244,'Données projet'!$B$244,FZ131+FY132-GH131)))</f>
        <v>396.24000000000069</v>
      </c>
      <c r="GA132" s="18">
        <f>FZ132*VLOOKUP('Données projet'!$B$17,Paramètres!$A$1:$I$89,3,0)*VLOOKUP('Données projet'!$B$17,Paramètres!$A$1:$I$89,5,0)</f>
        <v>265.79779200000047</v>
      </c>
      <c r="GB132" s="14">
        <f t="shared" si="103"/>
        <v>63.956642162100721</v>
      </c>
      <c r="GC132" s="22">
        <f t="shared" ref="GC132:GC153" si="133">(GA132+GB132)*0.475*44/12</f>
        <v>574.32230616565948</v>
      </c>
      <c r="GD132" s="62">
        <f t="shared" ref="GD132:GD195" si="134">GC132+(FU132+FV132)*44/12</f>
        <v>867.65563949899274</v>
      </c>
      <c r="GE132" s="62">
        <f ca="1">AVERAGE(OFFSET($GD$3,0,0,'Données projet'!$E$17+1,1))-AVERAGE(OFFSET($H$3,0,0,'Données projet'!$E$17+1,1))</f>
        <v>442.85175349826028</v>
      </c>
      <c r="GF132" s="62">
        <f t="shared" si="104"/>
        <v>210.70697808232501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46.417554180730711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46.417554180730711</v>
      </c>
      <c r="GP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-3.4106051316484809E-13</v>
      </c>
      <c r="GV132" s="18">
        <f>GU132*VLOOKUP('Données projet'!$B$18,Paramètres!$A$1:$I$89,3,0)*VLOOKUP('Données projet'!$B$18,Paramètres!$A$1:$I$89,5,0)</f>
        <v>-3.2455318432766944E-13</v>
      </c>
      <c r="GW132" s="14" t="e">
        <f t="shared" si="105"/>
        <v>#NUM!</v>
      </c>
      <c r="GX132" s="22" t="e">
        <f t="shared" ref="GX132:GX153" si="136">(GV132+GW132)*0.475*44/12</f>
        <v>#NUM!</v>
      </c>
      <c r="GY132" s="62" t="e">
        <f t="shared" ref="GY132:GY195" si="137">GX132+(GP132+GQ132)*44/12</f>
        <v>#NUM!</v>
      </c>
      <c r="GZ132" s="62">
        <f ca="1">AVERAGE(OFFSET($GY$3,0,0,'Données projet'!$E$18+1,1))-AVERAGE(OFFSET($H$3,0,0,'Données projet'!$E$18+1,1))</f>
        <v>420.2510366318939</v>
      </c>
      <c r="HA132" s="62">
        <f t="shared" si="106"/>
        <v>220.59884411514116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148.87020293537606</v>
      </c>
      <c r="HH132" s="23">
        <f>EXP(-LN(2)/25)*HH131+(1-EXP(-LN(2)/25))/(LN(2)/25)*Calculateur!HC132*Calculateur!HE132*VLOOKUP('Données projet'!$B$18,Paramètres!$A$1:$I$89,3,0)*0.475*44/12</f>
        <v>0</v>
      </c>
      <c r="HI132" s="23">
        <f>EXP(-LN(2)/2)*HI131+(1-EXP(-LN(2)/2))/(LN(2)/2)*HC132*HF132*VLOOKUP('Données projet'!$B$18,Paramètres!$A$1:$I$89,3,0)*0.475*44/12</f>
        <v>0</v>
      </c>
      <c r="HJ132" s="24">
        <f t="shared" ref="HJ132:HJ153" si="138">SUM(HG132:HI132)</f>
        <v>148.87020293537606</v>
      </c>
    </row>
    <row r="133" spans="1:218" s="5" customFormat="1" x14ac:dyDescent="0.2">
      <c r="A133" s="11">
        <f t="shared" ref="A133:A152" si="139">A132+1</f>
        <v>130</v>
      </c>
      <c r="B133" s="74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-4.5474735088646412E-13</v>
      </c>
      <c r="O133" s="14">
        <f>N133*VLOOKUP('Données projet'!$B$9,Paramètres!$A$1:$I$89,3,0)*VLOOKUP('Données projet'!$B$9,Paramètres!$A$1:$I$89,5,0)</f>
        <v>-3.9017322706058626E-13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623.31285537237943</v>
      </c>
      <c r="T133" s="62">
        <f t="shared" ref="T133:T196" si="142">$T$3</f>
        <v>462.33909258902241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155.31559976228991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155.31559976228991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4.9658410716801891E-14</v>
      </c>
      <c r="AK133" s="14">
        <f t="shared" ref="AK133:AK153" si="143">EXP(-1.0587+0.8836*LN(AJ133)+0.284)</f>
        <v>8.0934058173791862E-13</v>
      </c>
      <c r="AL133" s="22">
        <f t="shared" si="112"/>
        <v>1.4960899118586383E-12</v>
      </c>
      <c r="AM133" s="62">
        <f t="shared" si="113"/>
        <v>293.33333333333479</v>
      </c>
      <c r="AN133" s="62">
        <f ca="1">AVERAGE(OFFSET($AM$3,0,0,'Données projet'!$E$10+1,1))-AVERAGE(OFFSET($H$3,0,0,'Données projet'!$E$10+1,1))</f>
        <v>390.70479111593545</v>
      </c>
      <c r="AO133" s="62">
        <f t="shared" ref="AO133:AO196" si="144">$AO$3</f>
        <v>374.99493809709708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61.180669096110982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61.180669096110982</v>
      </c>
      <c r="AY133" s="7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5.6843418860808015E-14</v>
      </c>
      <c r="BE133" s="14">
        <f>BD133*VLOOKUP('Données projet'!$B$11,Paramètres!$A$1:$I$89,3,0)*VLOOKUP('Données projet'!$B$11,Paramètres!$A$1:$I$89,5,0)</f>
        <v>4.5224624045658861E-14</v>
      </c>
      <c r="BF133" s="14">
        <f t="shared" ref="BF133:BF153" si="145">EXP(-1.0587+0.8836*LN(BE133)+0.284)</f>
        <v>7.4514601661523691E-13</v>
      </c>
      <c r="BG133" s="22">
        <f t="shared" si="115"/>
        <v>1.3765621991510601E-12</v>
      </c>
      <c r="BH133" s="62">
        <f t="shared" si="116"/>
        <v>293.33333333333468</v>
      </c>
      <c r="BI133" s="62">
        <f ca="1">AVERAGE(OFFSET($BH$3,0,0,'Données projet'!$E$11+1,1))-AVERAGE(OFFSET($H$3,0,0,'Données projet'!$E$11+1,1))</f>
        <v>359.18294335011535</v>
      </c>
      <c r="BJ133" s="62">
        <f t="shared" ref="BJ133:BJ196" si="146">$BJ$3</f>
        <v>345.47508134331241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55.718109355386765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55.718109355386765</v>
      </c>
      <c r="BT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5.6843418860808015E-14</v>
      </c>
      <c r="BZ133" s="14">
        <f>BY133*VLOOKUP('Données projet'!$B$12,Paramètres!$A$1:$I$89,3,0)*VLOOKUP('Données projet'!$B$12,Paramètres!$A$1:$I$89,5,0)</f>
        <v>4.1677594708744434E-14</v>
      </c>
      <c r="CA133" s="14">
        <f t="shared" ref="CA133:CA153" si="147">EXP(-1.0587+0.8836*LN(BZ133)+0.284)</f>
        <v>6.9326303456159188E-13</v>
      </c>
      <c r="CB133" s="22">
        <f t="shared" si="118"/>
        <v>1.2800215959791691E-12</v>
      </c>
      <c r="CC133" s="62">
        <f t="shared" si="119"/>
        <v>293.33333333333462</v>
      </c>
      <c r="CD133" s="62">
        <f ca="1">AVERAGE(OFFSET($CC$3,0,0,'Données projet'!$E$12+1,1))-AVERAGE(OFFSET($H$3,0,0,'Données projet'!$E$12+1,1))</f>
        <v>333.9187211440219</v>
      </c>
      <c r="CE133" s="62">
        <f t="shared" ref="CE133:CE196" si="148">$CE$3</f>
        <v>321.81422611044997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41.659748060390918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41.659748060390918</v>
      </c>
      <c r="CO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5.6843418860808015E-14</v>
      </c>
      <c r="CU133" s="18">
        <f>CT133*VLOOKUP('Données projet'!$B$13,Paramètres!$A$1:$I$89,3,0)*VLOOKUP('Données projet'!$B$13,Paramètres!$A$1:$I$89,5,0)</f>
        <v>4.6111381379887463E-14</v>
      </c>
      <c r="CV133" s="14">
        <f t="shared" ref="CV133:CV153" si="149">EXP(-1.0587+0.8836*LN(CU133)+0.284)</f>
        <v>7.5804141040779151E-13</v>
      </c>
      <c r="CW133" s="22">
        <f t="shared" si="121"/>
        <v>1.4005661123635408E-12</v>
      </c>
      <c r="CX133" s="62">
        <f t="shared" si="122"/>
        <v>293.33333333333474</v>
      </c>
      <c r="CY133" s="62">
        <f ca="1">AVERAGE(OFFSET($CX$3,0,0,'Données projet'!$E$13+1,1))-AVERAGE(OFFSET($H$3,0,0,'Données projet'!$E$13+1,1))</f>
        <v>365.492319515595</v>
      </c>
      <c r="CZ133" s="62">
        <f t="shared" ref="CZ133:CZ196" si="150">$CZ$3</f>
        <v>351.38386928091433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46.091636151921833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46.091636151921833</v>
      </c>
      <c r="DJ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8.0699999999999985</v>
      </c>
      <c r="DO133" s="13">
        <f>IF('Données projet'!$A$166&gt;35,DO132+DN133-DW132,IF(A133&lt;'Données projet'!$A$166,$DL$205^A133,IF(A133='Données projet'!$A$166,'Données projet'!$B$166,DO132+DN133-DW132)))</f>
        <v>404.31000000000068</v>
      </c>
      <c r="DP133" s="18">
        <f>DO133*VLOOKUP('Données projet'!$B$14,Paramètres!$A$1:$I$89,3,0)*VLOOKUP('Données projet'!$B$14,Paramètres!$A$1:$I$89,5,0)</f>
        <v>340.5907440000006</v>
      </c>
      <c r="DQ133" s="14">
        <f t="shared" ref="DQ133:DQ153" si="151">EXP(-1.0587+0.8836*LN(DP133)+0.284)</f>
        <v>79.621985538351652</v>
      </c>
      <c r="DR133" s="22">
        <f t="shared" si="124"/>
        <v>731.87050394596361</v>
      </c>
      <c r="DS133" s="62">
        <f t="shared" si="125"/>
        <v>1025.203837279297</v>
      </c>
      <c r="DT133" s="62">
        <f ca="1">AVERAGE(OFFSET($DS$3,0,0,'Données projet'!$E$14+1,1))-AVERAGE(OFFSET($H$3,0,0,'Données projet'!$E$14+1,1))</f>
        <v>544.89250424794909</v>
      </c>
      <c r="DU133" s="62">
        <f t="shared" ref="DU133:DU196" si="152">$DU$3</f>
        <v>253.98688498110715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46.36596320336961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46.36596320336961</v>
      </c>
      <c r="EE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8.0699999999999985</v>
      </c>
      <c r="EJ133" s="13">
        <f>IF('Données projet'!$A$192&gt;35,EJ132+EI133-ER132,IF(A133&lt;'Données projet'!$A$192,$EG$205^A133,IF(A133='Données projet'!$A$192,'Données projet'!$B$192,EJ132+EI133-ER132)))</f>
        <v>404.31000000000068</v>
      </c>
      <c r="EK133" s="18">
        <f>EJ133*VLOOKUP('Données projet'!$B$15,Paramètres!$A$1:$I$89,3,0)*VLOOKUP('Données projet'!$B$15,Paramètres!$A$1:$I$89,5,0)</f>
        <v>365.81968800000061</v>
      </c>
      <c r="EL133" s="14">
        <f t="shared" ref="EL133:EL153" si="153">EXP(-1.0587+0.8836*LN(EK133)+0.284)</f>
        <v>84.811521093342051</v>
      </c>
      <c r="EM133" s="22">
        <f t="shared" si="127"/>
        <v>784.84935583757169</v>
      </c>
      <c r="EN133" s="62">
        <f t="shared" si="128"/>
        <v>1078.182689170905</v>
      </c>
      <c r="EO133" s="62">
        <f ca="1">AVERAGE(OFFSET($EN$3,0,0,'Données projet'!$E$15+1,1))-AVERAGE(OFFSET($H$3,0,0,'Données projet'!$E$15+1,1))</f>
        <v>581.88778927327667</v>
      </c>
      <c r="EP133" s="62">
        <f t="shared" ref="EP133:EP196" si="154">$EP$3</f>
        <v>269.67340993773422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49.800478996211815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49.800478996211815</v>
      </c>
      <c r="EZ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8.0699999999999985</v>
      </c>
      <c r="FE133" s="13">
        <f>IF('Données projet'!$A$218&gt;35,FE132+FD133-FM132,IF(A133&lt;'Données projet'!$A$218,$FB$205^A133,IF(A133='Données projet'!$A$218,'Données projet'!$B$218,FE132+FD133-FM132)))</f>
        <v>404.31000000000068</v>
      </c>
      <c r="FF133" s="18">
        <f>FE133*VLOOKUP('Données projet'!$B$16,Paramètres!$A$1:$I$89,3,0)*VLOOKUP('Données projet'!$B$16,Paramètres!$A$1:$I$89,5,0)</f>
        <v>409.9703400000007</v>
      </c>
      <c r="FG133" s="14">
        <f t="shared" ref="FG133:FG153" si="155">EXP(-1.0587+0.8836*LN(FF133)+0.284)</f>
        <v>93.795093175328134</v>
      </c>
      <c r="FH133" s="22">
        <f t="shared" si="130"/>
        <v>877.39146278036435</v>
      </c>
      <c r="FI133" s="62">
        <f t="shared" si="131"/>
        <v>1170.7247961136977</v>
      </c>
      <c r="FJ133" s="62">
        <f ca="1">AVERAGE(OFFSET($FI$3,0,0,'Données projet'!$E$16+1,1))-AVERAGE(OFFSET($H$3,0,0,'Données projet'!$E$16+1,1))</f>
        <v>646.50767193970182</v>
      </c>
      <c r="FK133" s="62">
        <f t="shared" ref="FK133:FK196" si="156">$FK$3</f>
        <v>297.06786598620607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55.810881633685639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55.810881633685639</v>
      </c>
      <c r="FU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8.0699999999999985</v>
      </c>
      <c r="FZ133" s="13">
        <f>IF('Données projet'!$A$244&gt;35,FZ132+FY133-GH132,IF(A133&lt;'Données projet'!$A$244,$FW$205^A133,IF(A133='Données projet'!$A$244,'Données projet'!$B$244,FZ132+FY133-GH132)))</f>
        <v>404.31000000000068</v>
      </c>
      <c r="GA133" s="18">
        <f>FZ133*VLOOKUP('Données projet'!$B$17,Paramètres!$A$1:$I$89,3,0)*VLOOKUP('Données projet'!$B$17,Paramètres!$A$1:$I$89,5,0)</f>
        <v>271.21114800000049</v>
      </c>
      <c r="GB133" s="14">
        <f t="shared" ref="GB133:GB153" si="157">EXP(-1.0587+0.8836*LN(GA133)+0.284)</f>
        <v>65.106238468163269</v>
      </c>
      <c r="GC133" s="22">
        <f t="shared" si="133"/>
        <v>585.75278143205185</v>
      </c>
      <c r="GD133" s="62">
        <f t="shared" si="134"/>
        <v>879.08611476538522</v>
      </c>
      <c r="GE133" s="62">
        <f ca="1">AVERAGE(OFFSET($GD$3,0,0,'Données projet'!$E$17+1,1))-AVERAGE(OFFSET($H$3,0,0,'Données projet'!$E$17+1,1))</f>
        <v>442.85175349826028</v>
      </c>
      <c r="GF133" s="62">
        <f t="shared" ref="GF133:GF196" si="158">$GF$3</f>
        <v>210.70697808232501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45.507334255159066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45.507334255159066</v>
      </c>
      <c r="GP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-3.4106051316484809E-13</v>
      </c>
      <c r="GV133" s="18">
        <f>GU133*VLOOKUP('Données projet'!$B$18,Paramètres!$A$1:$I$89,3,0)*VLOOKUP('Données projet'!$B$18,Paramètres!$A$1:$I$89,5,0)</f>
        <v>-3.2455318432766944E-13</v>
      </c>
      <c r="GW133" s="14" t="e">
        <f t="shared" ref="GW133:GW153" si="159">EXP(-1.0587+0.8836*LN(GV133)+0.284)</f>
        <v>#NUM!</v>
      </c>
      <c r="GX133" s="22" t="e">
        <f t="shared" si="136"/>
        <v>#NUM!</v>
      </c>
      <c r="GY133" s="62" t="e">
        <f t="shared" si="137"/>
        <v>#NUM!</v>
      </c>
      <c r="GZ133" s="62">
        <f ca="1">AVERAGE(OFFSET($GY$3,0,0,'Données projet'!$E$18+1,1))-AVERAGE(OFFSET($H$3,0,0,'Données projet'!$E$18+1,1))</f>
        <v>420.2510366318939</v>
      </c>
      <c r="HA133" s="62">
        <f t="shared" ref="HA133:HA196" si="160">$HA$3</f>
        <v>220.59884411514116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145.95094905767118</v>
      </c>
      <c r="HH133" s="23">
        <f>EXP(-LN(2)/25)*HH132+(1-EXP(-LN(2)/25))/(LN(2)/25)*Calculateur!HC133*Calculateur!HE133*VLOOKUP('Données projet'!$B$18,Paramètres!$A$1:$I$89,3,0)*0.475*44/12</f>
        <v>0</v>
      </c>
      <c r="HI133" s="23">
        <f>EXP(-LN(2)/2)*HI132+(1-EXP(-LN(2)/2))/(LN(2)/2)*HC133*HF133*VLOOKUP('Données projet'!$B$18,Paramètres!$A$1:$I$89,3,0)*0.475*44/12</f>
        <v>0</v>
      </c>
      <c r="HJ133" s="24">
        <f t="shared" si="138"/>
        <v>145.95094905767118</v>
      </c>
    </row>
    <row r="134" spans="1:218" s="5" customFormat="1" x14ac:dyDescent="0.2">
      <c r="A134" s="11">
        <f t="shared" si="139"/>
        <v>131</v>
      </c>
      <c r="B134" s="74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-4.5474735088646412E-13</v>
      </c>
      <c r="O134" s="14">
        <f>N134*VLOOKUP('Données projet'!$B$9,Paramètres!$A$1:$I$89,3,0)*VLOOKUP('Données projet'!$B$9,Paramètres!$A$1:$I$89,5,0)</f>
        <v>-3.9017322706058626E-13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623.31285537237943</v>
      </c>
      <c r="T134" s="62">
        <f t="shared" si="142"/>
        <v>462.33909258902241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152.26995558411312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152.26995558411312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4.9658410716801891E-14</v>
      </c>
      <c r="AK134" s="14">
        <f t="shared" si="143"/>
        <v>8.0934058173791862E-13</v>
      </c>
      <c r="AL134" s="22">
        <f t="shared" si="112"/>
        <v>1.4960899118586383E-12</v>
      </c>
      <c r="AM134" s="62">
        <f t="shared" si="113"/>
        <v>293.33333333333479</v>
      </c>
      <c r="AN134" s="62">
        <f ca="1">AVERAGE(OFFSET($AM$3,0,0,'Données projet'!$E$10+1,1))-AVERAGE(OFFSET($H$3,0,0,'Données projet'!$E$10+1,1))</f>
        <v>390.70479111593545</v>
      </c>
      <c r="AO134" s="62">
        <f t="shared" si="144"/>
        <v>374.99493809709708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59.980953491659697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59.980953491659697</v>
      </c>
      <c r="AY134" s="7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5.6843418860808015E-14</v>
      </c>
      <c r="BE134" s="14">
        <f>BD134*VLOOKUP('Données projet'!$B$11,Paramètres!$A$1:$I$89,3,0)*VLOOKUP('Données projet'!$B$11,Paramètres!$A$1:$I$89,5,0)</f>
        <v>4.5224624045658861E-14</v>
      </c>
      <c r="BF134" s="14">
        <f t="shared" si="145"/>
        <v>7.4514601661523691E-13</v>
      </c>
      <c r="BG134" s="22">
        <f t="shared" si="115"/>
        <v>1.3765621991510601E-12</v>
      </c>
      <c r="BH134" s="62">
        <f t="shared" si="116"/>
        <v>293.33333333333468</v>
      </c>
      <c r="BI134" s="62">
        <f ca="1">AVERAGE(OFFSET($BH$3,0,0,'Données projet'!$E$11+1,1))-AVERAGE(OFFSET($H$3,0,0,'Données projet'!$E$11+1,1))</f>
        <v>359.18294335011535</v>
      </c>
      <c r="BJ134" s="62">
        <f t="shared" si="146"/>
        <v>345.47508134331241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54.62551121561863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54.62551121561863</v>
      </c>
      <c r="BT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5.6843418860808015E-14</v>
      </c>
      <c r="BZ134" s="14">
        <f>BY134*VLOOKUP('Données projet'!$B$12,Paramètres!$A$1:$I$89,3,0)*VLOOKUP('Données projet'!$B$12,Paramètres!$A$1:$I$89,5,0)</f>
        <v>4.1677594708744434E-14</v>
      </c>
      <c r="CA134" s="14">
        <f t="shared" si="147"/>
        <v>6.9326303456159188E-13</v>
      </c>
      <c r="CB134" s="22">
        <f t="shared" si="118"/>
        <v>1.2800215959791691E-12</v>
      </c>
      <c r="CC134" s="62">
        <f t="shared" si="119"/>
        <v>293.33333333333462</v>
      </c>
      <c r="CD134" s="62">
        <f ca="1">AVERAGE(OFFSET($CC$3,0,0,'Données projet'!$E$12+1,1))-AVERAGE(OFFSET($H$3,0,0,'Données projet'!$E$12+1,1))</f>
        <v>333.9187211440219</v>
      </c>
      <c r="CE134" s="62">
        <f t="shared" si="148"/>
        <v>321.81422611044997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40.842825810863943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40.842825810863943</v>
      </c>
      <c r="CO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5.6843418860808015E-14</v>
      </c>
      <c r="CU134" s="18">
        <f>CT134*VLOOKUP('Données projet'!$B$13,Paramètres!$A$1:$I$89,3,0)*VLOOKUP('Données projet'!$B$13,Paramètres!$A$1:$I$89,5,0)</f>
        <v>4.6111381379887463E-14</v>
      </c>
      <c r="CV134" s="14">
        <f t="shared" si="149"/>
        <v>7.5804141040779151E-13</v>
      </c>
      <c r="CW134" s="22">
        <f t="shared" si="121"/>
        <v>1.4005661123635408E-12</v>
      </c>
      <c r="CX134" s="62">
        <f t="shared" si="122"/>
        <v>293.33333333333474</v>
      </c>
      <c r="CY134" s="62">
        <f ca="1">AVERAGE(OFFSET($CX$3,0,0,'Données projet'!$E$13+1,1))-AVERAGE(OFFSET($H$3,0,0,'Données projet'!$E$13+1,1))</f>
        <v>365.492319515595</v>
      </c>
      <c r="CZ134" s="62">
        <f t="shared" si="150"/>
        <v>351.38386928091433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45.187807280104757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45.187807280104757</v>
      </c>
      <c r="DJ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8.0699999999999985</v>
      </c>
      <c r="DO134" s="13">
        <f>IF('Données projet'!$A$166&gt;35,DO133+DN134-DW133,IF(A134&lt;'Données projet'!$A$166,$DL$205^A134,IF(A134='Données projet'!$A$166,'Données projet'!$B$166,DO133+DN134-DW133)))</f>
        <v>412.38000000000068</v>
      </c>
      <c r="DP134" s="18">
        <f>DO134*VLOOKUP('Données projet'!$B$14,Paramètres!$A$1:$I$89,3,0)*VLOOKUP('Données projet'!$B$14,Paramètres!$A$1:$I$89,5,0)</f>
        <v>347.38891200000063</v>
      </c>
      <c r="DQ134" s="14">
        <f t="shared" si="151"/>
        <v>81.024627010211589</v>
      </c>
      <c r="DR134" s="22">
        <f t="shared" si="124"/>
        <v>746.15358044278616</v>
      </c>
      <c r="DS134" s="62">
        <f t="shared" si="125"/>
        <v>1039.4869137761195</v>
      </c>
      <c r="DT134" s="62">
        <f ca="1">AVERAGE(OFFSET($DS$3,0,0,'Données projet'!$E$14+1,1))-AVERAGE(OFFSET($H$3,0,0,'Données projet'!$E$14+1,1))</f>
        <v>544.89250424794909</v>
      </c>
      <c r="DU134" s="62">
        <f t="shared" si="152"/>
        <v>253.98688498110715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45.456754945396625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45.456754945396625</v>
      </c>
      <c r="EE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8.0699999999999985</v>
      </c>
      <c r="EJ134" s="13">
        <f>IF('Données projet'!$A$192&gt;35,EJ133+EI134-ER133,IF(A134&lt;'Données projet'!$A$192,$EG$205^A134,IF(A134='Données projet'!$A$192,'Données projet'!$B$192,EJ133+EI134-ER133)))</f>
        <v>412.38000000000068</v>
      </c>
      <c r="EK134" s="18">
        <f>EJ134*VLOOKUP('Données projet'!$B$15,Paramètres!$A$1:$I$89,3,0)*VLOOKUP('Données projet'!$B$15,Paramètres!$A$1:$I$89,5,0)</f>
        <v>373.12142400000062</v>
      </c>
      <c r="EL134" s="14">
        <f t="shared" si="153"/>
        <v>86.305582764533938</v>
      </c>
      <c r="EM134" s="22">
        <f t="shared" si="127"/>
        <v>800.16870344823099</v>
      </c>
      <c r="EN134" s="62">
        <f t="shared" si="128"/>
        <v>1093.5020367815644</v>
      </c>
      <c r="EO134" s="62">
        <f ca="1">AVERAGE(OFFSET($EN$3,0,0,'Données projet'!$E$15+1,1))-AVERAGE(OFFSET($H$3,0,0,'Données projet'!$E$15+1,1))</f>
        <v>581.88778927327667</v>
      </c>
      <c r="EP134" s="62">
        <f t="shared" si="154"/>
        <v>269.67340993773422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48.823921978388981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48.823921978388981</v>
      </c>
      <c r="EZ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8.0699999999999985</v>
      </c>
      <c r="FE134" s="13">
        <f>IF('Données projet'!$A$218&gt;35,FE133+FD134-FM133,IF(A134&lt;'Données projet'!$A$218,$FB$205^A134,IF(A134='Données projet'!$A$218,'Données projet'!$B$218,FE133+FD134-FM133)))</f>
        <v>412.38000000000068</v>
      </c>
      <c r="FF134" s="18">
        <f>FE134*VLOOKUP('Données projet'!$B$16,Paramètres!$A$1:$I$89,3,0)*VLOOKUP('Données projet'!$B$16,Paramètres!$A$1:$I$89,5,0)</f>
        <v>418.15332000000069</v>
      </c>
      <c r="FG134" s="14">
        <f t="shared" si="155"/>
        <v>95.44741177370463</v>
      </c>
      <c r="FH134" s="22">
        <f t="shared" si="130"/>
        <v>894.52127450587011</v>
      </c>
      <c r="FI134" s="62">
        <f t="shared" si="131"/>
        <v>1187.8546078392035</v>
      </c>
      <c r="FJ134" s="62">
        <f ca="1">AVERAGE(OFFSET($FI$3,0,0,'Données projet'!$E$16+1,1))-AVERAGE(OFFSET($H$3,0,0,'Données projet'!$E$16+1,1))</f>
        <v>646.50767193970182</v>
      </c>
      <c r="FK134" s="62">
        <f t="shared" si="156"/>
        <v>297.06786598620607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54.716464286125564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54.716464286125564</v>
      </c>
      <c r="FU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8.0699999999999985</v>
      </c>
      <c r="FZ134" s="13">
        <f>IF('Données projet'!$A$244&gt;35,FZ133+FY134-GH133,IF(A134&lt;'Données projet'!$A$244,$FW$205^A134,IF(A134='Données projet'!$A$244,'Données projet'!$B$244,FZ133+FY134-GH133)))</f>
        <v>412.38000000000068</v>
      </c>
      <c r="GA134" s="18">
        <f>FZ134*VLOOKUP('Données projet'!$B$17,Paramètres!$A$1:$I$89,3,0)*VLOOKUP('Données projet'!$B$17,Paramètres!$A$1:$I$89,5,0)</f>
        <v>276.62450400000046</v>
      </c>
      <c r="GB134" s="14">
        <f t="shared" si="157"/>
        <v>66.253166788711951</v>
      </c>
      <c r="GC134" s="22">
        <f t="shared" si="133"/>
        <v>597.17860995700732</v>
      </c>
      <c r="GD134" s="62">
        <f t="shared" si="134"/>
        <v>890.5119432903407</v>
      </c>
      <c r="GE134" s="62">
        <f ca="1">AVERAGE(OFFSET($GD$3,0,0,'Données projet'!$E$17+1,1))-AVERAGE(OFFSET($H$3,0,0,'Données projet'!$E$17+1,1))</f>
        <v>442.85175349826028</v>
      </c>
      <c r="GF134" s="62">
        <f t="shared" si="158"/>
        <v>210.70697808232501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44.61496318714854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44.61496318714854</v>
      </c>
      <c r="GP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-3.4106051316484809E-13</v>
      </c>
      <c r="GV134" s="18">
        <f>GU134*VLOOKUP('Données projet'!$B$18,Paramètres!$A$1:$I$89,3,0)*VLOOKUP('Données projet'!$B$18,Paramètres!$A$1:$I$89,5,0)</f>
        <v>-3.2455318432766944E-13</v>
      </c>
      <c r="GW134" s="14" t="e">
        <f t="shared" si="159"/>
        <v>#NUM!</v>
      </c>
      <c r="GX134" s="22" t="e">
        <f t="shared" si="136"/>
        <v>#NUM!</v>
      </c>
      <c r="GY134" s="62" t="e">
        <f t="shared" si="137"/>
        <v>#NUM!</v>
      </c>
      <c r="GZ134" s="62">
        <f ca="1">AVERAGE(OFFSET($GY$3,0,0,'Données projet'!$E$18+1,1))-AVERAGE(OFFSET($H$3,0,0,'Données projet'!$E$18+1,1))</f>
        <v>420.2510366318939</v>
      </c>
      <c r="HA134" s="62">
        <f t="shared" si="160"/>
        <v>220.59884411514116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143.08893996793904</v>
      </c>
      <c r="HH134" s="23">
        <f>EXP(-LN(2)/25)*HH133+(1-EXP(-LN(2)/25))/(LN(2)/25)*Calculateur!HC134*Calculateur!HE134*VLOOKUP('Données projet'!$B$18,Paramètres!$A$1:$I$89,3,0)*0.475*44/12</f>
        <v>0</v>
      </c>
      <c r="HI134" s="23">
        <f>EXP(-LN(2)/2)*HI133+(1-EXP(-LN(2)/2))/(LN(2)/2)*HC134*HF134*VLOOKUP('Données projet'!$B$18,Paramètres!$A$1:$I$89,3,0)*0.475*44/12</f>
        <v>0</v>
      </c>
      <c r="HJ134" s="24">
        <f t="shared" si="138"/>
        <v>143.08893996793904</v>
      </c>
    </row>
    <row r="135" spans="1:218" s="5" customFormat="1" x14ac:dyDescent="0.2">
      <c r="A135" s="11">
        <f t="shared" si="139"/>
        <v>132</v>
      </c>
      <c r="B135" s="74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-4.5474735088646412E-13</v>
      </c>
      <c r="O135" s="14">
        <f>N135*VLOOKUP('Données projet'!$B$9,Paramètres!$A$1:$I$89,3,0)*VLOOKUP('Données projet'!$B$9,Paramètres!$A$1:$I$89,5,0)</f>
        <v>-3.9017322706058626E-13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623.31285537237943</v>
      </c>
      <c r="T135" s="62">
        <f t="shared" si="142"/>
        <v>462.33909258902241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149.28403463061088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149.28403463061088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4.9658410716801891E-14</v>
      </c>
      <c r="AK135" s="14">
        <f t="shared" si="143"/>
        <v>8.0934058173791862E-13</v>
      </c>
      <c r="AL135" s="22">
        <f t="shared" si="112"/>
        <v>1.4960899118586383E-12</v>
      </c>
      <c r="AM135" s="62">
        <f t="shared" si="113"/>
        <v>293.33333333333479</v>
      </c>
      <c r="AN135" s="62">
        <f ca="1">AVERAGE(OFFSET($AM$3,0,0,'Données projet'!$E$10+1,1))-AVERAGE(OFFSET($H$3,0,0,'Données projet'!$E$10+1,1))</f>
        <v>390.70479111593545</v>
      </c>
      <c r="AO135" s="62">
        <f t="shared" si="144"/>
        <v>374.99493809709708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58.804763578457433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58.804763578457433</v>
      </c>
      <c r="AY135" s="7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5.6843418860808015E-14</v>
      </c>
      <c r="BE135" s="14">
        <f>BD135*VLOOKUP('Données projet'!$B$11,Paramètres!$A$1:$I$89,3,0)*VLOOKUP('Données projet'!$B$11,Paramètres!$A$1:$I$89,5,0)</f>
        <v>4.5224624045658861E-14</v>
      </c>
      <c r="BF135" s="14">
        <f t="shared" si="145"/>
        <v>7.4514601661523691E-13</v>
      </c>
      <c r="BG135" s="22">
        <f t="shared" si="115"/>
        <v>1.3765621991510601E-12</v>
      </c>
      <c r="BH135" s="62">
        <f t="shared" si="116"/>
        <v>293.33333333333468</v>
      </c>
      <c r="BI135" s="62">
        <f ca="1">AVERAGE(OFFSET($BH$3,0,0,'Données projet'!$E$11+1,1))-AVERAGE(OFFSET($H$3,0,0,'Données projet'!$E$11+1,1))</f>
        <v>359.18294335011535</v>
      </c>
      <c r="BJ135" s="62">
        <f t="shared" si="146"/>
        <v>345.47508134331241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53.554338258952285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53.554338258952285</v>
      </c>
      <c r="BT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5.6843418860808015E-14</v>
      </c>
      <c r="BZ135" s="14">
        <f>BY135*VLOOKUP('Données projet'!$B$12,Paramètres!$A$1:$I$89,3,0)*VLOOKUP('Données projet'!$B$12,Paramètres!$A$1:$I$89,5,0)</f>
        <v>4.1677594708744434E-14</v>
      </c>
      <c r="CA135" s="14">
        <f t="shared" si="147"/>
        <v>6.9326303456159188E-13</v>
      </c>
      <c r="CB135" s="22">
        <f t="shared" si="118"/>
        <v>1.2800215959791691E-12</v>
      </c>
      <c r="CC135" s="62">
        <f t="shared" si="119"/>
        <v>293.33333333333462</v>
      </c>
      <c r="CD135" s="62">
        <f ca="1">AVERAGE(OFFSET($CC$3,0,0,'Données projet'!$E$12+1,1))-AVERAGE(OFFSET($H$3,0,0,'Données projet'!$E$12+1,1))</f>
        <v>333.9187211440219</v>
      </c>
      <c r="CE135" s="62">
        <f t="shared" si="148"/>
        <v>321.81422611044997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40.041922908376826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40.041922908376826</v>
      </c>
      <c r="CO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5.6843418860808015E-14</v>
      </c>
      <c r="CU135" s="18">
        <f>CT135*VLOOKUP('Données projet'!$B$13,Paramètres!$A$1:$I$89,3,0)*VLOOKUP('Données projet'!$B$13,Paramètres!$A$1:$I$89,5,0)</f>
        <v>4.6111381379887463E-14</v>
      </c>
      <c r="CV135" s="14">
        <f t="shared" si="149"/>
        <v>7.5804141040779151E-13</v>
      </c>
      <c r="CW135" s="22">
        <f t="shared" si="121"/>
        <v>1.4005661123635408E-12</v>
      </c>
      <c r="CX135" s="62">
        <f t="shared" si="122"/>
        <v>293.33333333333474</v>
      </c>
      <c r="CY135" s="62">
        <f ca="1">AVERAGE(OFFSET($CX$3,0,0,'Données projet'!$E$13+1,1))-AVERAGE(OFFSET($H$3,0,0,'Données projet'!$E$13+1,1))</f>
        <v>365.492319515595</v>
      </c>
      <c r="CZ135" s="62">
        <f t="shared" si="150"/>
        <v>351.38386928091433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44.301701941182834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44.301701941182834</v>
      </c>
      <c r="DJ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8.0699999999999985</v>
      </c>
      <c r="DO135" s="13">
        <f>IF('Données projet'!$A$166&gt;35,DO134+DN135-DW134,IF(A135&lt;'Données projet'!$A$166,$DL$205^A135,IF(A135='Données projet'!$A$166,'Données projet'!$B$166,DO134+DN135-DW134)))</f>
        <v>420.45000000000067</v>
      </c>
      <c r="DP135" s="18">
        <f>DO135*VLOOKUP('Données projet'!$B$14,Paramètres!$A$1:$I$89,3,0)*VLOOKUP('Données projet'!$B$14,Paramètres!$A$1:$I$89,5,0)</f>
        <v>354.18708000000061</v>
      </c>
      <c r="DQ135" s="14">
        <f t="shared" si="151"/>
        <v>82.424076868081755</v>
      </c>
      <c r="DR135" s="22">
        <f t="shared" si="124"/>
        <v>760.43109821191001</v>
      </c>
      <c r="DS135" s="62">
        <f t="shared" si="125"/>
        <v>1053.7644315452433</v>
      </c>
      <c r="DT135" s="62">
        <f ca="1">AVERAGE(OFFSET($DS$3,0,0,'Données projet'!$E$14+1,1))-AVERAGE(OFFSET($H$3,0,0,'Données projet'!$E$14+1,1))</f>
        <v>544.89250424794909</v>
      </c>
      <c r="DU135" s="62">
        <f t="shared" si="152"/>
        <v>253.98688498110715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44.565375706800211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44.565375706800211</v>
      </c>
      <c r="EE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8.0699999999999985</v>
      </c>
      <c r="EJ135" s="13">
        <f>IF('Données projet'!$A$192&gt;35,EJ134+EI135-ER134,IF(A135&lt;'Données projet'!$A$192,$EG$205^A135,IF(A135='Données projet'!$A$192,'Données projet'!$B$192,EJ134+EI135-ER134)))</f>
        <v>420.45000000000067</v>
      </c>
      <c r="EK135" s="18">
        <f>EJ135*VLOOKUP('Données projet'!$B$15,Paramètres!$A$1:$I$89,3,0)*VLOOKUP('Données projet'!$B$15,Paramètres!$A$1:$I$89,5,0)</f>
        <v>380.42316000000056</v>
      </c>
      <c r="EL135" s="14">
        <f t="shared" si="153"/>
        <v>87.79624480137376</v>
      </c>
      <c r="EM135" s="22">
        <f t="shared" si="127"/>
        <v>815.48213002906016</v>
      </c>
      <c r="EN135" s="62">
        <f t="shared" si="128"/>
        <v>1108.8154633623935</v>
      </c>
      <c r="EO135" s="62">
        <f ca="1">AVERAGE(OFFSET($EN$3,0,0,'Données projet'!$E$15+1,1))-AVERAGE(OFFSET($H$3,0,0,'Données projet'!$E$15+1,1))</f>
        <v>581.88778927327667</v>
      </c>
      <c r="EP135" s="62">
        <f t="shared" si="154"/>
        <v>269.67340993773422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47.866514648044685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47.866514648044685</v>
      </c>
      <c r="EZ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8.0699999999999985</v>
      </c>
      <c r="FE135" s="13">
        <f>IF('Données projet'!$A$218&gt;35,FE134+FD135-FM134,IF(A135&lt;'Données projet'!$A$218,$FB$205^A135,IF(A135='Données projet'!$A$218,'Données projet'!$B$218,FE134+FD135-FM134)))</f>
        <v>420.45000000000067</v>
      </c>
      <c r="FF135" s="18">
        <f>FE135*VLOOKUP('Données projet'!$B$16,Paramètres!$A$1:$I$89,3,0)*VLOOKUP('Données projet'!$B$16,Paramètres!$A$1:$I$89,5,0)</f>
        <v>426.33630000000073</v>
      </c>
      <c r="FG135" s="14">
        <f t="shared" si="155"/>
        <v>97.095970634999375</v>
      </c>
      <c r="FH135" s="22">
        <f t="shared" si="130"/>
        <v>911.64453802262517</v>
      </c>
      <c r="FI135" s="62">
        <f t="shared" si="131"/>
        <v>1204.9778713559585</v>
      </c>
      <c r="FJ135" s="62">
        <f ca="1">AVERAGE(OFFSET($FI$3,0,0,'Données projet'!$E$16+1,1))-AVERAGE(OFFSET($H$3,0,0,'Données projet'!$E$16+1,1))</f>
        <v>646.50767193970182</v>
      </c>
      <c r="FK135" s="62">
        <f t="shared" si="156"/>
        <v>297.06786598620607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53.643507795222476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53.643507795222476</v>
      </c>
      <c r="FU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8.0699999999999985</v>
      </c>
      <c r="FZ135" s="13">
        <f>IF('Données projet'!$A$244&gt;35,FZ134+FY135-GH134,IF(A135&lt;'Données projet'!$A$244,$FW$205^A135,IF(A135='Données projet'!$A$244,'Données projet'!$B$244,FZ134+FY135-GH134)))</f>
        <v>420.45000000000067</v>
      </c>
      <c r="GA135" s="18">
        <f>FZ135*VLOOKUP('Données projet'!$B$17,Paramètres!$A$1:$I$89,3,0)*VLOOKUP('Données projet'!$B$17,Paramètres!$A$1:$I$89,5,0)</f>
        <v>282.03786000000042</v>
      </c>
      <c r="GB135" s="14">
        <f t="shared" si="157"/>
        <v>67.397485352921152</v>
      </c>
      <c r="GC135" s="22">
        <f t="shared" si="133"/>
        <v>608.59989315633834</v>
      </c>
      <c r="GD135" s="62">
        <f t="shared" si="134"/>
        <v>901.9332264896716</v>
      </c>
      <c r="GE135" s="62">
        <f ca="1">AVERAGE(OFFSET($GD$3,0,0,'Données projet'!$E$17+1,1))-AVERAGE(OFFSET($H$3,0,0,'Données projet'!$E$17+1,1))</f>
        <v>442.85175349826028</v>
      </c>
      <c r="GF135" s="62">
        <f t="shared" si="158"/>
        <v>210.70697808232501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43.740090971489096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43.740090971489096</v>
      </c>
      <c r="GP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-3.4106051316484809E-13</v>
      </c>
      <c r="GV135" s="18">
        <f>GU135*VLOOKUP('Données projet'!$B$18,Paramètres!$A$1:$I$89,3,0)*VLOOKUP('Données projet'!$B$18,Paramètres!$A$1:$I$89,5,0)</f>
        <v>-3.2455318432766944E-13</v>
      </c>
      <c r="GW135" s="14" t="e">
        <f t="shared" si="159"/>
        <v>#NUM!</v>
      </c>
      <c r="GX135" s="22" t="e">
        <f t="shared" si="136"/>
        <v>#NUM!</v>
      </c>
      <c r="GY135" s="62" t="e">
        <f t="shared" si="137"/>
        <v>#NUM!</v>
      </c>
      <c r="GZ135" s="62">
        <f ca="1">AVERAGE(OFFSET($GY$3,0,0,'Données projet'!$E$18+1,1))-AVERAGE(OFFSET($H$3,0,0,'Données projet'!$E$18+1,1))</f>
        <v>420.2510366318939</v>
      </c>
      <c r="HA135" s="62">
        <f t="shared" si="160"/>
        <v>220.59884411514116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140.28305313080338</v>
      </c>
      <c r="HH135" s="23">
        <f>EXP(-LN(2)/25)*HH134+(1-EXP(-LN(2)/25))/(LN(2)/25)*Calculateur!HC135*Calculateur!HE135*VLOOKUP('Données projet'!$B$18,Paramètres!$A$1:$I$89,3,0)*0.475*44/12</f>
        <v>0</v>
      </c>
      <c r="HI135" s="23">
        <f>EXP(-LN(2)/2)*HI134+(1-EXP(-LN(2)/2))/(LN(2)/2)*HC135*HF135*VLOOKUP('Données projet'!$B$18,Paramètres!$A$1:$I$89,3,0)*0.475*44/12</f>
        <v>0</v>
      </c>
      <c r="HJ135" s="24">
        <f t="shared" si="138"/>
        <v>140.28305313080338</v>
      </c>
    </row>
    <row r="136" spans="1:218" s="5" customFormat="1" x14ac:dyDescent="0.2">
      <c r="A136" s="11">
        <f t="shared" si="139"/>
        <v>133</v>
      </c>
      <c r="B136" s="74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-4.5474735088646412E-13</v>
      </c>
      <c r="O136" s="14">
        <f>N136*VLOOKUP('Données projet'!$B$9,Paramètres!$A$1:$I$89,3,0)*VLOOKUP('Données projet'!$B$9,Paramètres!$A$1:$I$89,5,0)</f>
        <v>-3.9017322706058626E-13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623.31285537237943</v>
      </c>
      <c r="T136" s="62">
        <f t="shared" si="142"/>
        <v>462.33909258902241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146.35666576577486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146.35666576577486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4.9658410716801891E-14</v>
      </c>
      <c r="AK136" s="14">
        <f t="shared" si="143"/>
        <v>8.0934058173791862E-13</v>
      </c>
      <c r="AL136" s="22">
        <f t="shared" si="112"/>
        <v>1.4960899118586383E-12</v>
      </c>
      <c r="AM136" s="62">
        <f t="shared" si="113"/>
        <v>293.33333333333479</v>
      </c>
      <c r="AN136" s="62">
        <f ca="1">AVERAGE(OFFSET($AM$3,0,0,'Données projet'!$E$10+1,1))-AVERAGE(OFFSET($H$3,0,0,'Données projet'!$E$10+1,1))</f>
        <v>390.70479111593545</v>
      </c>
      <c r="AO136" s="62">
        <f t="shared" si="144"/>
        <v>374.99493809709708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57.651638032048055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57.651638032048055</v>
      </c>
      <c r="AY136" s="7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5.6843418860808015E-14</v>
      </c>
      <c r="BE136" s="14">
        <f>BD136*VLOOKUP('Données projet'!$B$11,Paramètres!$A$1:$I$89,3,0)*VLOOKUP('Données projet'!$B$11,Paramètres!$A$1:$I$89,5,0)</f>
        <v>4.5224624045658861E-14</v>
      </c>
      <c r="BF136" s="14">
        <f t="shared" si="145"/>
        <v>7.4514601661523691E-13</v>
      </c>
      <c r="BG136" s="22">
        <f t="shared" si="115"/>
        <v>1.3765621991510601E-12</v>
      </c>
      <c r="BH136" s="62">
        <f t="shared" si="116"/>
        <v>293.33333333333468</v>
      </c>
      <c r="BI136" s="62">
        <f ca="1">AVERAGE(OFFSET($BH$3,0,0,'Données projet'!$E$11+1,1))-AVERAGE(OFFSET($H$3,0,0,'Données projet'!$E$11+1,1))</f>
        <v>359.18294335011535</v>
      </c>
      <c r="BJ136" s="62">
        <f t="shared" si="146"/>
        <v>345.47508134331241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52.504170350615176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52.504170350615176</v>
      </c>
      <c r="BT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5.6843418860808015E-14</v>
      </c>
      <c r="BZ136" s="14">
        <f>BY136*VLOOKUP('Données projet'!$B$12,Paramètres!$A$1:$I$89,3,0)*VLOOKUP('Données projet'!$B$12,Paramètres!$A$1:$I$89,5,0)</f>
        <v>4.1677594708744434E-14</v>
      </c>
      <c r="CA136" s="14">
        <f t="shared" si="147"/>
        <v>6.9326303456159188E-13</v>
      </c>
      <c r="CB136" s="22">
        <f t="shared" si="118"/>
        <v>1.2800215959791691E-12</v>
      </c>
      <c r="CC136" s="62">
        <f t="shared" si="119"/>
        <v>293.33333333333462</v>
      </c>
      <c r="CD136" s="62">
        <f ca="1">AVERAGE(OFFSET($CC$3,0,0,'Données projet'!$E$12+1,1))-AVERAGE(OFFSET($H$3,0,0,'Données projet'!$E$12+1,1))</f>
        <v>333.9187211440219</v>
      </c>
      <c r="CE136" s="62">
        <f t="shared" si="148"/>
        <v>321.81422611044997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39.25672522330494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39.25672522330494</v>
      </c>
      <c r="CO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5.6843418860808015E-14</v>
      </c>
      <c r="CU136" s="18">
        <f>CT136*VLOOKUP('Données projet'!$B$13,Paramètres!$A$1:$I$89,3,0)*VLOOKUP('Données projet'!$B$13,Paramètres!$A$1:$I$89,5,0)</f>
        <v>4.6111381379887463E-14</v>
      </c>
      <c r="CV136" s="14">
        <f t="shared" si="149"/>
        <v>7.5804141040779151E-13</v>
      </c>
      <c r="CW136" s="22">
        <f t="shared" si="121"/>
        <v>1.4005661123635408E-12</v>
      </c>
      <c r="CX136" s="62">
        <f t="shared" si="122"/>
        <v>293.33333333333474</v>
      </c>
      <c r="CY136" s="62">
        <f ca="1">AVERAGE(OFFSET($CX$3,0,0,'Données projet'!$E$13+1,1))-AVERAGE(OFFSET($H$3,0,0,'Données projet'!$E$13+1,1))</f>
        <v>365.492319515595</v>
      </c>
      <c r="CZ136" s="62">
        <f t="shared" si="150"/>
        <v>351.38386928091433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43.432972587486283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43.432972587486283</v>
      </c>
      <c r="DJ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8.0699999999999985</v>
      </c>
      <c r="DO136" s="13">
        <f>IF('Données projet'!$A$166&gt;35,DO135+DN136-DW135,IF(A136&lt;'Données projet'!$A$166,$DL$205^A136,IF(A136='Données projet'!$A$166,'Données projet'!$B$166,DO135+DN136-DW135)))</f>
        <v>428.52000000000066</v>
      </c>
      <c r="DP136" s="18">
        <f>DO136*VLOOKUP('Données projet'!$B$14,Paramètres!$A$1:$I$89,3,0)*VLOOKUP('Données projet'!$B$14,Paramètres!$A$1:$I$89,5,0)</f>
        <v>360.98524800000058</v>
      </c>
      <c r="DQ136" s="14">
        <f t="shared" si="151"/>
        <v>83.820403433576146</v>
      </c>
      <c r="DR136" s="22">
        <f t="shared" si="124"/>
        <v>774.70317624681275</v>
      </c>
      <c r="DS136" s="62">
        <f t="shared" si="125"/>
        <v>1068.036509580146</v>
      </c>
      <c r="DT136" s="62">
        <f ca="1">AVERAGE(OFFSET($DS$3,0,0,'Données projet'!$E$14+1,1))-AVERAGE(OFFSET($H$3,0,0,'Données projet'!$E$14+1,1))</f>
        <v>544.89250424794909</v>
      </c>
      <c r="DU136" s="62">
        <f t="shared" si="152"/>
        <v>253.98688498110715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43.691475871385023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43.691475871385023</v>
      </c>
      <c r="EE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8.0699999999999985</v>
      </c>
      <c r="EJ136" s="13">
        <f>IF('Données projet'!$A$192&gt;35,EJ135+EI136-ER135,IF(A136&lt;'Données projet'!$A$192,$EG$205^A136,IF(A136='Données projet'!$A$192,'Données projet'!$B$192,EJ135+EI136-ER135)))</f>
        <v>428.52000000000066</v>
      </c>
      <c r="EK136" s="18">
        <f>EJ136*VLOOKUP('Données projet'!$B$15,Paramètres!$A$1:$I$89,3,0)*VLOOKUP('Données projet'!$B$15,Paramètres!$A$1:$I$89,5,0)</f>
        <v>387.72489600000057</v>
      </c>
      <c r="EL136" s="14">
        <f t="shared" si="153"/>
        <v>89.283579978484866</v>
      </c>
      <c r="EM136" s="22">
        <f t="shared" si="127"/>
        <v>830.78976232919547</v>
      </c>
      <c r="EN136" s="62">
        <f t="shared" si="128"/>
        <v>1124.1230956625288</v>
      </c>
      <c r="EO136" s="62">
        <f ca="1">AVERAGE(OFFSET($EN$3,0,0,'Données projet'!$E$15+1,1))-AVERAGE(OFFSET($H$3,0,0,'Données projet'!$E$15+1,1))</f>
        <v>581.88778927327667</v>
      </c>
      <c r="EP136" s="62">
        <f t="shared" si="154"/>
        <v>269.67340993773422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46.927881491487632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46.927881491487632</v>
      </c>
      <c r="EZ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8.0699999999999985</v>
      </c>
      <c r="FE136" s="13">
        <f>IF('Données projet'!$A$218&gt;35,FE135+FD136-FM135,IF(A136&lt;'Données projet'!$A$218,$FB$205^A136,IF(A136='Données projet'!$A$218,'Données projet'!$B$218,FE135+FD136-FM135)))</f>
        <v>428.52000000000066</v>
      </c>
      <c r="FF136" s="18">
        <f>FE136*VLOOKUP('Données projet'!$B$16,Paramètres!$A$1:$I$89,3,0)*VLOOKUP('Données projet'!$B$16,Paramètres!$A$1:$I$89,5,0)</f>
        <v>434.51928000000072</v>
      </c>
      <c r="FG136" s="14">
        <f t="shared" si="155"/>
        <v>98.740850242411952</v>
      </c>
      <c r="FH136" s="22">
        <f t="shared" si="130"/>
        <v>928.76139350553524</v>
      </c>
      <c r="FI136" s="62">
        <f t="shared" si="131"/>
        <v>1222.0947268388686</v>
      </c>
      <c r="FJ136" s="62">
        <f ca="1">AVERAGE(OFFSET($FI$3,0,0,'Données projet'!$E$16+1,1))-AVERAGE(OFFSET($H$3,0,0,'Données projet'!$E$16+1,1))</f>
        <v>646.50767193970182</v>
      </c>
      <c r="FK136" s="62">
        <f t="shared" si="156"/>
        <v>297.06786598620607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52.591591326667157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52.591591326667157</v>
      </c>
      <c r="FU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8.0699999999999985</v>
      </c>
      <c r="FZ136" s="13">
        <f>IF('Données projet'!$A$244&gt;35,FZ135+FY136-GH135,IF(A136&lt;'Données projet'!$A$244,$FW$205^A136,IF(A136='Données projet'!$A$244,'Données projet'!$B$244,FZ135+FY136-GH135)))</f>
        <v>428.52000000000066</v>
      </c>
      <c r="GA136" s="18">
        <f>FZ136*VLOOKUP('Données projet'!$B$17,Paramètres!$A$1:$I$89,3,0)*VLOOKUP('Données projet'!$B$17,Paramètres!$A$1:$I$89,5,0)</f>
        <v>287.45121600000044</v>
      </c>
      <c r="GB136" s="14">
        <f t="shared" si="157"/>
        <v>68.539250026809071</v>
      </c>
      <c r="GC136" s="22">
        <f t="shared" si="133"/>
        <v>620.01672833002647</v>
      </c>
      <c r="GD136" s="62">
        <f t="shared" si="134"/>
        <v>913.35006166335984</v>
      </c>
      <c r="GE136" s="62">
        <f ca="1">AVERAGE(OFFSET($GD$3,0,0,'Données projet'!$E$17+1,1))-AVERAGE(OFFSET($H$3,0,0,'Données projet'!$E$17+1,1))</f>
        <v>442.85175349826028</v>
      </c>
      <c r="GF136" s="62">
        <f t="shared" si="158"/>
        <v>210.70697808232501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42.882374466359373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42.882374466359373</v>
      </c>
      <c r="GP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-3.4106051316484809E-13</v>
      </c>
      <c r="GV136" s="18">
        <f>GU136*VLOOKUP('Données projet'!$B$18,Paramètres!$A$1:$I$89,3,0)*VLOOKUP('Données projet'!$B$18,Paramètres!$A$1:$I$89,5,0)</f>
        <v>-3.2455318432766944E-13</v>
      </c>
      <c r="GW136" s="14" t="e">
        <f t="shared" si="159"/>
        <v>#NUM!</v>
      </c>
      <c r="GX136" s="22" t="e">
        <f t="shared" si="136"/>
        <v>#NUM!</v>
      </c>
      <c r="GY136" s="62" t="e">
        <f t="shared" si="137"/>
        <v>#NUM!</v>
      </c>
      <c r="GZ136" s="62">
        <f ca="1">AVERAGE(OFFSET($GY$3,0,0,'Données projet'!$E$18+1,1))-AVERAGE(OFFSET($H$3,0,0,'Données projet'!$E$18+1,1))</f>
        <v>420.2510366318939</v>
      </c>
      <c r="HA136" s="62">
        <f t="shared" si="160"/>
        <v>220.59884411514116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137.53218802312196</v>
      </c>
      <c r="HH136" s="23">
        <f>EXP(-LN(2)/25)*HH135+(1-EXP(-LN(2)/25))/(LN(2)/25)*Calculateur!HC136*Calculateur!HE136*VLOOKUP('Données projet'!$B$18,Paramètres!$A$1:$I$89,3,0)*0.475*44/12</f>
        <v>0</v>
      </c>
      <c r="HI136" s="23">
        <f>EXP(-LN(2)/2)*HI135+(1-EXP(-LN(2)/2))/(LN(2)/2)*HC136*HF136*VLOOKUP('Données projet'!$B$18,Paramètres!$A$1:$I$89,3,0)*0.475*44/12</f>
        <v>0</v>
      </c>
      <c r="HJ136" s="24">
        <f t="shared" si="138"/>
        <v>137.53218802312196</v>
      </c>
    </row>
    <row r="137" spans="1:218" s="5" customFormat="1" x14ac:dyDescent="0.2">
      <c r="A137" s="11">
        <f t="shared" si="139"/>
        <v>134</v>
      </c>
      <c r="B137" s="74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-4.5474735088646412E-13</v>
      </c>
      <c r="O137" s="14">
        <f>N137*VLOOKUP('Données projet'!$B$9,Paramètres!$A$1:$I$89,3,0)*VLOOKUP('Données projet'!$B$9,Paramètres!$A$1:$I$89,5,0)</f>
        <v>-3.9017322706058626E-13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623.31285537237943</v>
      </c>
      <c r="T137" s="62">
        <f t="shared" si="142"/>
        <v>462.33909258902241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143.48670081885959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143.48670081885959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4.9658410716801891E-14</v>
      </c>
      <c r="AK137" s="14">
        <f t="shared" si="143"/>
        <v>8.0934058173791862E-13</v>
      </c>
      <c r="AL137" s="22">
        <f t="shared" si="112"/>
        <v>1.4960899118586383E-12</v>
      </c>
      <c r="AM137" s="62">
        <f t="shared" si="113"/>
        <v>293.33333333333479</v>
      </c>
      <c r="AN137" s="62">
        <f ca="1">AVERAGE(OFFSET($AM$3,0,0,'Données projet'!$E$10+1,1))-AVERAGE(OFFSET($H$3,0,0,'Données projet'!$E$10+1,1))</f>
        <v>390.70479111593545</v>
      </c>
      <c r="AO137" s="62">
        <f t="shared" si="144"/>
        <v>374.99493809709708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56.521124574266636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56.521124574266636</v>
      </c>
      <c r="AY137" s="7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5.6843418860808015E-14</v>
      </c>
      <c r="BE137" s="14">
        <f>BD137*VLOOKUP('Données projet'!$B$11,Paramètres!$A$1:$I$89,3,0)*VLOOKUP('Données projet'!$B$11,Paramètres!$A$1:$I$89,5,0)</f>
        <v>4.5224624045658861E-14</v>
      </c>
      <c r="BF137" s="14">
        <f t="shared" si="145"/>
        <v>7.4514601661523691E-13</v>
      </c>
      <c r="BG137" s="22">
        <f t="shared" si="115"/>
        <v>1.3765621991510601E-12</v>
      </c>
      <c r="BH137" s="62">
        <f t="shared" si="116"/>
        <v>293.33333333333468</v>
      </c>
      <c r="BI137" s="62">
        <f ca="1">AVERAGE(OFFSET($BH$3,0,0,'Données projet'!$E$11+1,1))-AVERAGE(OFFSET($H$3,0,0,'Données projet'!$E$11+1,1))</f>
        <v>359.18294335011535</v>
      </c>
      <c r="BJ137" s="62">
        <f t="shared" si="146"/>
        <v>345.47508134331241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51.47459559442138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51.47459559442138</v>
      </c>
      <c r="BT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5.6843418860808015E-14</v>
      </c>
      <c r="BZ137" s="14">
        <f>BY137*VLOOKUP('Données projet'!$B$12,Paramètres!$A$1:$I$89,3,0)*VLOOKUP('Données projet'!$B$12,Paramètres!$A$1:$I$89,5,0)</f>
        <v>4.1677594708744434E-14</v>
      </c>
      <c r="CA137" s="14">
        <f t="shared" si="147"/>
        <v>6.9326303456159188E-13</v>
      </c>
      <c r="CB137" s="22">
        <f t="shared" si="118"/>
        <v>1.2800215959791691E-12</v>
      </c>
      <c r="CC137" s="62">
        <f t="shared" si="119"/>
        <v>293.33333333333462</v>
      </c>
      <c r="CD137" s="62">
        <f ca="1">AVERAGE(OFFSET($CC$3,0,0,'Données projet'!$E$12+1,1))-AVERAGE(OFFSET($H$3,0,0,'Données projet'!$E$12+1,1))</f>
        <v>333.9187211440219</v>
      </c>
      <c r="CE137" s="62">
        <f t="shared" si="148"/>
        <v>321.81422611044997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38.48692478591402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38.48692478591402</v>
      </c>
      <c r="CO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5.6843418860808015E-14</v>
      </c>
      <c r="CU137" s="18">
        <f>CT137*VLOOKUP('Données projet'!$B$13,Paramètres!$A$1:$I$89,3,0)*VLOOKUP('Données projet'!$B$13,Paramètres!$A$1:$I$89,5,0)</f>
        <v>4.6111381379887463E-14</v>
      </c>
      <c r="CV137" s="14">
        <f t="shared" si="149"/>
        <v>7.5804141040779151E-13</v>
      </c>
      <c r="CW137" s="22">
        <f t="shared" si="121"/>
        <v>1.4005661123635408E-12</v>
      </c>
      <c r="CX137" s="62">
        <f t="shared" si="122"/>
        <v>293.33333333333474</v>
      </c>
      <c r="CY137" s="62">
        <f ca="1">AVERAGE(OFFSET($CX$3,0,0,'Données projet'!$E$13+1,1))-AVERAGE(OFFSET($H$3,0,0,'Données projet'!$E$13+1,1))</f>
        <v>365.492319515595</v>
      </c>
      <c r="CZ137" s="62">
        <f t="shared" si="150"/>
        <v>351.38386928091433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42.581278486543134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42.581278486543134</v>
      </c>
      <c r="DJ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>
        <f>VLOOKUP(A137,'Données projet'!$A$165:$I$185,2,0)</f>
        <v>436.59</v>
      </c>
      <c r="DM137" s="13">
        <f>VLOOKUP(A137,'Données projet'!$A$165:$I$185,9,0)</f>
        <v>8.0699999999999985</v>
      </c>
      <c r="DN137" s="13">
        <f t="array" ref="DN137">INDEX(DM:DM,MIN(IF(ISNUMBER(DM137:DM333),ROW(DM137:DM333),"")))</f>
        <v>8.0699999999999985</v>
      </c>
      <c r="DO137" s="13">
        <f>IF('Données projet'!$A$166&gt;35,DO136+DN137-DW136,IF(A137&lt;'Données projet'!$A$166,$DL$205^A137,IF(A137='Données projet'!$A$166,'Données projet'!$B$166,DO136+DN137-DW136)))</f>
        <v>436.59000000000066</v>
      </c>
      <c r="DP137" s="18">
        <f>DO137*VLOOKUP('Données projet'!$B$14,Paramètres!$A$1:$I$89,3,0)*VLOOKUP('Données projet'!$B$14,Paramètres!$A$1:$I$89,5,0)</f>
        <v>367.78341600000061</v>
      </c>
      <c r="DQ137" s="14">
        <f t="shared" si="151"/>
        <v>85.21367230774247</v>
      </c>
      <c r="DR137" s="22">
        <f t="shared" si="124"/>
        <v>788.96992880265259</v>
      </c>
      <c r="DS137" s="62">
        <f t="shared" si="125"/>
        <v>1082.303262135986</v>
      </c>
      <c r="DT137" s="62">
        <f ca="1">AVERAGE(OFFSET($DS$3,0,0,'Données projet'!$E$14+1,1))-AVERAGE(OFFSET($H$3,0,0,'Données projet'!$E$14+1,1))</f>
        <v>544.89250424794909</v>
      </c>
      <c r="DU137" s="62">
        <f t="shared" si="152"/>
        <v>253.98688498110715</v>
      </c>
      <c r="DV137" s="16">
        <f>IF(ISNA(VLOOKUP(A137,'Données projet'!$A$165:$I$185,3,0)),0,VLOOKUP(A137,'Données projet'!$A$165:$I$185,3,0))</f>
        <v>11</v>
      </c>
      <c r="DW137" s="16">
        <f>IF(ISNA(VLOOKUP(A137,'Données projet'!$A$165:$I$185,4,0)),0,VLOOKUP(A137,'Données projet'!$A$165:$I$185,4,0))</f>
        <v>54.95</v>
      </c>
      <c r="DX137" s="17">
        <f>IF(ISNA(VLOOKUP(A137,'Données projet'!$A$165:$I$185,5,0)),0%,VLOOKUP(A137,'Données projet'!$A$165:$I$185,5,0)*VLOOKUP('Données projet'!$B$14,Paramètres!$A$1:$I$89,7,0))</f>
        <v>0.30099999999999999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58.237512133568607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58.237512133568607</v>
      </c>
      <c r="EE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>
        <f>VLOOKUP(A137,'Données projet'!$A$191:$I$211,2,0)</f>
        <v>436.59</v>
      </c>
      <c r="EH137" s="13">
        <f>VLOOKUP(A137,'Données projet'!$A$191:$I$211,9,0)</f>
        <v>8.0699999999999985</v>
      </c>
      <c r="EI137" s="13">
        <f t="array" ref="EI137">INDEX(EH:EH,MIN(IF(ISNUMBER(EH137:EH333),ROW(EH137:EH333),"")))</f>
        <v>8.0699999999999985</v>
      </c>
      <c r="EJ137" s="13">
        <f>IF('Données projet'!$A$192&gt;35,EJ136+EI137-ER136,IF(A137&lt;'Données projet'!$A$192,$EG$205^A137,IF(A137='Données projet'!$A$192,'Données projet'!$B$192,EJ136+EI137-ER136)))</f>
        <v>436.59000000000066</v>
      </c>
      <c r="EK137" s="18">
        <f>EJ137*VLOOKUP('Données projet'!$B$15,Paramètres!$A$1:$I$89,3,0)*VLOOKUP('Données projet'!$B$15,Paramètres!$A$1:$I$89,5,0)</f>
        <v>395.02663200000057</v>
      </c>
      <c r="EL137" s="14">
        <f t="shared" si="153"/>
        <v>90.767658172605465</v>
      </c>
      <c r="EM137" s="22">
        <f t="shared" si="127"/>
        <v>846.09172205062214</v>
      </c>
      <c r="EN137" s="62">
        <f t="shared" si="128"/>
        <v>1139.4250553839554</v>
      </c>
      <c r="EO137" s="62">
        <f ca="1">AVERAGE(OFFSET($EN$3,0,0,'Données projet'!$E$15+1,1))-AVERAGE(OFFSET($H$3,0,0,'Données projet'!$E$15+1,1))</f>
        <v>581.88778927327667</v>
      </c>
      <c r="EP137" s="62">
        <f t="shared" si="154"/>
        <v>269.67340993773422</v>
      </c>
      <c r="EQ137" s="16">
        <f>IF(ISNA(VLOOKUP(A137,'Données projet'!$A$191:$I$211,3,0)),0,VLOOKUP(A137,'Données projet'!$A$191:$I$211,3,0))</f>
        <v>11</v>
      </c>
      <c r="ER137" s="16">
        <f>IF(ISNA(VLOOKUP(A137,'Données projet'!$A$191:$I$211,4,0)),0,VLOOKUP(A137,'Données projet'!$A$191:$I$211,4,0))</f>
        <v>54.95</v>
      </c>
      <c r="ES137" s="17">
        <f>IF(ISNA(VLOOKUP(A137,'Données projet'!$A$191:$I$211,5,0)),0%,VLOOKUP(A137,'Données projet'!$A$191:$I$211,5,0)*VLOOKUP('Données projet'!$B$15,Paramètres!$A$1:$I$89,7,0))</f>
        <v>0.30099999999999999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62.55140192124037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62.55140192124037</v>
      </c>
      <c r="EZ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>
        <f>VLOOKUP(A137,'Données projet'!$A$217:$I$237,2,0)</f>
        <v>436.59</v>
      </c>
      <c r="FC137" s="13">
        <f>VLOOKUP(A137,'Données projet'!$A$217:$I$237,9,0)</f>
        <v>8.0699999999999985</v>
      </c>
      <c r="FD137" s="13">
        <f t="array" ref="FD137">INDEX(FC:FC,MIN(IF(ISNUMBER(FC137:FC333),ROW(FC137:FC333),"")))</f>
        <v>8.0699999999999985</v>
      </c>
      <c r="FE137" s="13">
        <f>IF('Données projet'!$A$218&gt;35,FE136+FD137-FM136,IF(A137&lt;'Données projet'!$A$218,$FB$205^A137,IF(A137='Données projet'!$A$218,'Données projet'!$B$218,FE136+FD137-FM136)))</f>
        <v>436.59000000000066</v>
      </c>
      <c r="FF137" s="18">
        <f>FE137*VLOOKUP('Données projet'!$B$16,Paramètres!$A$1:$I$89,3,0)*VLOOKUP('Données projet'!$B$16,Paramètres!$A$1:$I$89,5,0)</f>
        <v>442.70226000000071</v>
      </c>
      <c r="FG137" s="14">
        <f t="shared" si="155"/>
        <v>100.38212787430139</v>
      </c>
      <c r="FH137" s="22">
        <f t="shared" si="130"/>
        <v>945.87197554774275</v>
      </c>
      <c r="FI137" s="62">
        <f t="shared" si="131"/>
        <v>1239.205308881076</v>
      </c>
      <c r="FJ137" s="62">
        <f ca="1">AVERAGE(OFFSET($FI$3,0,0,'Données projet'!$E$16+1,1))-AVERAGE(OFFSET($H$3,0,0,'Données projet'!$E$16+1,1))</f>
        <v>646.50767193970182</v>
      </c>
      <c r="FK137" s="62">
        <f t="shared" si="156"/>
        <v>297.06786598620607</v>
      </c>
      <c r="FL137" s="16">
        <f>IF(ISNA(VLOOKUP(A137,'Données projet'!$A$217:$I$237,3,0)),0,VLOOKUP(A137,'Données projet'!$A$217:$I$237,3,0))</f>
        <v>11</v>
      </c>
      <c r="FM137" s="16">
        <f>IF(ISNA(VLOOKUP(A137,'Données projet'!$A$217:$I$237,4,0)),0,VLOOKUP(A137,'Données projet'!$A$217:$I$237,4,0))</f>
        <v>54.95</v>
      </c>
      <c r="FN137" s="17">
        <f>IF(ISNA(VLOOKUP(A137,'Données projet'!$A$217:$I$237,5,0)),0%,VLOOKUP(A137,'Données projet'!$A$217:$I$237,5,0)*VLOOKUP('Données projet'!$B$16,Paramètres!$A$1:$I$89,7,0))</f>
        <v>0.30099999999999999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70.100709049665923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70.100709049665923</v>
      </c>
      <c r="FU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>
        <f>VLOOKUP(A137,'Données projet'!$A$243:$I$263,2,0)</f>
        <v>436.59</v>
      </c>
      <c r="FX137" s="13">
        <f>VLOOKUP(A137,'Données projet'!$A$243:$I$263,9,0)</f>
        <v>8.0699999999999985</v>
      </c>
      <c r="FY137" s="13">
        <f t="array" ref="FY137">INDEX(FX:FX,MIN(IF(ISNUMBER(FX137:FX333),ROW(FX137:FX333),"")))</f>
        <v>8.0699999999999985</v>
      </c>
      <c r="FZ137" s="13">
        <f>IF('Données projet'!$A$244&gt;35,FZ136+FY137-GH136,IF(A137&lt;'Données projet'!$A$244,$FW$205^A137,IF(A137='Données projet'!$A$244,'Données projet'!$B$244,FZ136+FY137-GH136)))</f>
        <v>436.59000000000066</v>
      </c>
      <c r="GA137" s="18">
        <f>FZ137*VLOOKUP('Données projet'!$B$17,Paramètres!$A$1:$I$89,3,0)*VLOOKUP('Données projet'!$B$17,Paramètres!$A$1:$I$89,5,0)</f>
        <v>292.86457200000046</v>
      </c>
      <c r="GB137" s="14">
        <f t="shared" si="157"/>
        <v>69.678514451809619</v>
      </c>
      <c r="GC137" s="22">
        <f t="shared" si="133"/>
        <v>631.42920890356925</v>
      </c>
      <c r="GD137" s="62">
        <f t="shared" si="134"/>
        <v>924.76254223690262</v>
      </c>
      <c r="GE137" s="62">
        <f ca="1">AVERAGE(OFFSET($GD$3,0,0,'Données projet'!$E$17+1,1))-AVERAGE(OFFSET($H$3,0,0,'Données projet'!$E$17+1,1))</f>
        <v>442.85175349826028</v>
      </c>
      <c r="GF137" s="62">
        <f t="shared" si="158"/>
        <v>210.70697808232501</v>
      </c>
      <c r="GG137" s="16">
        <f>IF(ISNA(VLOOKUP(A137,'Données projet'!$A$243:$I$263,3,0)),0,VLOOKUP(A137,'Données projet'!$A$243:$I$263,3,0))</f>
        <v>11</v>
      </c>
      <c r="GH137" s="16">
        <f>IF(ISNA(VLOOKUP(A137,'Données projet'!$A$243:$I$263,4,0)),0,VLOOKUP(A137,'Données projet'!$A$243:$I$263,4,0))</f>
        <v>54.95</v>
      </c>
      <c r="GI137" s="17">
        <f>IF(ISNA(VLOOKUP(A137,'Données projet'!$A$243:$I$263,5,0)),0%,VLOOKUP(A137,'Données projet'!$A$243:$I$263,5,0)*VLOOKUP('Données projet'!$B$17,Paramètres!$A$1:$I$89,7,0))</f>
        <v>0.371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57.159039686650665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57.159039686650665</v>
      </c>
      <c r="GP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-3.4106051316484809E-13</v>
      </c>
      <c r="GV137" s="18">
        <f>GU137*VLOOKUP('Données projet'!$B$18,Paramètres!$A$1:$I$89,3,0)*VLOOKUP('Données projet'!$B$18,Paramètres!$A$1:$I$89,5,0)</f>
        <v>-3.2455318432766944E-13</v>
      </c>
      <c r="GW137" s="14" t="e">
        <f t="shared" si="159"/>
        <v>#NUM!</v>
      </c>
      <c r="GX137" s="22" t="e">
        <f t="shared" si="136"/>
        <v>#NUM!</v>
      </c>
      <c r="GY137" s="62" t="e">
        <f t="shared" si="137"/>
        <v>#NUM!</v>
      </c>
      <c r="GZ137" s="62">
        <f ca="1">AVERAGE(OFFSET($GY$3,0,0,'Données projet'!$E$18+1,1))-AVERAGE(OFFSET($H$3,0,0,'Données projet'!$E$18+1,1))</f>
        <v>420.2510366318939</v>
      </c>
      <c r="HA137" s="62">
        <f t="shared" si="160"/>
        <v>220.59884411514116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134.83526570234014</v>
      </c>
      <c r="HH137" s="23">
        <f>EXP(-LN(2)/25)*HH136+(1-EXP(-LN(2)/25))/(LN(2)/25)*Calculateur!HC137*Calculateur!HE137*VLOOKUP('Données projet'!$B$18,Paramètres!$A$1:$I$89,3,0)*0.475*44/12</f>
        <v>0</v>
      </c>
      <c r="HI137" s="23">
        <f>EXP(-LN(2)/2)*HI136+(1-EXP(-LN(2)/2))/(LN(2)/2)*HC137*HF137*VLOOKUP('Données projet'!$B$18,Paramètres!$A$1:$I$89,3,0)*0.475*44/12</f>
        <v>0</v>
      </c>
      <c r="HJ137" s="24">
        <f t="shared" si="138"/>
        <v>134.83526570234014</v>
      </c>
    </row>
    <row r="138" spans="1:218" s="5" customFormat="1" x14ac:dyDescent="0.2">
      <c r="A138" s="11">
        <f t="shared" si="139"/>
        <v>135</v>
      </c>
      <c r="B138" s="74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-4.5474735088646412E-13</v>
      </c>
      <c r="O138" s="14">
        <f>N138*VLOOKUP('Données projet'!$B$9,Paramètres!$A$1:$I$89,3,0)*VLOOKUP('Données projet'!$B$9,Paramètres!$A$1:$I$89,5,0)</f>
        <v>-3.9017322706058626E-13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623.31285537237943</v>
      </c>
      <c r="T138" s="62">
        <f t="shared" si="142"/>
        <v>462.33909258902241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140.67301413404755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140.67301413404755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4.9658410716801891E-14</v>
      </c>
      <c r="AK138" s="14">
        <f t="shared" si="143"/>
        <v>8.0934058173791862E-13</v>
      </c>
      <c r="AL138" s="22">
        <f t="shared" si="112"/>
        <v>1.4960899118586383E-12</v>
      </c>
      <c r="AM138" s="62">
        <f t="shared" si="113"/>
        <v>293.33333333333479</v>
      </c>
      <c r="AN138" s="62">
        <f ca="1">AVERAGE(OFFSET($AM$3,0,0,'Données projet'!$E$10+1,1))-AVERAGE(OFFSET($H$3,0,0,'Données projet'!$E$10+1,1))</f>
        <v>390.70479111593545</v>
      </c>
      <c r="AO138" s="62">
        <f t="shared" si="144"/>
        <v>374.99493809709708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55.412779795847186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55.412779795847186</v>
      </c>
      <c r="AY138" s="7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5.6843418860808015E-14</v>
      </c>
      <c r="BE138" s="14">
        <f>BD138*VLOOKUP('Données projet'!$B$11,Paramètres!$A$1:$I$89,3,0)*VLOOKUP('Données projet'!$B$11,Paramètres!$A$1:$I$89,5,0)</f>
        <v>4.5224624045658861E-14</v>
      </c>
      <c r="BF138" s="14">
        <f t="shared" si="145"/>
        <v>7.4514601661523691E-13</v>
      </c>
      <c r="BG138" s="22">
        <f t="shared" si="115"/>
        <v>1.3765621991510601E-12</v>
      </c>
      <c r="BH138" s="62">
        <f t="shared" si="116"/>
        <v>293.33333333333468</v>
      </c>
      <c r="BI138" s="62">
        <f ca="1">AVERAGE(OFFSET($BH$3,0,0,'Données projet'!$E$11+1,1))-AVERAGE(OFFSET($H$3,0,0,'Données projet'!$E$11+1,1))</f>
        <v>359.18294335011535</v>
      </c>
      <c r="BJ138" s="62">
        <f t="shared" si="146"/>
        <v>345.47508134331241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50.465210171217954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50.465210171217954</v>
      </c>
      <c r="BT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5.6843418860808015E-14</v>
      </c>
      <c r="BZ138" s="14">
        <f>BY138*VLOOKUP('Données projet'!$B$12,Paramètres!$A$1:$I$89,3,0)*VLOOKUP('Données projet'!$B$12,Paramètres!$A$1:$I$89,5,0)</f>
        <v>4.1677594708744434E-14</v>
      </c>
      <c r="CA138" s="14">
        <f t="shared" si="147"/>
        <v>6.9326303456159188E-13</v>
      </c>
      <c r="CB138" s="22">
        <f t="shared" si="118"/>
        <v>1.2800215959791691E-12</v>
      </c>
      <c r="CC138" s="62">
        <f t="shared" si="119"/>
        <v>293.33333333333462</v>
      </c>
      <c r="CD138" s="62">
        <f ca="1">AVERAGE(OFFSET($CC$3,0,0,'Données projet'!$E$12+1,1))-AVERAGE(OFFSET($H$3,0,0,'Données projet'!$E$12+1,1))</f>
        <v>333.9187211440219</v>
      </c>
      <c r="CE138" s="62">
        <f t="shared" si="148"/>
        <v>321.81422611044997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37.732219665568429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37.732219665568429</v>
      </c>
      <c r="CO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5.6843418860808015E-14</v>
      </c>
      <c r="CU138" s="18">
        <f>CT138*VLOOKUP('Données projet'!$B$13,Paramètres!$A$1:$I$89,3,0)*VLOOKUP('Données projet'!$B$13,Paramètres!$A$1:$I$89,5,0)</f>
        <v>4.6111381379887463E-14</v>
      </c>
      <c r="CV138" s="14">
        <f t="shared" si="149"/>
        <v>7.5804141040779151E-13</v>
      </c>
      <c r="CW138" s="22">
        <f t="shared" si="121"/>
        <v>1.4005661123635408E-12</v>
      </c>
      <c r="CX138" s="62">
        <f t="shared" si="122"/>
        <v>293.33333333333474</v>
      </c>
      <c r="CY138" s="62">
        <f ca="1">AVERAGE(OFFSET($CX$3,0,0,'Données projet'!$E$13+1,1))-AVERAGE(OFFSET($H$3,0,0,'Données projet'!$E$13+1,1))</f>
        <v>365.492319515595</v>
      </c>
      <c r="CZ138" s="62">
        <f t="shared" si="150"/>
        <v>351.38386928091433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41.746285587437377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41.746285587437377</v>
      </c>
      <c r="DJ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8.1590000000000025</v>
      </c>
      <c r="DO138" s="13">
        <f>IF('Données projet'!$A$166&gt;35,DO137+DN138-DW137,IF(A138&lt;'Données projet'!$A$166,$DL$205^A138,IF(A138='Données projet'!$A$166,'Données projet'!$B$166,DO137+DN138-DW137)))</f>
        <v>389.79900000000066</v>
      </c>
      <c r="DP138" s="18">
        <f>DO138*VLOOKUP('Données projet'!$B$14,Paramètres!$A$1:$I$89,3,0)*VLOOKUP('Données projet'!$B$14,Paramètres!$A$1:$I$89,5,0)</f>
        <v>328.36667760000057</v>
      </c>
      <c r="DQ138" s="14">
        <f t="shared" si="151"/>
        <v>77.091580041443791</v>
      </c>
      <c r="DR138" s="22">
        <f t="shared" si="124"/>
        <v>706.17313205884875</v>
      </c>
      <c r="DS138" s="62">
        <f t="shared" si="125"/>
        <v>999.50646539218201</v>
      </c>
      <c r="DT138" s="62">
        <f ca="1">AVERAGE(OFFSET($DS$3,0,0,'Données projet'!$E$14+1,1))-AVERAGE(OFFSET($H$3,0,0,'Données projet'!$E$14+1,1))</f>
        <v>544.89250424794909</v>
      </c>
      <c r="DU138" s="62">
        <f t="shared" si="152"/>
        <v>253.98688498110715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57.095510042004285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57.095510042004285</v>
      </c>
      <c r="EE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8.1590000000000025</v>
      </c>
      <c r="EJ138" s="13">
        <f>IF('Données projet'!$A$192&gt;35,EJ137+EI138-ER137,IF(A138&lt;'Données projet'!$A$192,$EG$205^A138,IF(A138='Données projet'!$A$192,'Données projet'!$B$192,EJ137+EI138-ER137)))</f>
        <v>389.79900000000066</v>
      </c>
      <c r="EK138" s="18">
        <f>EJ138*VLOOKUP('Données projet'!$B$15,Paramètres!$A$1:$I$89,3,0)*VLOOKUP('Données projet'!$B$15,Paramètres!$A$1:$I$89,5,0)</f>
        <v>352.69013520000055</v>
      </c>
      <c r="EL138" s="14">
        <f t="shared" si="153"/>
        <v>82.116190931394016</v>
      </c>
      <c r="EM138" s="22">
        <f t="shared" si="127"/>
        <v>757.28768467884549</v>
      </c>
      <c r="EN138" s="62">
        <f t="shared" si="128"/>
        <v>1050.6210180121789</v>
      </c>
      <c r="EO138" s="62">
        <f ca="1">AVERAGE(OFFSET($EN$3,0,0,'Données projet'!$E$15+1,1))-AVERAGE(OFFSET($H$3,0,0,'Données projet'!$E$15+1,1))</f>
        <v>581.88778927327667</v>
      </c>
      <c r="EP138" s="62">
        <f t="shared" si="154"/>
        <v>269.67340993773422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61.324807082152766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61.324807082152766</v>
      </c>
      <c r="EZ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8.1590000000000025</v>
      </c>
      <c r="FE138" s="13">
        <f>IF('Données projet'!$A$218&gt;35,FE137+FD138-FM137,IF(A138&lt;'Données projet'!$A$218,$FB$205^A138,IF(A138='Données projet'!$A$218,'Données projet'!$B$218,FE137+FD138-FM137)))</f>
        <v>389.79900000000066</v>
      </c>
      <c r="FF138" s="18">
        <f>FE138*VLOOKUP('Données projet'!$B$16,Paramètres!$A$1:$I$89,3,0)*VLOOKUP('Données projet'!$B$16,Paramètres!$A$1:$I$89,5,0)</f>
        <v>395.2561860000007</v>
      </c>
      <c r="FG138" s="14">
        <f t="shared" si="155"/>
        <v>90.814262971847356</v>
      </c>
      <c r="FH138" s="22">
        <f t="shared" si="130"/>
        <v>846.57269862596866</v>
      </c>
      <c r="FI138" s="62">
        <f t="shared" si="131"/>
        <v>1139.906031959302</v>
      </c>
      <c r="FJ138" s="62">
        <f ca="1">AVERAGE(OFFSET($FI$3,0,0,'Données projet'!$E$16+1,1))-AVERAGE(OFFSET($H$3,0,0,'Données projet'!$E$16+1,1))</f>
        <v>646.50767193970182</v>
      </c>
      <c r="FK138" s="62">
        <f t="shared" si="156"/>
        <v>297.06786598620607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68.726076902412572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68.726076902412572</v>
      </c>
      <c r="FU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8.1590000000000025</v>
      </c>
      <c r="FZ138" s="13">
        <f>IF('Données projet'!$A$244&gt;35,FZ137+FY138-GH137,IF(A138&lt;'Données projet'!$A$244,$FW$205^A138,IF(A138='Données projet'!$A$244,'Données projet'!$B$244,FZ137+FY138-GH137)))</f>
        <v>389.79900000000066</v>
      </c>
      <c r="GA138" s="18">
        <f>FZ138*VLOOKUP('Données projet'!$B$17,Paramètres!$A$1:$I$89,3,0)*VLOOKUP('Données projet'!$B$17,Paramètres!$A$1:$I$89,5,0)</f>
        <v>261.47716920000045</v>
      </c>
      <c r="GB138" s="14">
        <f t="shared" si="157"/>
        <v>63.037146839903421</v>
      </c>
      <c r="GC138" s="22">
        <f t="shared" si="133"/>
        <v>565.19576710283252</v>
      </c>
      <c r="GD138" s="62">
        <f t="shared" si="134"/>
        <v>858.52910043616589</v>
      </c>
      <c r="GE138" s="62">
        <f ca="1">AVERAGE(OFFSET($GD$3,0,0,'Données projet'!$E$17+1,1))-AVERAGE(OFFSET($H$3,0,0,'Données projet'!$E$17+1,1))</f>
        <v>442.85175349826028</v>
      </c>
      <c r="GF138" s="62">
        <f t="shared" si="158"/>
        <v>210.70697808232501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56.038185781967165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56.038185781967165</v>
      </c>
      <c r="GP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-3.4106051316484809E-13</v>
      </c>
      <c r="GV138" s="18">
        <f>GU138*VLOOKUP('Données projet'!$B$18,Paramètres!$A$1:$I$89,3,0)*VLOOKUP('Données projet'!$B$18,Paramètres!$A$1:$I$89,5,0)</f>
        <v>-3.2455318432766944E-13</v>
      </c>
      <c r="GW138" s="14" t="e">
        <f t="shared" si="159"/>
        <v>#NUM!</v>
      </c>
      <c r="GX138" s="22" t="e">
        <f t="shared" si="136"/>
        <v>#NUM!</v>
      </c>
      <c r="GY138" s="62" t="e">
        <f t="shared" si="137"/>
        <v>#NUM!</v>
      </c>
      <c r="GZ138" s="62">
        <f ca="1">AVERAGE(OFFSET($GY$3,0,0,'Données projet'!$E$18+1,1))-AVERAGE(OFFSET($H$3,0,0,'Données projet'!$E$18+1,1))</f>
        <v>420.2510366318939</v>
      </c>
      <c r="HA138" s="62">
        <f t="shared" si="160"/>
        <v>220.59884411514116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132.19122838330867</v>
      </c>
      <c r="HH138" s="23">
        <f>EXP(-LN(2)/25)*HH137+(1-EXP(-LN(2)/25))/(LN(2)/25)*Calculateur!HC138*Calculateur!HE138*VLOOKUP('Données projet'!$B$18,Paramètres!$A$1:$I$89,3,0)*0.475*44/12</f>
        <v>0</v>
      </c>
      <c r="HI138" s="23">
        <f>EXP(-LN(2)/2)*HI137+(1-EXP(-LN(2)/2))/(LN(2)/2)*HC138*HF138*VLOOKUP('Données projet'!$B$18,Paramètres!$A$1:$I$89,3,0)*0.475*44/12</f>
        <v>0</v>
      </c>
      <c r="HJ138" s="24">
        <f t="shared" si="138"/>
        <v>132.19122838330867</v>
      </c>
    </row>
    <row r="139" spans="1:218" s="5" customFormat="1" x14ac:dyDescent="0.2">
      <c r="A139" s="11">
        <f t="shared" si="139"/>
        <v>136</v>
      </c>
      <c r="B139" s="74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-4.5474735088646412E-13</v>
      </c>
      <c r="O139" s="14">
        <f>N139*VLOOKUP('Données projet'!$B$9,Paramètres!$A$1:$I$89,3,0)*VLOOKUP('Données projet'!$B$9,Paramètres!$A$1:$I$89,5,0)</f>
        <v>-3.9017322706058626E-13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623.31285537237943</v>
      </c>
      <c r="T139" s="62">
        <f t="shared" si="142"/>
        <v>462.33909258902241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137.91450212894526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137.91450212894526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4.9658410716801891E-14</v>
      </c>
      <c r="AK139" s="14">
        <f t="shared" si="143"/>
        <v>8.0934058173791862E-13</v>
      </c>
      <c r="AL139" s="22">
        <f t="shared" si="112"/>
        <v>1.4960899118586383E-12</v>
      </c>
      <c r="AM139" s="62">
        <f t="shared" si="113"/>
        <v>293.33333333333479</v>
      </c>
      <c r="AN139" s="62">
        <f ca="1">AVERAGE(OFFSET($AM$3,0,0,'Données projet'!$E$10+1,1))-AVERAGE(OFFSET($H$3,0,0,'Données projet'!$E$10+1,1))</f>
        <v>390.70479111593545</v>
      </c>
      <c r="AO139" s="62">
        <f t="shared" si="144"/>
        <v>374.99493809709708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54.326168982508975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54.326168982508975</v>
      </c>
      <c r="AY139" s="7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5.6843418860808015E-14</v>
      </c>
      <c r="BE139" s="14">
        <f>BD139*VLOOKUP('Données projet'!$B$11,Paramètres!$A$1:$I$89,3,0)*VLOOKUP('Données projet'!$B$11,Paramètres!$A$1:$I$89,5,0)</f>
        <v>4.5224624045658861E-14</v>
      </c>
      <c r="BF139" s="14">
        <f t="shared" si="145"/>
        <v>7.4514601661523691E-13</v>
      </c>
      <c r="BG139" s="22">
        <f t="shared" si="115"/>
        <v>1.3765621991510601E-12</v>
      </c>
      <c r="BH139" s="62">
        <f t="shared" si="116"/>
        <v>293.33333333333468</v>
      </c>
      <c r="BI139" s="62">
        <f ca="1">AVERAGE(OFFSET($BH$3,0,0,'Données projet'!$E$11+1,1))-AVERAGE(OFFSET($H$3,0,0,'Données projet'!$E$11+1,1))</f>
        <v>359.18294335011535</v>
      </c>
      <c r="BJ139" s="62">
        <f t="shared" si="146"/>
        <v>345.47508134331241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49.475618180499232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49.475618180499232</v>
      </c>
      <c r="BT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5.6843418860808015E-14</v>
      </c>
      <c r="BZ139" s="14">
        <f>BY139*VLOOKUP('Données projet'!$B$12,Paramètres!$A$1:$I$89,3,0)*VLOOKUP('Données projet'!$B$12,Paramètres!$A$1:$I$89,5,0)</f>
        <v>4.1677594708744434E-14</v>
      </c>
      <c r="CA139" s="14">
        <f t="shared" si="147"/>
        <v>6.9326303456159188E-13</v>
      </c>
      <c r="CB139" s="22">
        <f t="shared" si="118"/>
        <v>1.2800215959791691E-12</v>
      </c>
      <c r="CC139" s="62">
        <f t="shared" si="119"/>
        <v>293.33333333333462</v>
      </c>
      <c r="CD139" s="62">
        <f ca="1">AVERAGE(OFFSET($CC$3,0,0,'Données projet'!$E$12+1,1))-AVERAGE(OFFSET($H$3,0,0,'Données projet'!$E$12+1,1))</f>
        <v>333.9187211440219</v>
      </c>
      <c r="CE139" s="62">
        <f t="shared" si="148"/>
        <v>321.81422611044997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36.992313852308151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36.992313852308151</v>
      </c>
      <c r="CO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5.6843418860808015E-14</v>
      </c>
      <c r="CU139" s="18">
        <f>CT139*VLOOKUP('Données projet'!$B$13,Paramètres!$A$1:$I$89,3,0)*VLOOKUP('Données projet'!$B$13,Paramètres!$A$1:$I$89,5,0)</f>
        <v>4.6111381379887463E-14</v>
      </c>
      <c r="CV139" s="14">
        <f t="shared" si="149"/>
        <v>7.5804141040779151E-13</v>
      </c>
      <c r="CW139" s="22">
        <f t="shared" si="121"/>
        <v>1.4005661123635408E-12</v>
      </c>
      <c r="CX139" s="62">
        <f t="shared" si="122"/>
        <v>293.33333333333474</v>
      </c>
      <c r="CY139" s="62">
        <f ca="1">AVERAGE(OFFSET($CX$3,0,0,'Données projet'!$E$13+1,1))-AVERAGE(OFFSET($H$3,0,0,'Données projet'!$E$13+1,1))</f>
        <v>365.492319515595</v>
      </c>
      <c r="CZ139" s="62">
        <f t="shared" si="150"/>
        <v>351.38386928091433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40.927666389787703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40.927666389787703</v>
      </c>
      <c r="DJ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8.1590000000000025</v>
      </c>
      <c r="DO139" s="13">
        <f>IF('Données projet'!$A$166&gt;35,DO138+DN139-DW138,IF(A139&lt;'Données projet'!$A$166,$DL$205^A139,IF(A139='Données projet'!$A$166,'Données projet'!$B$166,DO138+DN139-DW138)))</f>
        <v>397.95800000000065</v>
      </c>
      <c r="DP139" s="18">
        <f>DO139*VLOOKUP('Données projet'!$B$14,Paramètres!$A$1:$I$89,3,0)*VLOOKUP('Données projet'!$B$14,Paramètres!$A$1:$I$89,5,0)</f>
        <v>335.23981920000062</v>
      </c>
      <c r="DQ139" s="14">
        <f t="shared" si="151"/>
        <v>78.515657350963096</v>
      </c>
      <c r="DR139" s="22">
        <f t="shared" si="124"/>
        <v>720.62412165959506</v>
      </c>
      <c r="DS139" s="62">
        <f t="shared" si="125"/>
        <v>1013.9574549929284</v>
      </c>
      <c r="DT139" s="62">
        <f ca="1">AVERAGE(OFFSET($DS$3,0,0,'Données projet'!$E$14+1,1))-AVERAGE(OFFSET($H$3,0,0,'Données projet'!$E$14+1,1))</f>
        <v>544.89250424794909</v>
      </c>
      <c r="DU139" s="62">
        <f t="shared" si="152"/>
        <v>253.98688498110715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55.975901914903041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55.975901914903041</v>
      </c>
      <c r="EE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8.1590000000000025</v>
      </c>
      <c r="EJ139" s="13">
        <f>IF('Données projet'!$A$192&gt;35,EJ138+EI139-ER138,IF(A139&lt;'Données projet'!$A$192,$EG$205^A139,IF(A139='Données projet'!$A$192,'Données projet'!$B$192,EJ138+EI139-ER138)))</f>
        <v>397.95800000000065</v>
      </c>
      <c r="EK139" s="18">
        <f>EJ139*VLOOKUP('Données projet'!$B$15,Paramètres!$A$1:$I$89,3,0)*VLOOKUP('Données projet'!$B$15,Paramètres!$A$1:$I$89,5,0)</f>
        <v>360.07239840000057</v>
      </c>
      <c r="EL139" s="14">
        <f t="shared" si="153"/>
        <v>83.633085567444908</v>
      </c>
      <c r="EM139" s="22">
        <f t="shared" si="127"/>
        <v>772.78705124330099</v>
      </c>
      <c r="EN139" s="62">
        <f t="shared" si="128"/>
        <v>1066.1203845766343</v>
      </c>
      <c r="EO139" s="62">
        <f ca="1">AVERAGE(OFFSET($EN$3,0,0,'Données projet'!$E$15+1,1))-AVERAGE(OFFSET($H$3,0,0,'Données projet'!$E$15+1,1))</f>
        <v>581.88778927327667</v>
      </c>
      <c r="EP139" s="62">
        <f t="shared" si="154"/>
        <v>269.67340993773422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60.122265019710689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60.122265019710689</v>
      </c>
      <c r="EZ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8.1590000000000025</v>
      </c>
      <c r="FE139" s="13">
        <f>IF('Données projet'!$A$218&gt;35,FE138+FD139-FM138,IF(A139&lt;'Données projet'!$A$218,$FB$205^A139,IF(A139='Données projet'!$A$218,'Données projet'!$B$218,FE138+FD139-FM138)))</f>
        <v>397.95800000000065</v>
      </c>
      <c r="FF139" s="18">
        <f>FE139*VLOOKUP('Données projet'!$B$16,Paramètres!$A$1:$I$89,3,0)*VLOOKUP('Données projet'!$B$16,Paramètres!$A$1:$I$89,5,0)</f>
        <v>403.52941200000066</v>
      </c>
      <c r="FG139" s="14">
        <f t="shared" si="155"/>
        <v>92.491833093116057</v>
      </c>
      <c r="FH139" s="22">
        <f t="shared" si="130"/>
        <v>863.90366853717831</v>
      </c>
      <c r="FI139" s="62">
        <f t="shared" si="131"/>
        <v>1157.2370018705117</v>
      </c>
      <c r="FJ139" s="62">
        <f ca="1">AVERAGE(OFFSET($FI$3,0,0,'Données projet'!$E$16+1,1))-AVERAGE(OFFSET($H$3,0,0,'Données projet'!$E$16+1,1))</f>
        <v>646.50767193970182</v>
      </c>
      <c r="FK139" s="62">
        <f t="shared" si="156"/>
        <v>297.06786598620607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67.378400453124044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67.378400453124044</v>
      </c>
      <c r="FU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8.1590000000000025</v>
      </c>
      <c r="FZ139" s="13">
        <f>IF('Données projet'!$A$244&gt;35,FZ138+FY139-GH138,IF(A139&lt;'Données projet'!$A$244,$FW$205^A139,IF(A139='Données projet'!$A$244,'Données projet'!$B$244,FZ138+FY139-GH138)))</f>
        <v>397.95800000000065</v>
      </c>
      <c r="GA139" s="18">
        <f>FZ139*VLOOKUP('Données projet'!$B$17,Paramètres!$A$1:$I$89,3,0)*VLOOKUP('Données projet'!$B$17,Paramètres!$A$1:$I$89,5,0)</f>
        <v>266.95022640000042</v>
      </c>
      <c r="GB139" s="14">
        <f t="shared" si="157"/>
        <v>64.201603067461392</v>
      </c>
      <c r="GC139" s="22">
        <f t="shared" si="133"/>
        <v>576.75610298916263</v>
      </c>
      <c r="GD139" s="62">
        <f t="shared" si="134"/>
        <v>870.08943632249589</v>
      </c>
      <c r="GE139" s="62">
        <f ca="1">AVERAGE(OFFSET($GD$3,0,0,'Données projet'!$E$17+1,1))-AVERAGE(OFFSET($H$3,0,0,'Données projet'!$E$17+1,1))</f>
        <v>442.85175349826028</v>
      </c>
      <c r="GF139" s="62">
        <f t="shared" si="158"/>
        <v>210.70697808232501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54.939311138701129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54.939311138701129</v>
      </c>
      <c r="GP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-3.4106051316484809E-13</v>
      </c>
      <c r="GV139" s="18">
        <f>GU139*VLOOKUP('Données projet'!$B$18,Paramètres!$A$1:$I$89,3,0)*VLOOKUP('Données projet'!$B$18,Paramètres!$A$1:$I$89,5,0)</f>
        <v>-3.2455318432766944E-13</v>
      </c>
      <c r="GW139" s="14" t="e">
        <f t="shared" si="159"/>
        <v>#NUM!</v>
      </c>
      <c r="GX139" s="22" t="e">
        <f t="shared" si="136"/>
        <v>#NUM!</v>
      </c>
      <c r="GY139" s="62" t="e">
        <f t="shared" si="137"/>
        <v>#NUM!</v>
      </c>
      <c r="GZ139" s="62">
        <f ca="1">AVERAGE(OFFSET($GY$3,0,0,'Données projet'!$E$18+1,1))-AVERAGE(OFFSET($H$3,0,0,'Données projet'!$E$18+1,1))</f>
        <v>420.2510366318939</v>
      </c>
      <c r="HA139" s="62">
        <f t="shared" si="160"/>
        <v>220.59884411514116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129.59903902339988</v>
      </c>
      <c r="HH139" s="23">
        <f>EXP(-LN(2)/25)*HH138+(1-EXP(-LN(2)/25))/(LN(2)/25)*Calculateur!HC139*Calculateur!HE139*VLOOKUP('Données projet'!$B$18,Paramètres!$A$1:$I$89,3,0)*0.475*44/12</f>
        <v>0</v>
      </c>
      <c r="HI139" s="23">
        <f>EXP(-LN(2)/2)*HI138+(1-EXP(-LN(2)/2))/(LN(2)/2)*HC139*HF139*VLOOKUP('Données projet'!$B$18,Paramètres!$A$1:$I$89,3,0)*0.475*44/12</f>
        <v>0</v>
      </c>
      <c r="HJ139" s="24">
        <f t="shared" si="138"/>
        <v>129.59903902339988</v>
      </c>
    </row>
    <row r="140" spans="1:218" s="5" customFormat="1" x14ac:dyDescent="0.2">
      <c r="A140" s="11">
        <f t="shared" si="139"/>
        <v>137</v>
      </c>
      <c r="B140" s="74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-4.5474735088646412E-13</v>
      </c>
      <c r="O140" s="14">
        <f>N140*VLOOKUP('Données projet'!$B$9,Paramètres!$A$1:$I$89,3,0)*VLOOKUP('Données projet'!$B$9,Paramètres!$A$1:$I$89,5,0)</f>
        <v>-3.9017322706058626E-13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623.31285537237943</v>
      </c>
      <c r="T140" s="62">
        <f t="shared" si="142"/>
        <v>462.33909258902241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135.21008286173682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135.21008286173682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4.9658410716801891E-14</v>
      </c>
      <c r="AK140" s="14">
        <f t="shared" si="143"/>
        <v>8.0934058173791862E-13</v>
      </c>
      <c r="AL140" s="22">
        <f t="shared" si="112"/>
        <v>1.4960899118586383E-12</v>
      </c>
      <c r="AM140" s="62">
        <f t="shared" si="113"/>
        <v>293.33333333333479</v>
      </c>
      <c r="AN140" s="62">
        <f ca="1">AVERAGE(OFFSET($AM$3,0,0,'Données projet'!$E$10+1,1))-AVERAGE(OFFSET($H$3,0,0,'Données projet'!$E$10+1,1))</f>
        <v>390.70479111593545</v>
      </c>
      <c r="AO140" s="62">
        <f t="shared" si="144"/>
        <v>374.99493809709708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53.260865944453172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53.260865944453172</v>
      </c>
      <c r="AY140" s="7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5.6843418860808015E-14</v>
      </c>
      <c r="BE140" s="14">
        <f>BD140*VLOOKUP('Données projet'!$B$11,Paramètres!$A$1:$I$89,3,0)*VLOOKUP('Données projet'!$B$11,Paramètres!$A$1:$I$89,5,0)</f>
        <v>4.5224624045658861E-14</v>
      </c>
      <c r="BF140" s="14">
        <f t="shared" si="145"/>
        <v>7.4514601661523691E-13</v>
      </c>
      <c r="BG140" s="22">
        <f t="shared" si="115"/>
        <v>1.3765621991510601E-12</v>
      </c>
      <c r="BH140" s="62">
        <f t="shared" si="116"/>
        <v>293.33333333333468</v>
      </c>
      <c r="BI140" s="62">
        <f ca="1">AVERAGE(OFFSET($BH$3,0,0,'Données projet'!$E$11+1,1))-AVERAGE(OFFSET($H$3,0,0,'Données projet'!$E$11+1,1))</f>
        <v>359.18294335011535</v>
      </c>
      <c r="BJ140" s="62">
        <f t="shared" si="146"/>
        <v>345.47508134331241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48.505431485126984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48.505431485126984</v>
      </c>
      <c r="BT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5.6843418860808015E-14</v>
      </c>
      <c r="BZ140" s="14">
        <f>BY140*VLOOKUP('Données projet'!$B$12,Paramètres!$A$1:$I$89,3,0)*VLOOKUP('Données projet'!$B$12,Paramètres!$A$1:$I$89,5,0)</f>
        <v>4.1677594708744434E-14</v>
      </c>
      <c r="CA140" s="14">
        <f t="shared" si="147"/>
        <v>6.9326303456159188E-13</v>
      </c>
      <c r="CB140" s="22">
        <f t="shared" si="118"/>
        <v>1.2800215959791691E-12</v>
      </c>
      <c r="CC140" s="62">
        <f t="shared" si="119"/>
        <v>293.33333333333462</v>
      </c>
      <c r="CD140" s="62">
        <f ca="1">AVERAGE(OFFSET($CC$3,0,0,'Données projet'!$E$12+1,1))-AVERAGE(OFFSET($H$3,0,0,'Données projet'!$E$12+1,1))</f>
        <v>333.9187211440219</v>
      </c>
      <c r="CE140" s="62">
        <f t="shared" si="148"/>
        <v>321.81422611044997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36.266917140747921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36.266917140747921</v>
      </c>
      <c r="CO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5.6843418860808015E-14</v>
      </c>
      <c r="CU140" s="18">
        <f>CT140*VLOOKUP('Données projet'!$B$13,Paramètres!$A$1:$I$89,3,0)*VLOOKUP('Données projet'!$B$13,Paramètres!$A$1:$I$89,5,0)</f>
        <v>4.6111381379887463E-14</v>
      </c>
      <c r="CV140" s="14">
        <f t="shared" si="149"/>
        <v>7.5804141040779151E-13</v>
      </c>
      <c r="CW140" s="22">
        <f t="shared" si="121"/>
        <v>1.4005661123635408E-12</v>
      </c>
      <c r="CX140" s="62">
        <f t="shared" si="122"/>
        <v>293.33333333333474</v>
      </c>
      <c r="CY140" s="62">
        <f ca="1">AVERAGE(OFFSET($CX$3,0,0,'Données projet'!$E$13+1,1))-AVERAGE(OFFSET($H$3,0,0,'Données projet'!$E$13+1,1))</f>
        <v>365.492319515595</v>
      </c>
      <c r="CZ140" s="62">
        <f t="shared" si="150"/>
        <v>351.38386928091433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40.125099815295535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40.125099815295535</v>
      </c>
      <c r="DJ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8.1590000000000025</v>
      </c>
      <c r="DO140" s="13">
        <f>IF('Données projet'!$A$166&gt;35,DO139+DN140-DW139,IF(A140&lt;'Données projet'!$A$166,$DL$205^A140,IF(A140='Données projet'!$A$166,'Données projet'!$B$166,DO139+DN140-DW139)))</f>
        <v>406.11700000000064</v>
      </c>
      <c r="DP140" s="18">
        <f>DO140*VLOOKUP('Données projet'!$B$14,Paramètres!$A$1:$I$89,3,0)*VLOOKUP('Données projet'!$B$14,Paramètres!$A$1:$I$89,5,0)</f>
        <v>342.11296080000056</v>
      </c>
      <c r="DQ140" s="14">
        <f t="shared" si="151"/>
        <v>79.936339969129733</v>
      </c>
      <c r="DR140" s="22">
        <f t="shared" si="124"/>
        <v>735.06919883956846</v>
      </c>
      <c r="DS140" s="62">
        <f t="shared" si="125"/>
        <v>1028.4025321729018</v>
      </c>
      <c r="DT140" s="62">
        <f ca="1">AVERAGE(OFFSET($DS$3,0,0,'Données projet'!$E$14+1,1))-AVERAGE(OFFSET($H$3,0,0,'Données projet'!$E$14+1,1))</f>
        <v>544.89250424794909</v>
      </c>
      <c r="DU140" s="62">
        <f t="shared" si="152"/>
        <v>253.98688498110715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54.878248620280722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54.878248620280722</v>
      </c>
      <c r="EE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8.1590000000000025</v>
      </c>
      <c r="EJ140" s="13">
        <f>IF('Données projet'!$A$192&gt;35,EJ139+EI140-ER139,IF(A140&lt;'Données projet'!$A$192,$EG$205^A140,IF(A140='Données projet'!$A$192,'Données projet'!$B$192,EJ139+EI140-ER139)))</f>
        <v>406.11700000000064</v>
      </c>
      <c r="EK140" s="18">
        <f>EJ140*VLOOKUP('Données projet'!$B$15,Paramètres!$A$1:$I$89,3,0)*VLOOKUP('Données projet'!$B$15,Paramètres!$A$1:$I$89,5,0)</f>
        <v>367.45466160000058</v>
      </c>
      <c r="EL140" s="14">
        <f t="shared" si="153"/>
        <v>85.146364255773364</v>
      </c>
      <c r="EM140" s="22">
        <f t="shared" si="127"/>
        <v>788.28012003213962</v>
      </c>
      <c r="EN140" s="62">
        <f t="shared" si="128"/>
        <v>1081.6134533654729</v>
      </c>
      <c r="EO140" s="62">
        <f ca="1">AVERAGE(OFFSET($EN$3,0,0,'Données projet'!$E$15+1,1))-AVERAGE(OFFSET($H$3,0,0,'Données projet'!$E$15+1,1))</f>
        <v>581.88778927327667</v>
      </c>
      <c r="EP140" s="62">
        <f t="shared" si="154"/>
        <v>269.67340993773422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58.94330407363487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58.94330407363487</v>
      </c>
      <c r="EZ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8.1590000000000025</v>
      </c>
      <c r="FE140" s="13">
        <f>IF('Données projet'!$A$218&gt;35,FE139+FD140-FM139,IF(A140&lt;'Données projet'!$A$218,$FB$205^A140,IF(A140='Données projet'!$A$218,'Données projet'!$B$218,FE139+FD140-FM139)))</f>
        <v>406.11700000000064</v>
      </c>
      <c r="FF140" s="18">
        <f>FE140*VLOOKUP('Données projet'!$B$16,Paramètres!$A$1:$I$89,3,0)*VLOOKUP('Données projet'!$B$16,Paramètres!$A$1:$I$89,5,0)</f>
        <v>411.80263800000068</v>
      </c>
      <c r="FG140" s="14">
        <f t="shared" si="155"/>
        <v>94.165404251164176</v>
      </c>
      <c r="FH140" s="22">
        <f t="shared" si="130"/>
        <v>881.22767358744534</v>
      </c>
      <c r="FI140" s="62">
        <f t="shared" si="131"/>
        <v>1174.5610069207787</v>
      </c>
      <c r="FJ140" s="62">
        <f ca="1">AVERAGE(OFFSET($FI$3,0,0,'Données projet'!$E$16+1,1))-AVERAGE(OFFSET($H$3,0,0,'Données projet'!$E$16+1,1))</f>
        <v>646.50767193970182</v>
      </c>
      <c r="FK140" s="62">
        <f t="shared" si="156"/>
        <v>297.06786598620607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66.057151117004594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66.057151117004594</v>
      </c>
      <c r="FU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8.1590000000000025</v>
      </c>
      <c r="FZ140" s="13">
        <f>IF('Données projet'!$A$244&gt;35,FZ139+FY140-GH139,IF(A140&lt;'Données projet'!$A$244,$FW$205^A140,IF(A140='Données projet'!$A$244,'Données projet'!$B$244,FZ139+FY140-GH139)))</f>
        <v>406.11700000000064</v>
      </c>
      <c r="GA140" s="18">
        <f>FZ140*VLOOKUP('Données projet'!$B$17,Paramètres!$A$1:$I$89,3,0)*VLOOKUP('Données projet'!$B$17,Paramètres!$A$1:$I$89,5,0)</f>
        <v>272.42328360000045</v>
      </c>
      <c r="GB140" s="14">
        <f t="shared" si="157"/>
        <v>65.363283484001428</v>
      </c>
      <c r="GC140" s="22">
        <f t="shared" si="133"/>
        <v>588.31160433796992</v>
      </c>
      <c r="GD140" s="62">
        <f t="shared" si="134"/>
        <v>881.6449376713033</v>
      </c>
      <c r="GE140" s="62">
        <f ca="1">AVERAGE(OFFSET($GD$3,0,0,'Données projet'!$E$17+1,1))-AVERAGE(OFFSET($H$3,0,0,'Données projet'!$E$17+1,1))</f>
        <v>442.85175349826028</v>
      </c>
      <c r="GF140" s="62">
        <f t="shared" si="158"/>
        <v>210.70697808232501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53.861984756942192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53.861984756942192</v>
      </c>
      <c r="GP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-3.4106051316484809E-13</v>
      </c>
      <c r="GV140" s="18">
        <f>GU140*VLOOKUP('Données projet'!$B$18,Paramètres!$A$1:$I$89,3,0)*VLOOKUP('Données projet'!$B$18,Paramètres!$A$1:$I$89,5,0)</f>
        <v>-3.2455318432766944E-13</v>
      </c>
      <c r="GW140" s="14" t="e">
        <f t="shared" si="159"/>
        <v>#NUM!</v>
      </c>
      <c r="GX140" s="22" t="e">
        <f t="shared" si="136"/>
        <v>#NUM!</v>
      </c>
      <c r="GY140" s="62" t="e">
        <f t="shared" si="137"/>
        <v>#NUM!</v>
      </c>
      <c r="GZ140" s="62">
        <f ca="1">AVERAGE(OFFSET($GY$3,0,0,'Données projet'!$E$18+1,1))-AVERAGE(OFFSET($H$3,0,0,'Données projet'!$E$18+1,1))</f>
        <v>420.2510366318939</v>
      </c>
      <c r="HA140" s="62">
        <f t="shared" si="160"/>
        <v>220.59884411514116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127.05768091575951</v>
      </c>
      <c r="HH140" s="23">
        <f>EXP(-LN(2)/25)*HH139+(1-EXP(-LN(2)/25))/(LN(2)/25)*Calculateur!HC140*Calculateur!HE140*VLOOKUP('Données projet'!$B$18,Paramètres!$A$1:$I$89,3,0)*0.475*44/12</f>
        <v>0</v>
      </c>
      <c r="HI140" s="23">
        <f>EXP(-LN(2)/2)*HI139+(1-EXP(-LN(2)/2))/(LN(2)/2)*HC140*HF140*VLOOKUP('Données projet'!$B$18,Paramètres!$A$1:$I$89,3,0)*0.475*44/12</f>
        <v>0</v>
      </c>
      <c r="HJ140" s="24">
        <f t="shared" si="138"/>
        <v>127.05768091575951</v>
      </c>
    </row>
    <row r="141" spans="1:218" s="5" customFormat="1" x14ac:dyDescent="0.2">
      <c r="A141" s="11">
        <f t="shared" si="139"/>
        <v>138</v>
      </c>
      <c r="B141" s="74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-4.5474735088646412E-13</v>
      </c>
      <c r="O141" s="14">
        <f>N141*VLOOKUP('Données projet'!$B$9,Paramètres!$A$1:$I$89,3,0)*VLOOKUP('Données projet'!$B$9,Paramètres!$A$1:$I$89,5,0)</f>
        <v>-3.9017322706058626E-13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623.31285537237943</v>
      </c>
      <c r="T141" s="62">
        <f t="shared" si="142"/>
        <v>462.33909258902241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132.55869560682547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132.55869560682547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4.9658410716801891E-14</v>
      </c>
      <c r="AK141" s="14">
        <f t="shared" si="143"/>
        <v>8.0934058173791862E-13</v>
      </c>
      <c r="AL141" s="22">
        <f t="shared" si="112"/>
        <v>1.4960899118586383E-12</v>
      </c>
      <c r="AM141" s="62">
        <f t="shared" si="113"/>
        <v>293.33333333333479</v>
      </c>
      <c r="AN141" s="62">
        <f ca="1">AVERAGE(OFFSET($AM$3,0,0,'Données projet'!$E$10+1,1))-AVERAGE(OFFSET($H$3,0,0,'Données projet'!$E$10+1,1))</f>
        <v>390.70479111593545</v>
      </c>
      <c r="AO141" s="62">
        <f t="shared" si="144"/>
        <v>374.99493809709708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52.216452849202952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52.216452849202952</v>
      </c>
      <c r="AY141" s="7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5.6843418860808015E-14</v>
      </c>
      <c r="BE141" s="14">
        <f>BD141*VLOOKUP('Données projet'!$B$11,Paramètres!$A$1:$I$89,3,0)*VLOOKUP('Données projet'!$B$11,Paramètres!$A$1:$I$89,5,0)</f>
        <v>4.5224624045658861E-14</v>
      </c>
      <c r="BF141" s="14">
        <f t="shared" si="145"/>
        <v>7.4514601661523691E-13</v>
      </c>
      <c r="BG141" s="22">
        <f t="shared" si="115"/>
        <v>1.3765621991510601E-12</v>
      </c>
      <c r="BH141" s="62">
        <f t="shared" si="116"/>
        <v>293.33333333333468</v>
      </c>
      <c r="BI141" s="62">
        <f ca="1">AVERAGE(OFFSET($BH$3,0,0,'Données projet'!$E$11+1,1))-AVERAGE(OFFSET($H$3,0,0,'Données projet'!$E$11+1,1))</f>
        <v>359.18294335011535</v>
      </c>
      <c r="BJ141" s="62">
        <f t="shared" si="146"/>
        <v>345.47508134331241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47.554269559095538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47.554269559095538</v>
      </c>
      <c r="BT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5.6843418860808015E-14</v>
      </c>
      <c r="BZ141" s="14">
        <f>BY141*VLOOKUP('Données projet'!$B$12,Paramètres!$A$1:$I$89,3,0)*VLOOKUP('Données projet'!$B$12,Paramètres!$A$1:$I$89,5,0)</f>
        <v>4.1677594708744434E-14</v>
      </c>
      <c r="CA141" s="14">
        <f t="shared" si="147"/>
        <v>6.9326303456159188E-13</v>
      </c>
      <c r="CB141" s="22">
        <f t="shared" si="118"/>
        <v>1.2800215959791691E-12</v>
      </c>
      <c r="CC141" s="62">
        <f t="shared" si="119"/>
        <v>293.33333333333462</v>
      </c>
      <c r="CD141" s="62">
        <f ca="1">AVERAGE(OFFSET($CC$3,0,0,'Données projet'!$E$12+1,1))-AVERAGE(OFFSET($H$3,0,0,'Données projet'!$E$12+1,1))</f>
        <v>333.9187211440219</v>
      </c>
      <c r="CE141" s="62">
        <f t="shared" si="148"/>
        <v>321.81422611044997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35.555745016253077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35.555745016253077</v>
      </c>
      <c r="CO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5.6843418860808015E-14</v>
      </c>
      <c r="CU141" s="18">
        <f>CT141*VLOOKUP('Données projet'!$B$13,Paramètres!$A$1:$I$89,3,0)*VLOOKUP('Données projet'!$B$13,Paramètres!$A$1:$I$89,5,0)</f>
        <v>4.6111381379887463E-14</v>
      </c>
      <c r="CV141" s="14">
        <f t="shared" si="149"/>
        <v>7.5804141040779151E-13</v>
      </c>
      <c r="CW141" s="22">
        <f t="shared" si="121"/>
        <v>1.4005661123635408E-12</v>
      </c>
      <c r="CX141" s="62">
        <f t="shared" si="122"/>
        <v>293.33333333333474</v>
      </c>
      <c r="CY141" s="62">
        <f ca="1">AVERAGE(OFFSET($CX$3,0,0,'Données projet'!$E$13+1,1))-AVERAGE(OFFSET($H$3,0,0,'Données projet'!$E$13+1,1))</f>
        <v>365.492319515595</v>
      </c>
      <c r="CZ141" s="62">
        <f t="shared" si="150"/>
        <v>351.38386928091433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39.338271081811882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39.338271081811882</v>
      </c>
      <c r="DJ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8.1590000000000025</v>
      </c>
      <c r="DO141" s="13">
        <f>IF('Données projet'!$A$166&gt;35,DO140+DN141-DW140,IF(A141&lt;'Données projet'!$A$166,$DL$205^A141,IF(A141='Données projet'!$A$166,'Données projet'!$B$166,DO140+DN141-DW140)))</f>
        <v>414.27600000000064</v>
      </c>
      <c r="DP141" s="18">
        <f>DO141*VLOOKUP('Données projet'!$B$14,Paramètres!$A$1:$I$89,3,0)*VLOOKUP('Données projet'!$B$14,Paramètres!$A$1:$I$89,5,0)</f>
        <v>348.98610240000056</v>
      </c>
      <c r="DQ141" s="14">
        <f t="shared" si="151"/>
        <v>81.353703956089575</v>
      </c>
      <c r="DR141" s="22">
        <f t="shared" si="124"/>
        <v>749.50849607019029</v>
      </c>
      <c r="DS141" s="62">
        <f t="shared" si="125"/>
        <v>1042.8418294035237</v>
      </c>
      <c r="DT141" s="62">
        <f ca="1">AVERAGE(OFFSET($DS$3,0,0,'Données projet'!$E$14+1,1))-AVERAGE(OFFSET($H$3,0,0,'Données projet'!$E$14+1,1))</f>
        <v>544.89250424794909</v>
      </c>
      <c r="DU141" s="62">
        <f t="shared" si="152"/>
        <v>253.98688498110715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53.802119637263544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53.802119637263544</v>
      </c>
      <c r="EE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8.1590000000000025</v>
      </c>
      <c r="EJ141" s="13">
        <f>IF('Données projet'!$A$192&gt;35,EJ140+EI141-ER140,IF(A141&lt;'Données projet'!$A$192,$EG$205^A141,IF(A141='Données projet'!$A$192,'Données projet'!$B$192,EJ140+EI141-ER140)))</f>
        <v>414.27600000000064</v>
      </c>
      <c r="EK141" s="18">
        <f>EJ141*VLOOKUP('Données projet'!$B$15,Paramètres!$A$1:$I$89,3,0)*VLOOKUP('Données projet'!$B$15,Paramètres!$A$1:$I$89,5,0)</f>
        <v>374.83692480000053</v>
      </c>
      <c r="EL141" s="14">
        <f t="shared" si="153"/>
        <v>86.656108013910185</v>
      </c>
      <c r="EM141" s="22">
        <f t="shared" si="127"/>
        <v>803.76703215089447</v>
      </c>
      <c r="EN141" s="62">
        <f t="shared" si="128"/>
        <v>1097.1003654842277</v>
      </c>
      <c r="EO141" s="62">
        <f ca="1">AVERAGE(OFFSET($EN$3,0,0,'Données projet'!$E$15+1,1))-AVERAGE(OFFSET($H$3,0,0,'Données projet'!$E$15+1,1))</f>
        <v>581.88778927327667</v>
      </c>
      <c r="EP141" s="62">
        <f t="shared" si="154"/>
        <v>269.67340993773422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57.787461832616422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57.787461832616422</v>
      </c>
      <c r="EZ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8.1590000000000025</v>
      </c>
      <c r="FE141" s="13">
        <f>IF('Données projet'!$A$218&gt;35,FE140+FD141-FM140,IF(A141&lt;'Données projet'!$A$218,$FB$205^A141,IF(A141='Données projet'!$A$218,'Données projet'!$B$218,FE140+FD141-FM140)))</f>
        <v>414.27600000000064</v>
      </c>
      <c r="FF141" s="18">
        <f>FE141*VLOOKUP('Données projet'!$B$16,Paramètres!$A$1:$I$89,3,0)*VLOOKUP('Données projet'!$B$16,Paramètres!$A$1:$I$89,5,0)</f>
        <v>420.07586400000065</v>
      </c>
      <c r="FG141" s="14">
        <f t="shared" si="155"/>
        <v>95.835066045220003</v>
      </c>
      <c r="FH141" s="22">
        <f t="shared" si="130"/>
        <v>898.54486982875926</v>
      </c>
      <c r="FI141" s="62">
        <f t="shared" si="131"/>
        <v>1191.8782031620926</v>
      </c>
      <c r="FJ141" s="62">
        <f ca="1">AVERAGE(OFFSET($FI$3,0,0,'Données projet'!$E$16+1,1))-AVERAGE(OFFSET($H$3,0,0,'Données projet'!$E$16+1,1))</f>
        <v>646.50767193970182</v>
      </c>
      <c r="FK141" s="62">
        <f t="shared" si="156"/>
        <v>297.06786598620607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64.761810674483925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64.761810674483925</v>
      </c>
      <c r="FU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8.1590000000000025</v>
      </c>
      <c r="FZ141" s="13">
        <f>IF('Données projet'!$A$244&gt;35,FZ140+FY141-GH140,IF(A141&lt;'Données projet'!$A$244,$FW$205^A141,IF(A141='Données projet'!$A$244,'Données projet'!$B$244,FZ140+FY141-GH140)))</f>
        <v>414.27600000000064</v>
      </c>
      <c r="GA141" s="18">
        <f>FZ141*VLOOKUP('Données projet'!$B$17,Paramètres!$A$1:$I$89,3,0)*VLOOKUP('Données projet'!$B$17,Paramètres!$A$1:$I$89,5,0)</f>
        <v>277.89634080000042</v>
      </c>
      <c r="GB141" s="14">
        <f t="shared" si="157"/>
        <v>66.522250283274985</v>
      </c>
      <c r="GC141" s="22">
        <f t="shared" si="133"/>
        <v>599.86237947003792</v>
      </c>
      <c r="GD141" s="62">
        <f t="shared" si="134"/>
        <v>893.19571280337118</v>
      </c>
      <c r="GE141" s="62">
        <f ca="1">AVERAGE(OFFSET($GD$3,0,0,'Données projet'!$E$17+1,1))-AVERAGE(OFFSET($H$3,0,0,'Données projet'!$E$17+1,1))</f>
        <v>442.85175349826028</v>
      </c>
      <c r="GF141" s="62">
        <f t="shared" si="158"/>
        <v>210.70697808232501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52.805784088425334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52.805784088425334</v>
      </c>
      <c r="GP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-3.4106051316484809E-13</v>
      </c>
      <c r="GV141" s="18">
        <f>GU141*VLOOKUP('Données projet'!$B$18,Paramètres!$A$1:$I$89,3,0)*VLOOKUP('Données projet'!$B$18,Paramètres!$A$1:$I$89,5,0)</f>
        <v>-3.2455318432766944E-13</v>
      </c>
      <c r="GW141" s="14" t="e">
        <f t="shared" si="159"/>
        <v>#NUM!</v>
      </c>
      <c r="GX141" s="22" t="e">
        <f t="shared" si="136"/>
        <v>#NUM!</v>
      </c>
      <c r="GY141" s="62" t="e">
        <f t="shared" si="137"/>
        <v>#NUM!</v>
      </c>
      <c r="GZ141" s="62">
        <f ca="1">AVERAGE(OFFSET($GY$3,0,0,'Données projet'!$E$18+1,1))-AVERAGE(OFFSET($H$3,0,0,'Données projet'!$E$18+1,1))</f>
        <v>420.2510366318939</v>
      </c>
      <c r="HA141" s="62">
        <f t="shared" si="160"/>
        <v>220.59884411514116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124.56615729053458</v>
      </c>
      <c r="HH141" s="23">
        <f>EXP(-LN(2)/25)*HH140+(1-EXP(-LN(2)/25))/(LN(2)/25)*Calculateur!HC141*Calculateur!HE141*VLOOKUP('Données projet'!$B$18,Paramètres!$A$1:$I$89,3,0)*0.475*44/12</f>
        <v>0</v>
      </c>
      <c r="HI141" s="23">
        <f>EXP(-LN(2)/2)*HI140+(1-EXP(-LN(2)/2))/(LN(2)/2)*HC141*HF141*VLOOKUP('Données projet'!$B$18,Paramètres!$A$1:$I$89,3,0)*0.475*44/12</f>
        <v>0</v>
      </c>
      <c r="HJ141" s="24">
        <f t="shared" si="138"/>
        <v>124.56615729053458</v>
      </c>
    </row>
    <row r="142" spans="1:218" s="5" customFormat="1" x14ac:dyDescent="0.2">
      <c r="A142" s="11">
        <f t="shared" si="139"/>
        <v>139</v>
      </c>
      <c r="B142" s="74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-4.5474735088646412E-13</v>
      </c>
      <c r="O142" s="14">
        <f>N142*VLOOKUP('Données projet'!$B$9,Paramètres!$A$1:$I$89,3,0)*VLOOKUP('Données projet'!$B$9,Paramètres!$A$1:$I$89,5,0)</f>
        <v>-3.9017322706058626E-13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623.31285537237943</v>
      </c>
      <c r="T142" s="62">
        <f t="shared" si="142"/>
        <v>462.33909258902241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129.95930043879639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129.95930043879639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4.9658410716801891E-14</v>
      </c>
      <c r="AK142" s="14">
        <f t="shared" si="143"/>
        <v>8.0934058173791862E-13</v>
      </c>
      <c r="AL142" s="22">
        <f t="shared" si="112"/>
        <v>1.4960899118586383E-12</v>
      </c>
      <c r="AM142" s="62">
        <f t="shared" si="113"/>
        <v>293.33333333333479</v>
      </c>
      <c r="AN142" s="62">
        <f ca="1">AVERAGE(OFFSET($AM$3,0,0,'Données projet'!$E$10+1,1))-AVERAGE(OFFSET($H$3,0,0,'Données projet'!$E$10+1,1))</f>
        <v>390.70479111593545</v>
      </c>
      <c r="AO142" s="62">
        <f t="shared" si="144"/>
        <v>374.99493809709708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51.192520057721502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51.192520057721502</v>
      </c>
      <c r="AY142" s="7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5.6843418860808015E-14</v>
      </c>
      <c r="BE142" s="14">
        <f>BD142*VLOOKUP('Données projet'!$B$11,Paramètres!$A$1:$I$89,3,0)*VLOOKUP('Données projet'!$B$11,Paramètres!$A$1:$I$89,5,0)</f>
        <v>4.5224624045658861E-14</v>
      </c>
      <c r="BF142" s="14">
        <f t="shared" si="145"/>
        <v>7.4514601661523691E-13</v>
      </c>
      <c r="BG142" s="22">
        <f t="shared" si="115"/>
        <v>1.3765621991510601E-12</v>
      </c>
      <c r="BH142" s="62">
        <f t="shared" si="116"/>
        <v>293.33333333333468</v>
      </c>
      <c r="BI142" s="62">
        <f ca="1">AVERAGE(OFFSET($BH$3,0,0,'Données projet'!$E$11+1,1))-AVERAGE(OFFSET($H$3,0,0,'Données projet'!$E$11+1,1))</f>
        <v>359.18294335011535</v>
      </c>
      <c r="BJ142" s="62">
        <f t="shared" si="146"/>
        <v>345.47508134331241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46.621759338282075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46.621759338282075</v>
      </c>
      <c r="BT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5.6843418860808015E-14</v>
      </c>
      <c r="BZ142" s="14">
        <f>BY142*VLOOKUP('Données projet'!$B$12,Paramètres!$A$1:$I$89,3,0)*VLOOKUP('Données projet'!$B$12,Paramètres!$A$1:$I$89,5,0)</f>
        <v>4.1677594708744434E-14</v>
      </c>
      <c r="CA142" s="14">
        <f t="shared" si="147"/>
        <v>6.9326303456159188E-13</v>
      </c>
      <c r="CB142" s="22">
        <f t="shared" si="118"/>
        <v>1.2800215959791691E-12</v>
      </c>
      <c r="CC142" s="62">
        <f t="shared" si="119"/>
        <v>293.33333333333462</v>
      </c>
      <c r="CD142" s="62">
        <f ca="1">AVERAGE(OFFSET($CC$3,0,0,'Données projet'!$E$12+1,1))-AVERAGE(OFFSET($H$3,0,0,'Données projet'!$E$12+1,1))</f>
        <v>333.9187211440219</v>
      </c>
      <c r="CE142" s="62">
        <f t="shared" si="148"/>
        <v>321.81422611044997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34.858518543347415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34.858518543347415</v>
      </c>
      <c r="CO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5.6843418860808015E-14</v>
      </c>
      <c r="CU142" s="18">
        <f>CT142*VLOOKUP('Données projet'!$B$13,Paramètres!$A$1:$I$89,3,0)*VLOOKUP('Données projet'!$B$13,Paramètres!$A$1:$I$89,5,0)</f>
        <v>4.6111381379887463E-14</v>
      </c>
      <c r="CV142" s="14">
        <f t="shared" si="149"/>
        <v>7.5804141040779151E-13</v>
      </c>
      <c r="CW142" s="22">
        <f t="shared" si="121"/>
        <v>1.4005661123635408E-12</v>
      </c>
      <c r="CX142" s="62">
        <f t="shared" si="122"/>
        <v>293.33333333333474</v>
      </c>
      <c r="CY142" s="62">
        <f ca="1">AVERAGE(OFFSET($CX$3,0,0,'Données projet'!$E$13+1,1))-AVERAGE(OFFSET($H$3,0,0,'Données projet'!$E$13+1,1))</f>
        <v>365.492319515595</v>
      </c>
      <c r="CZ142" s="62">
        <f t="shared" si="150"/>
        <v>351.38386928091433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38.566871579873705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38.566871579873705</v>
      </c>
      <c r="DJ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8.1590000000000025</v>
      </c>
      <c r="DO142" s="13">
        <f>IF('Données projet'!$A$166&gt;35,DO141+DN142-DW141,IF(A142&lt;'Données projet'!$A$166,$DL$205^A142,IF(A142='Données projet'!$A$166,'Données projet'!$B$166,DO141+DN142-DW141)))</f>
        <v>422.43500000000063</v>
      </c>
      <c r="DP142" s="18">
        <f>DO142*VLOOKUP('Données projet'!$B$14,Paramètres!$A$1:$I$89,3,0)*VLOOKUP('Données projet'!$B$14,Paramètres!$A$1:$I$89,5,0)</f>
        <v>355.85924400000056</v>
      </c>
      <c r="DQ142" s="14">
        <f t="shared" si="151"/>
        <v>82.767822204692962</v>
      </c>
      <c r="DR142" s="22">
        <f t="shared" si="124"/>
        <v>763.94214030650789</v>
      </c>
      <c r="DS142" s="62">
        <f t="shared" si="125"/>
        <v>1057.2754736398413</v>
      </c>
      <c r="DT142" s="62">
        <f ca="1">AVERAGE(OFFSET($DS$3,0,0,'Données projet'!$E$14+1,1))-AVERAGE(OFFSET($H$3,0,0,'Données projet'!$E$14+1,1))</f>
        <v>544.89250424794909</v>
      </c>
      <c r="DU142" s="62">
        <f t="shared" si="152"/>
        <v>253.98688498110715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52.747092887229471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52.747092887229471</v>
      </c>
      <c r="EE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8.1590000000000025</v>
      </c>
      <c r="EJ142" s="13">
        <f>IF('Données projet'!$A$192&gt;35,EJ141+EI142-ER141,IF(A142&lt;'Données projet'!$A$192,$EG$205^A142,IF(A142='Données projet'!$A$192,'Données projet'!$B$192,EJ141+EI142-ER141)))</f>
        <v>422.43500000000063</v>
      </c>
      <c r="EK142" s="18">
        <f>EJ142*VLOOKUP('Données projet'!$B$15,Paramètres!$A$1:$I$89,3,0)*VLOOKUP('Données projet'!$B$15,Paramètres!$A$1:$I$89,5,0)</f>
        <v>382.21918800000054</v>
      </c>
      <c r="EL142" s="14">
        <f t="shared" si="153"/>
        <v>88.162394485655341</v>
      </c>
      <c r="EM142" s="22">
        <f t="shared" si="127"/>
        <v>819.24792282918395</v>
      </c>
      <c r="EN142" s="62">
        <f t="shared" si="128"/>
        <v>1112.5812561625173</v>
      </c>
      <c r="EO142" s="62">
        <f ca="1">AVERAGE(OFFSET($EN$3,0,0,'Données projet'!$E$15+1,1))-AVERAGE(OFFSET($H$3,0,0,'Données projet'!$E$15+1,1))</f>
        <v>581.88778927327667</v>
      </c>
      <c r="EP142" s="62">
        <f t="shared" si="154"/>
        <v>269.67340993773422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56.654284952950192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56.654284952950192</v>
      </c>
      <c r="EZ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8.1590000000000025</v>
      </c>
      <c r="FE142" s="13">
        <f>IF('Données projet'!$A$218&gt;35,FE141+FD142-FM141,IF(A142&lt;'Données projet'!$A$218,$FB$205^A142,IF(A142='Données projet'!$A$218,'Données projet'!$B$218,FE141+FD142-FM141)))</f>
        <v>422.43500000000063</v>
      </c>
      <c r="FF142" s="18">
        <f>FE142*VLOOKUP('Données projet'!$B$16,Paramètres!$A$1:$I$89,3,0)*VLOOKUP('Données projet'!$B$16,Paramètres!$A$1:$I$89,5,0)</f>
        <v>428.34909000000067</v>
      </c>
      <c r="FG142" s="14">
        <f t="shared" si="155"/>
        <v>97.500904343422292</v>
      </c>
      <c r="FH142" s="22">
        <f t="shared" si="130"/>
        <v>915.85540681479506</v>
      </c>
      <c r="FI142" s="62">
        <f t="shared" si="131"/>
        <v>1209.1887401481283</v>
      </c>
      <c r="FJ142" s="62">
        <f ca="1">AVERAGE(OFFSET($FI$3,0,0,'Données projet'!$E$16+1,1))-AVERAGE(OFFSET($H$3,0,0,'Données projet'!$E$16+1,1))</f>
        <v>646.50767193970182</v>
      </c>
      <c r="FK142" s="62">
        <f t="shared" si="156"/>
        <v>297.06786598620607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63.491871067961426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63.491871067961426</v>
      </c>
      <c r="FU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8.1590000000000025</v>
      </c>
      <c r="FZ142" s="13">
        <f>IF('Données projet'!$A$244&gt;35,FZ141+FY142-GH141,IF(A142&lt;'Données projet'!$A$244,$FW$205^A142,IF(A142='Données projet'!$A$244,'Données projet'!$B$244,FZ141+FY142-GH141)))</f>
        <v>422.43500000000063</v>
      </c>
      <c r="GA142" s="18">
        <f>FZ142*VLOOKUP('Données projet'!$B$17,Paramètres!$A$1:$I$89,3,0)*VLOOKUP('Données projet'!$B$17,Paramètres!$A$1:$I$89,5,0)</f>
        <v>283.36939800000044</v>
      </c>
      <c r="GB142" s="14">
        <f t="shared" si="157"/>
        <v>67.678563069162649</v>
      </c>
      <c r="GC142" s="22">
        <f t="shared" si="133"/>
        <v>611.40853219545909</v>
      </c>
      <c r="GD142" s="62">
        <f t="shared" si="134"/>
        <v>904.74186552879246</v>
      </c>
      <c r="GE142" s="62">
        <f ca="1">AVERAGE(OFFSET($GD$3,0,0,'Données projet'!$E$17+1,1))-AVERAGE(OFFSET($H$3,0,0,'Données projet'!$E$17+1,1))</f>
        <v>442.85175349826028</v>
      </c>
      <c r="GF142" s="62">
        <f t="shared" si="158"/>
        <v>210.70697808232501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51.770294870799297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51.770294870799297</v>
      </c>
      <c r="GP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-3.4106051316484809E-13</v>
      </c>
      <c r="GV142" s="18">
        <f>GU142*VLOOKUP('Données projet'!$B$18,Paramètres!$A$1:$I$89,3,0)*VLOOKUP('Données projet'!$B$18,Paramètres!$A$1:$I$89,5,0)</f>
        <v>-3.2455318432766944E-13</v>
      </c>
      <c r="GW142" s="14" t="e">
        <f t="shared" si="159"/>
        <v>#NUM!</v>
      </c>
      <c r="GX142" s="22" t="e">
        <f t="shared" si="136"/>
        <v>#NUM!</v>
      </c>
      <c r="GY142" s="62" t="e">
        <f t="shared" si="137"/>
        <v>#NUM!</v>
      </c>
      <c r="GZ142" s="62">
        <f ca="1">AVERAGE(OFFSET($GY$3,0,0,'Données projet'!$E$18+1,1))-AVERAGE(OFFSET($H$3,0,0,'Données projet'!$E$18+1,1))</f>
        <v>420.2510366318939</v>
      </c>
      <c r="HA142" s="62">
        <f t="shared" si="160"/>
        <v>220.59884411514116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122.12349092392095</v>
      </c>
      <c r="HH142" s="23">
        <f>EXP(-LN(2)/25)*HH141+(1-EXP(-LN(2)/25))/(LN(2)/25)*Calculateur!HC142*Calculateur!HE142*VLOOKUP('Données projet'!$B$18,Paramètres!$A$1:$I$89,3,0)*0.475*44/12</f>
        <v>0</v>
      </c>
      <c r="HI142" s="23">
        <f>EXP(-LN(2)/2)*HI141+(1-EXP(-LN(2)/2))/(LN(2)/2)*HC142*HF142*VLOOKUP('Données projet'!$B$18,Paramètres!$A$1:$I$89,3,0)*0.475*44/12</f>
        <v>0</v>
      </c>
      <c r="HJ142" s="24">
        <f t="shared" si="138"/>
        <v>122.12349092392095</v>
      </c>
    </row>
    <row r="143" spans="1:218" s="5" customFormat="1" x14ac:dyDescent="0.2">
      <c r="A143" s="11">
        <f t="shared" si="139"/>
        <v>140</v>
      </c>
      <c r="B143" s="74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-4.5474735088646412E-13</v>
      </c>
      <c r="O143" s="14">
        <f>N143*VLOOKUP('Données projet'!$B$9,Paramètres!$A$1:$I$89,3,0)*VLOOKUP('Données projet'!$B$9,Paramètres!$A$1:$I$89,5,0)</f>
        <v>-3.9017322706058626E-13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623.31285537237943</v>
      </c>
      <c r="T143" s="62">
        <f t="shared" si="142"/>
        <v>462.33909258902241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127.41087782453786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127.41087782453786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4.9658410716801891E-14</v>
      </c>
      <c r="AK143" s="14">
        <f t="shared" si="143"/>
        <v>8.0934058173791862E-13</v>
      </c>
      <c r="AL143" s="22">
        <f t="shared" si="112"/>
        <v>1.4960899118586383E-12</v>
      </c>
      <c r="AM143" s="62">
        <f t="shared" si="113"/>
        <v>293.33333333333479</v>
      </c>
      <c r="AN143" s="62">
        <f ca="1">AVERAGE(OFFSET($AM$3,0,0,'Données projet'!$E$10+1,1))-AVERAGE(OFFSET($H$3,0,0,'Données projet'!$E$10+1,1))</f>
        <v>390.70479111593545</v>
      </c>
      <c r="AO143" s="62">
        <f t="shared" si="144"/>
        <v>374.99493809709708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50.188665963743667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50.188665963743667</v>
      </c>
      <c r="AY143" s="7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5.6843418860808015E-14</v>
      </c>
      <c r="BE143" s="14">
        <f>BD143*VLOOKUP('Données projet'!$B$11,Paramètres!$A$1:$I$89,3,0)*VLOOKUP('Données projet'!$B$11,Paramètres!$A$1:$I$89,5,0)</f>
        <v>4.5224624045658861E-14</v>
      </c>
      <c r="BF143" s="14">
        <f t="shared" si="145"/>
        <v>7.4514601661523691E-13</v>
      </c>
      <c r="BG143" s="22">
        <f t="shared" si="115"/>
        <v>1.3765621991510601E-12</v>
      </c>
      <c r="BH143" s="62">
        <f t="shared" si="116"/>
        <v>293.33333333333468</v>
      </c>
      <c r="BI143" s="62">
        <f ca="1">AVERAGE(OFFSET($BH$3,0,0,'Données projet'!$E$11+1,1))-AVERAGE(OFFSET($H$3,0,0,'Données projet'!$E$11+1,1))</f>
        <v>359.18294335011535</v>
      </c>
      <c r="BJ143" s="62">
        <f t="shared" si="146"/>
        <v>345.47508134331241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45.70753507412369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45.70753507412369</v>
      </c>
      <c r="BT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5.6843418860808015E-14</v>
      </c>
      <c r="BZ143" s="14">
        <f>BY143*VLOOKUP('Données projet'!$B$12,Paramètres!$A$1:$I$89,3,0)*VLOOKUP('Données projet'!$B$12,Paramètres!$A$1:$I$89,5,0)</f>
        <v>4.1677594708744434E-14</v>
      </c>
      <c r="CA143" s="14">
        <f t="shared" si="147"/>
        <v>6.9326303456159188E-13</v>
      </c>
      <c r="CB143" s="22">
        <f t="shared" si="118"/>
        <v>1.2800215959791691E-12</v>
      </c>
      <c r="CC143" s="62">
        <f t="shared" si="119"/>
        <v>293.33333333333462</v>
      </c>
      <c r="CD143" s="62">
        <f ca="1">AVERAGE(OFFSET($CC$3,0,0,'Données projet'!$E$12+1,1))-AVERAGE(OFFSET($H$3,0,0,'Données projet'!$E$12+1,1))</f>
        <v>333.9187211440219</v>
      </c>
      <c r="CE143" s="62">
        <f t="shared" si="148"/>
        <v>321.81422611044997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34.174964256309273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34.174964256309273</v>
      </c>
      <c r="CO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5.6843418860808015E-14</v>
      </c>
      <c r="CU143" s="18">
        <f>CT143*VLOOKUP('Données projet'!$B$13,Paramètres!$A$1:$I$89,3,0)*VLOOKUP('Données projet'!$B$13,Paramètres!$A$1:$I$89,5,0)</f>
        <v>4.6111381379887463E-14</v>
      </c>
      <c r="CV143" s="14">
        <f t="shared" si="149"/>
        <v>7.5804141040779151E-13</v>
      </c>
      <c r="CW143" s="22">
        <f t="shared" si="121"/>
        <v>1.4005661123635408E-12</v>
      </c>
      <c r="CX143" s="62">
        <f t="shared" si="122"/>
        <v>293.33333333333474</v>
      </c>
      <c r="CY143" s="62">
        <f ca="1">AVERAGE(OFFSET($CX$3,0,0,'Données projet'!$E$13+1,1))-AVERAGE(OFFSET($H$3,0,0,'Données projet'!$E$13+1,1))</f>
        <v>365.492319515595</v>
      </c>
      <c r="CZ143" s="62">
        <f t="shared" si="150"/>
        <v>351.38386928091433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37.810598751661296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37.810598751661296</v>
      </c>
      <c r="DJ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8.1590000000000025</v>
      </c>
      <c r="DO143" s="13">
        <f>IF('Données projet'!$A$166&gt;35,DO142+DN143-DW142,IF(A143&lt;'Données projet'!$A$166,$DL$205^A143,IF(A143='Données projet'!$A$166,'Données projet'!$B$166,DO142+DN143-DW142)))</f>
        <v>430.59400000000062</v>
      </c>
      <c r="DP143" s="18">
        <f>DO143*VLOOKUP('Données projet'!$B$14,Paramètres!$A$1:$I$89,3,0)*VLOOKUP('Données projet'!$B$14,Paramètres!$A$1:$I$89,5,0)</f>
        <v>362.73238560000055</v>
      </c>
      <c r="DQ143" s="14">
        <f t="shared" si="151"/>
        <v>84.17876463097069</v>
      </c>
      <c r="DR143" s="22">
        <f t="shared" si="124"/>
        <v>778.37025331894165</v>
      </c>
      <c r="DS143" s="62">
        <f t="shared" si="125"/>
        <v>1071.7035866522749</v>
      </c>
      <c r="DT143" s="62">
        <f ca="1">AVERAGE(OFFSET($DS$3,0,0,'Données projet'!$E$14+1,1))-AVERAGE(OFFSET($H$3,0,0,'Données projet'!$E$14+1,1))</f>
        <v>544.89250424794909</v>
      </c>
      <c r="DU143" s="62">
        <f t="shared" si="152"/>
        <v>253.98688498110715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51.712754568260785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51.712754568260785</v>
      </c>
      <c r="EE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8.1590000000000025</v>
      </c>
      <c r="EJ143" s="13">
        <f>IF('Données projet'!$A$192&gt;35,EJ142+EI143-ER142,IF(A143&lt;'Données projet'!$A$192,$EG$205^A143,IF(A143='Données projet'!$A$192,'Données projet'!$B$192,EJ142+EI143-ER142)))</f>
        <v>430.59400000000062</v>
      </c>
      <c r="EK143" s="18">
        <f>EJ143*VLOOKUP('Données projet'!$B$15,Paramètres!$A$1:$I$89,3,0)*VLOOKUP('Données projet'!$B$15,Paramètres!$A$1:$I$89,5,0)</f>
        <v>389.60145120000055</v>
      </c>
      <c r="EL143" s="14">
        <f t="shared" si="153"/>
        <v>89.665298143968485</v>
      </c>
      <c r="EM143" s="22">
        <f t="shared" si="127"/>
        <v>834.72292177407928</v>
      </c>
      <c r="EN143" s="62">
        <f t="shared" si="128"/>
        <v>1128.0562551074127</v>
      </c>
      <c r="EO143" s="62">
        <f ca="1">AVERAGE(OFFSET($EN$3,0,0,'Données projet'!$E$15+1,1))-AVERAGE(OFFSET($H$3,0,0,'Données projet'!$E$15+1,1))</f>
        <v>581.88778927327667</v>
      </c>
      <c r="EP143" s="62">
        <f t="shared" si="154"/>
        <v>269.67340993773422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55.543328980724567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55.543328980724567</v>
      </c>
      <c r="EZ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8.1590000000000025</v>
      </c>
      <c r="FE143" s="13">
        <f>IF('Données projet'!$A$218&gt;35,FE142+FD143-FM142,IF(A143&lt;'Données projet'!$A$218,$FB$205^A143,IF(A143='Données projet'!$A$218,'Données projet'!$B$218,FE142+FD143-FM142)))</f>
        <v>430.59400000000062</v>
      </c>
      <c r="FF143" s="18">
        <f>FE143*VLOOKUP('Données projet'!$B$16,Paramètres!$A$1:$I$89,3,0)*VLOOKUP('Données projet'!$B$16,Paramètres!$A$1:$I$89,5,0)</f>
        <v>436.62231600000064</v>
      </c>
      <c r="FG143" s="14">
        <f t="shared" si="155"/>
        <v>99.163001507201159</v>
      </c>
      <c r="FH143" s="22">
        <f t="shared" si="130"/>
        <v>933.15942799170989</v>
      </c>
      <c r="FI143" s="62">
        <f t="shared" si="131"/>
        <v>1226.4927613250431</v>
      </c>
      <c r="FJ143" s="62">
        <f ca="1">AVERAGE(OFFSET($FI$3,0,0,'Données projet'!$E$16+1,1))-AVERAGE(OFFSET($H$3,0,0,'Données projet'!$E$16+1,1))</f>
        <v>646.50767193970182</v>
      </c>
      <c r="FK143" s="62">
        <f t="shared" si="156"/>
        <v>297.06786598620607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62.246834202536157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62.246834202536157</v>
      </c>
      <c r="FU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8.1590000000000025</v>
      </c>
      <c r="FZ143" s="13">
        <f>IF('Données projet'!$A$244&gt;35,FZ142+FY143-GH142,IF(A143&lt;'Données projet'!$A$244,$FW$205^A143,IF(A143='Données projet'!$A$244,'Données projet'!$B$244,FZ142+FY143-GH142)))</f>
        <v>430.59400000000062</v>
      </c>
      <c r="GA143" s="18">
        <f>FZ143*VLOOKUP('Données projet'!$B$17,Paramètres!$A$1:$I$89,3,0)*VLOOKUP('Données projet'!$B$17,Paramètres!$A$1:$I$89,5,0)</f>
        <v>288.84245520000042</v>
      </c>
      <c r="GB143" s="14">
        <f t="shared" si="157"/>
        <v>68.832279011423722</v>
      </c>
      <c r="GC143" s="22">
        <f t="shared" si="133"/>
        <v>622.95016208489699</v>
      </c>
      <c r="GD143" s="62">
        <f t="shared" si="134"/>
        <v>916.28349541823036</v>
      </c>
      <c r="GE143" s="62">
        <f ca="1">AVERAGE(OFFSET($GD$3,0,0,'Données projet'!$E$17+1,1))-AVERAGE(OFFSET($H$3,0,0,'Données projet'!$E$17+1,1))</f>
        <v>442.85175349826028</v>
      </c>
      <c r="GF143" s="62">
        <f t="shared" si="158"/>
        <v>210.70697808232501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50.755110965144851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50.755110965144851</v>
      </c>
      <c r="GP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-3.4106051316484809E-13</v>
      </c>
      <c r="GV143" s="18">
        <f>GU143*VLOOKUP('Données projet'!$B$18,Paramètres!$A$1:$I$89,3,0)*VLOOKUP('Données projet'!$B$18,Paramètres!$A$1:$I$89,5,0)</f>
        <v>-3.2455318432766944E-13</v>
      </c>
      <c r="GW143" s="14" t="e">
        <f t="shared" si="159"/>
        <v>#NUM!</v>
      </c>
      <c r="GX143" s="22" t="e">
        <f t="shared" si="136"/>
        <v>#NUM!</v>
      </c>
      <c r="GY143" s="62" t="e">
        <f t="shared" si="137"/>
        <v>#NUM!</v>
      </c>
      <c r="GZ143" s="62">
        <f ca="1">AVERAGE(OFFSET($GY$3,0,0,'Données projet'!$E$18+1,1))-AVERAGE(OFFSET($H$3,0,0,'Données projet'!$E$18+1,1))</f>
        <v>420.2510366318939</v>
      </c>
      <c r="HA143" s="62">
        <f t="shared" si="160"/>
        <v>220.59884411514116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119.72872375487725</v>
      </c>
      <c r="HH143" s="23">
        <f>EXP(-LN(2)/25)*HH142+(1-EXP(-LN(2)/25))/(LN(2)/25)*Calculateur!HC143*Calculateur!HE143*VLOOKUP('Données projet'!$B$18,Paramètres!$A$1:$I$89,3,0)*0.475*44/12</f>
        <v>0</v>
      </c>
      <c r="HI143" s="23">
        <f>EXP(-LN(2)/2)*HI142+(1-EXP(-LN(2)/2))/(LN(2)/2)*HC143*HF143*VLOOKUP('Données projet'!$B$18,Paramètres!$A$1:$I$89,3,0)*0.475*44/12</f>
        <v>0</v>
      </c>
      <c r="HJ143" s="24">
        <f t="shared" si="138"/>
        <v>119.72872375487725</v>
      </c>
    </row>
    <row r="144" spans="1:218" s="5" customFormat="1" x14ac:dyDescent="0.2">
      <c r="A144" s="11">
        <f t="shared" si="139"/>
        <v>141</v>
      </c>
      <c r="B144" s="74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-4.5474735088646412E-13</v>
      </c>
      <c r="O144" s="14">
        <f>N144*VLOOKUP('Données projet'!$B$9,Paramètres!$A$1:$I$89,3,0)*VLOOKUP('Données projet'!$B$9,Paramètres!$A$1:$I$89,5,0)</f>
        <v>-3.9017322706058626E-13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623.31285537237943</v>
      </c>
      <c r="T144" s="62">
        <f t="shared" si="142"/>
        <v>462.33909258902241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124.91242822336064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124.91242822336064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4.9658410716801891E-14</v>
      </c>
      <c r="AK144" s="14">
        <f t="shared" si="143"/>
        <v>8.0934058173791862E-13</v>
      </c>
      <c r="AL144" s="22">
        <f t="shared" si="112"/>
        <v>1.4960899118586383E-12</v>
      </c>
      <c r="AM144" s="62">
        <f t="shared" si="113"/>
        <v>293.33333333333479</v>
      </c>
      <c r="AN144" s="62">
        <f ca="1">AVERAGE(OFFSET($AM$3,0,0,'Données projet'!$E$10+1,1))-AVERAGE(OFFSET($H$3,0,0,'Données projet'!$E$10+1,1))</f>
        <v>390.70479111593545</v>
      </c>
      <c r="AO144" s="62">
        <f t="shared" si="144"/>
        <v>374.99493809709708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49.204496836258201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49.204496836258201</v>
      </c>
      <c r="AY144" s="7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5.6843418860808015E-14</v>
      </c>
      <c r="BE144" s="14">
        <f>BD144*VLOOKUP('Données projet'!$B$11,Paramètres!$A$1:$I$89,3,0)*VLOOKUP('Données projet'!$B$11,Paramètres!$A$1:$I$89,5,0)</f>
        <v>4.5224624045658861E-14</v>
      </c>
      <c r="BF144" s="14">
        <f t="shared" si="145"/>
        <v>7.4514601661523691E-13</v>
      </c>
      <c r="BG144" s="22">
        <f t="shared" si="115"/>
        <v>1.3765621991510601E-12</v>
      </c>
      <c r="BH144" s="62">
        <f t="shared" si="116"/>
        <v>293.33333333333468</v>
      </c>
      <c r="BI144" s="62">
        <f ca="1">AVERAGE(OFFSET($BH$3,0,0,'Données projet'!$E$11+1,1))-AVERAGE(OFFSET($H$3,0,0,'Données projet'!$E$11+1,1))</f>
        <v>359.18294335011535</v>
      </c>
      <c r="BJ144" s="62">
        <f t="shared" si="146"/>
        <v>345.47508134331241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44.811238190163714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44.811238190163714</v>
      </c>
      <c r="BT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5.6843418860808015E-14</v>
      </c>
      <c r="BZ144" s="14">
        <f>BY144*VLOOKUP('Données projet'!$B$12,Paramètres!$A$1:$I$89,3,0)*VLOOKUP('Données projet'!$B$12,Paramètres!$A$1:$I$89,5,0)</f>
        <v>4.1677594708744434E-14</v>
      </c>
      <c r="CA144" s="14">
        <f t="shared" si="147"/>
        <v>6.9326303456159188E-13</v>
      </c>
      <c r="CB144" s="22">
        <f t="shared" si="118"/>
        <v>1.2800215959791691E-12</v>
      </c>
      <c r="CC144" s="62">
        <f t="shared" si="119"/>
        <v>293.33333333333462</v>
      </c>
      <c r="CD144" s="62">
        <f ca="1">AVERAGE(OFFSET($CC$3,0,0,'Données projet'!$E$12+1,1))-AVERAGE(OFFSET($H$3,0,0,'Données projet'!$E$12+1,1))</f>
        <v>333.9187211440219</v>
      </c>
      <c r="CE144" s="62">
        <f t="shared" si="148"/>
        <v>321.81422611044997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33.504814051913002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33.504814051913002</v>
      </c>
      <c r="CO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5.6843418860808015E-14</v>
      </c>
      <c r="CU144" s="18">
        <f>CT144*VLOOKUP('Données projet'!$B$13,Paramètres!$A$1:$I$89,3,0)*VLOOKUP('Données projet'!$B$13,Paramètres!$A$1:$I$89,5,0)</f>
        <v>4.6111381379887463E-14</v>
      </c>
      <c r="CV144" s="14">
        <f t="shared" si="149"/>
        <v>7.5804141040779151E-13</v>
      </c>
      <c r="CW144" s="22">
        <f t="shared" si="121"/>
        <v>1.4005661123635408E-12</v>
      </c>
      <c r="CX144" s="62">
        <f t="shared" si="122"/>
        <v>293.33333333333474</v>
      </c>
      <c r="CY144" s="62">
        <f ca="1">AVERAGE(OFFSET($CX$3,0,0,'Données projet'!$E$13+1,1))-AVERAGE(OFFSET($H$3,0,0,'Données projet'!$E$13+1,1))</f>
        <v>365.492319515595</v>
      </c>
      <c r="CZ144" s="62">
        <f t="shared" si="150"/>
        <v>351.38386928091433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37.069155972329256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37.069155972329256</v>
      </c>
      <c r="DJ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8.1590000000000025</v>
      </c>
      <c r="DO144" s="13">
        <f>IF('Données projet'!$A$166&gt;35,DO143+DN144-DW143,IF(A144&lt;'Données projet'!$A$166,$DL$205^A144,IF(A144='Données projet'!$A$166,'Données projet'!$B$166,DO143+DN144-DW143)))</f>
        <v>438.75300000000061</v>
      </c>
      <c r="DP144" s="18">
        <f>DO144*VLOOKUP('Données projet'!$B$14,Paramètres!$A$1:$I$89,3,0)*VLOOKUP('Données projet'!$B$14,Paramètres!$A$1:$I$89,5,0)</f>
        <v>369.60552720000055</v>
      </c>
      <c r="DQ144" s="14">
        <f t="shared" si="151"/>
        <v>85.586598349763392</v>
      </c>
      <c r="DR144" s="22">
        <f t="shared" si="124"/>
        <v>792.79295199917215</v>
      </c>
      <c r="DS144" s="62">
        <f t="shared" si="125"/>
        <v>1086.1262853325054</v>
      </c>
      <c r="DT144" s="62">
        <f ca="1">AVERAGE(OFFSET($DS$3,0,0,'Données projet'!$E$14+1,1))-AVERAGE(OFFSET($H$3,0,0,'Données projet'!$E$14+1,1))</f>
        <v>544.89250424794909</v>
      </c>
      <c r="DU144" s="62">
        <f t="shared" si="152"/>
        <v>253.98688498110715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50.698698992842999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50.698698992842999</v>
      </c>
      <c r="EE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8.1590000000000025</v>
      </c>
      <c r="EJ144" s="13">
        <f>IF('Données projet'!$A$192&gt;35,EJ143+EI144-ER143,IF(A144&lt;'Données projet'!$A$192,$EG$205^A144,IF(A144='Données projet'!$A$192,'Données projet'!$B$192,EJ143+EI144-ER143)))</f>
        <v>438.75300000000061</v>
      </c>
      <c r="EK144" s="18">
        <f>EJ144*VLOOKUP('Données projet'!$B$15,Paramètres!$A$1:$I$89,3,0)*VLOOKUP('Données projet'!$B$15,Paramètres!$A$1:$I$89,5,0)</f>
        <v>396.98371440000057</v>
      </c>
      <c r="EL144" s="14">
        <f t="shared" si="153"/>
        <v>91.164890478045521</v>
      </c>
      <c r="EM144" s="22">
        <f t="shared" si="127"/>
        <v>850.19215349593026</v>
      </c>
      <c r="EN144" s="62">
        <f t="shared" si="128"/>
        <v>1143.5254868292636</v>
      </c>
      <c r="EO144" s="62">
        <f ca="1">AVERAGE(OFFSET($EN$3,0,0,'Données projet'!$E$15+1,1))-AVERAGE(OFFSET($H$3,0,0,'Données projet'!$E$15+1,1))</f>
        <v>581.88778927327667</v>
      </c>
      <c r="EP144" s="62">
        <f t="shared" si="154"/>
        <v>269.67340993773422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54.454158177498051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54.454158177498051</v>
      </c>
      <c r="EZ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8.1590000000000025</v>
      </c>
      <c r="FE144" s="13">
        <f>IF('Données projet'!$A$218&gt;35,FE143+FD144-FM143,IF(A144&lt;'Données projet'!$A$218,$FB$205^A144,IF(A144='Données projet'!$A$218,'Données projet'!$B$218,FE143+FD144-FM143)))</f>
        <v>438.75300000000061</v>
      </c>
      <c r="FF144" s="18">
        <f>FE144*VLOOKUP('Données projet'!$B$16,Paramètres!$A$1:$I$89,3,0)*VLOOKUP('Données projet'!$B$16,Paramètres!$A$1:$I$89,5,0)</f>
        <v>444.89554200000066</v>
      </c>
      <c r="FG144" s="14">
        <f t="shared" si="155"/>
        <v>100.82143659817152</v>
      </c>
      <c r="FH144" s="22">
        <f t="shared" si="130"/>
        <v>950.45707105848317</v>
      </c>
      <c r="FI144" s="62">
        <f t="shared" si="131"/>
        <v>1243.7904043918165</v>
      </c>
      <c r="FJ144" s="62">
        <f ca="1">AVERAGE(OFFSET($FI$3,0,0,'Données projet'!$E$16+1,1))-AVERAGE(OFFSET($H$3,0,0,'Données projet'!$E$16+1,1))</f>
        <v>646.50767193970182</v>
      </c>
      <c r="FK144" s="62">
        <f t="shared" si="156"/>
        <v>297.06786598620607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61.026211750644372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61.026211750644372</v>
      </c>
      <c r="FU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8.1590000000000025</v>
      </c>
      <c r="FZ144" s="13">
        <f>IF('Données projet'!$A$244&gt;35,FZ143+FY144-GH143,IF(A144&lt;'Données projet'!$A$244,$FW$205^A144,IF(A144='Données projet'!$A$244,'Données projet'!$B$244,FZ143+FY144-GH143)))</f>
        <v>438.75300000000061</v>
      </c>
      <c r="GA144" s="18">
        <f>FZ144*VLOOKUP('Données projet'!$B$17,Paramètres!$A$1:$I$89,3,0)*VLOOKUP('Données projet'!$B$17,Paramètres!$A$1:$I$89,5,0)</f>
        <v>294.31551240000044</v>
      </c>
      <c r="GB144" s="14">
        <f t="shared" si="157"/>
        <v>69.983452989308191</v>
      </c>
      <c r="GC144" s="22">
        <f t="shared" si="133"/>
        <v>634.48736471971256</v>
      </c>
      <c r="GD144" s="62">
        <f t="shared" si="134"/>
        <v>927.82069805304582</v>
      </c>
      <c r="GE144" s="62">
        <f ca="1">AVERAGE(OFFSET($GD$3,0,0,'Données projet'!$E$17+1,1))-AVERAGE(OFFSET($H$3,0,0,'Données projet'!$E$17+1,1))</f>
        <v>442.85175349826028</v>
      </c>
      <c r="GF144" s="62">
        <f t="shared" si="158"/>
        <v>210.70697808232501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49.759834196679243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49.759834196679243</v>
      </c>
      <c r="GP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-3.4106051316484809E-13</v>
      </c>
      <c r="GV144" s="18">
        <f>GU144*VLOOKUP('Données projet'!$B$18,Paramètres!$A$1:$I$89,3,0)*VLOOKUP('Données projet'!$B$18,Paramètres!$A$1:$I$89,5,0)</f>
        <v>-3.2455318432766944E-13</v>
      </c>
      <c r="GW144" s="14" t="e">
        <f t="shared" si="159"/>
        <v>#NUM!</v>
      </c>
      <c r="GX144" s="22" t="e">
        <f t="shared" si="136"/>
        <v>#NUM!</v>
      </c>
      <c r="GY144" s="62" t="e">
        <f t="shared" si="137"/>
        <v>#NUM!</v>
      </c>
      <c r="GZ144" s="62">
        <f ca="1">AVERAGE(OFFSET($GY$3,0,0,'Données projet'!$E$18+1,1))-AVERAGE(OFFSET($H$3,0,0,'Données projet'!$E$18+1,1))</f>
        <v>420.2510366318939</v>
      </c>
      <c r="HA144" s="62">
        <f t="shared" si="160"/>
        <v>220.59884411514116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117.38091650935475</v>
      </c>
      <c r="HH144" s="23">
        <f>EXP(-LN(2)/25)*HH143+(1-EXP(-LN(2)/25))/(LN(2)/25)*Calculateur!HC144*Calculateur!HE144*VLOOKUP('Données projet'!$B$18,Paramètres!$A$1:$I$89,3,0)*0.475*44/12</f>
        <v>0</v>
      </c>
      <c r="HI144" s="23">
        <f>EXP(-LN(2)/2)*HI143+(1-EXP(-LN(2)/2))/(LN(2)/2)*HC144*HF144*VLOOKUP('Données projet'!$B$18,Paramètres!$A$1:$I$89,3,0)*0.475*44/12</f>
        <v>0</v>
      </c>
      <c r="HJ144" s="24">
        <f t="shared" si="138"/>
        <v>117.38091650935475</v>
      </c>
    </row>
    <row r="145" spans="1:218" s="5" customFormat="1" x14ac:dyDescent="0.2">
      <c r="A145" s="11">
        <f t="shared" si="139"/>
        <v>142</v>
      </c>
      <c r="B145" s="74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-4.5474735088646412E-13</v>
      </c>
      <c r="O145" s="14">
        <f>N145*VLOOKUP('Données projet'!$B$9,Paramètres!$A$1:$I$89,3,0)*VLOOKUP('Données projet'!$B$9,Paramètres!$A$1:$I$89,5,0)</f>
        <v>-3.9017322706058626E-13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623.31285537237943</v>
      </c>
      <c r="T145" s="62">
        <f t="shared" si="142"/>
        <v>462.33909258902241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122.46297169495871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122.46297169495871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4.9658410716801891E-14</v>
      </c>
      <c r="AK145" s="14">
        <f t="shared" si="143"/>
        <v>8.0934058173791862E-13</v>
      </c>
      <c r="AL145" s="22">
        <f t="shared" si="112"/>
        <v>1.4960899118586383E-12</v>
      </c>
      <c r="AM145" s="62">
        <f t="shared" si="113"/>
        <v>293.33333333333479</v>
      </c>
      <c r="AN145" s="62">
        <f ca="1">AVERAGE(OFFSET($AM$3,0,0,'Données projet'!$E$10+1,1))-AVERAGE(OFFSET($H$3,0,0,'Données projet'!$E$10+1,1))</f>
        <v>390.70479111593545</v>
      </c>
      <c r="AO145" s="62">
        <f t="shared" si="144"/>
        <v>374.99493809709708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48.239626665078831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48.239626665078831</v>
      </c>
      <c r="AY145" s="7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5.6843418860808015E-14</v>
      </c>
      <c r="BE145" s="14">
        <f>BD145*VLOOKUP('Données projet'!$B$11,Paramètres!$A$1:$I$89,3,0)*VLOOKUP('Données projet'!$B$11,Paramètres!$A$1:$I$89,5,0)</f>
        <v>4.5224624045658861E-14</v>
      </c>
      <c r="BF145" s="14">
        <f t="shared" si="145"/>
        <v>7.4514601661523691E-13</v>
      </c>
      <c r="BG145" s="22">
        <f t="shared" si="115"/>
        <v>1.3765621991510601E-12</v>
      </c>
      <c r="BH145" s="62">
        <f t="shared" si="116"/>
        <v>293.33333333333468</v>
      </c>
      <c r="BI145" s="62">
        <f ca="1">AVERAGE(OFFSET($BH$3,0,0,'Données projet'!$E$11+1,1))-AVERAGE(OFFSET($H$3,0,0,'Données projet'!$E$11+1,1))</f>
        <v>359.18294335011535</v>
      </c>
      <c r="BJ145" s="62">
        <f t="shared" si="146"/>
        <v>345.47508134331241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43.932517141411076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43.932517141411076</v>
      </c>
      <c r="BT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5.6843418860808015E-14</v>
      </c>
      <c r="BZ145" s="14">
        <f>BY145*VLOOKUP('Données projet'!$B$12,Paramètres!$A$1:$I$89,3,0)*VLOOKUP('Données projet'!$B$12,Paramètres!$A$1:$I$89,5,0)</f>
        <v>4.1677594708744434E-14</v>
      </c>
      <c r="CA145" s="14">
        <f t="shared" si="147"/>
        <v>6.9326303456159188E-13</v>
      </c>
      <c r="CB145" s="22">
        <f t="shared" si="118"/>
        <v>1.2800215959791691E-12</v>
      </c>
      <c r="CC145" s="62">
        <f t="shared" si="119"/>
        <v>293.33333333333462</v>
      </c>
      <c r="CD145" s="62">
        <f ca="1">AVERAGE(OFFSET($CC$3,0,0,'Données projet'!$E$12+1,1))-AVERAGE(OFFSET($H$3,0,0,'Données projet'!$E$12+1,1))</f>
        <v>333.9187211440219</v>
      </c>
      <c r="CE145" s="62">
        <f t="shared" si="148"/>
        <v>321.81422611044997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32.847805084273681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32.847805084273681</v>
      </c>
      <c r="CO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5.6843418860808015E-14</v>
      </c>
      <c r="CU145" s="18">
        <f>CT145*VLOOKUP('Données projet'!$B$13,Paramètres!$A$1:$I$89,3,0)*VLOOKUP('Données projet'!$B$13,Paramètres!$A$1:$I$89,5,0)</f>
        <v>4.6111381379887463E-14</v>
      </c>
      <c r="CV145" s="14">
        <f t="shared" si="149"/>
        <v>7.5804141040779151E-13</v>
      </c>
      <c r="CW145" s="22">
        <f t="shared" si="121"/>
        <v>1.4005661123635408E-12</v>
      </c>
      <c r="CX145" s="62">
        <f t="shared" si="122"/>
        <v>293.33333333333474</v>
      </c>
      <c r="CY145" s="62">
        <f ca="1">AVERAGE(OFFSET($CX$3,0,0,'Données projet'!$E$13+1,1))-AVERAGE(OFFSET($H$3,0,0,'Données projet'!$E$13+1,1))</f>
        <v>365.492319515595</v>
      </c>
      <c r="CZ145" s="62">
        <f t="shared" si="150"/>
        <v>351.38386928091433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36.342252433664477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36.342252433664477</v>
      </c>
      <c r="DJ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8.1590000000000025</v>
      </c>
      <c r="DO145" s="13">
        <f>IF('Données projet'!$A$166&gt;35,DO144+DN145-DW144,IF(A145&lt;'Données projet'!$A$166,$DL$205^A145,IF(A145='Données projet'!$A$166,'Données projet'!$B$166,DO144+DN145-DW144)))</f>
        <v>446.9120000000006</v>
      </c>
      <c r="DP145" s="18">
        <f>DO145*VLOOKUP('Données projet'!$B$14,Paramètres!$A$1:$I$89,3,0)*VLOOKUP('Données projet'!$B$14,Paramètres!$A$1:$I$89,5,0)</f>
        <v>376.47866880000055</v>
      </c>
      <c r="DQ145" s="14">
        <f t="shared" si="151"/>
        <v>86.9913878369195</v>
      </c>
      <c r="DR145" s="22">
        <f t="shared" si="124"/>
        <v>807.21034864263572</v>
      </c>
      <c r="DS145" s="62">
        <f t="shared" si="125"/>
        <v>1100.5436819759691</v>
      </c>
      <c r="DT145" s="62">
        <f ca="1">AVERAGE(OFFSET($DS$3,0,0,'Données projet'!$E$14+1,1))-AVERAGE(OFFSET($H$3,0,0,'Données projet'!$E$14+1,1))</f>
        <v>544.89250424794909</v>
      </c>
      <c r="DU145" s="62">
        <f t="shared" si="152"/>
        <v>253.98688498110715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49.704528428746329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49.704528428746329</v>
      </c>
      <c r="EE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8.1590000000000025</v>
      </c>
      <c r="EJ145" s="13">
        <f>IF('Données projet'!$A$192&gt;35,EJ144+EI145-ER144,IF(A145&lt;'Données projet'!$A$192,$EG$205^A145,IF(A145='Données projet'!$A$192,'Données projet'!$B$192,EJ144+EI145-ER144)))</f>
        <v>446.9120000000006</v>
      </c>
      <c r="EK145" s="18">
        <f>EJ145*VLOOKUP('Données projet'!$B$15,Paramètres!$A$1:$I$89,3,0)*VLOOKUP('Données projet'!$B$15,Paramètres!$A$1:$I$89,5,0)</f>
        <v>404.36597760000052</v>
      </c>
      <c r="EL145" s="14">
        <f t="shared" si="153"/>
        <v>92.66124016608812</v>
      </c>
      <c r="EM145" s="22">
        <f t="shared" si="127"/>
        <v>865.655737609271</v>
      </c>
      <c r="EN145" s="62">
        <f t="shared" si="128"/>
        <v>1158.9890709426043</v>
      </c>
      <c r="EO145" s="62">
        <f ca="1">AVERAGE(OFFSET($EN$3,0,0,'Données projet'!$E$15+1,1))-AVERAGE(OFFSET($H$3,0,0,'Données projet'!$E$15+1,1))</f>
        <v>581.88778927327667</v>
      </c>
      <c r="EP145" s="62">
        <f t="shared" si="154"/>
        <v>269.67340993773422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53.386345349394219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53.386345349394219</v>
      </c>
      <c r="EZ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8.1590000000000025</v>
      </c>
      <c r="FE145" s="13">
        <f>IF('Données projet'!$A$218&gt;35,FE144+FD145-FM144,IF(A145&lt;'Données projet'!$A$218,$FB$205^A145,IF(A145='Données projet'!$A$218,'Données projet'!$B$218,FE144+FD145-FM144)))</f>
        <v>446.9120000000006</v>
      </c>
      <c r="FF145" s="18">
        <f>FE145*VLOOKUP('Données projet'!$B$16,Paramètres!$A$1:$I$89,3,0)*VLOOKUP('Données projet'!$B$16,Paramètres!$A$1:$I$89,5,0)</f>
        <v>453.16876800000063</v>
      </c>
      <c r="FG145" s="14">
        <f t="shared" si="155"/>
        <v>102.47628556920169</v>
      </c>
      <c r="FH145" s="22">
        <f t="shared" si="130"/>
        <v>967.74846829969408</v>
      </c>
      <c r="FI145" s="62">
        <f t="shared" si="131"/>
        <v>1261.0818016330275</v>
      </c>
      <c r="FJ145" s="62">
        <f ca="1">AVERAGE(OFFSET($FI$3,0,0,'Données projet'!$E$16+1,1))-AVERAGE(OFFSET($H$3,0,0,'Données projet'!$E$16+1,1))</f>
        <v>646.50767193970182</v>
      </c>
      <c r="FK145" s="62">
        <f t="shared" si="156"/>
        <v>297.06786598620607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59.829524960528005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59.829524960528005</v>
      </c>
      <c r="FU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8.1590000000000025</v>
      </c>
      <c r="FZ145" s="13">
        <f>IF('Données projet'!$A$244&gt;35,FZ144+FY145-GH144,IF(A145&lt;'Données projet'!$A$244,$FW$205^A145,IF(A145='Données projet'!$A$244,'Données projet'!$B$244,FZ144+FY145-GH144)))</f>
        <v>446.9120000000006</v>
      </c>
      <c r="GA145" s="18">
        <f>FZ145*VLOOKUP('Données projet'!$B$17,Paramètres!$A$1:$I$89,3,0)*VLOOKUP('Données projet'!$B$17,Paramètres!$A$1:$I$89,5,0)</f>
        <v>299.78856960000041</v>
      </c>
      <c r="GB145" s="14">
        <f t="shared" si="157"/>
        <v>71.132137724183337</v>
      </c>
      <c r="GC145" s="22">
        <f t="shared" si="133"/>
        <v>646.02023192295337</v>
      </c>
      <c r="GD145" s="62">
        <f t="shared" si="134"/>
        <v>939.35356525628663</v>
      </c>
      <c r="GE145" s="62">
        <f ca="1">AVERAGE(OFFSET($GD$3,0,0,'Données projet'!$E$17+1,1))-AVERAGE(OFFSET($H$3,0,0,'Données projet'!$E$17+1,1))</f>
        <v>442.85175349826028</v>
      </c>
      <c r="GF145" s="62">
        <f t="shared" si="158"/>
        <v>210.70697808232501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48.784074198584364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48.784074198584364</v>
      </c>
      <c r="GP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-3.4106051316484809E-13</v>
      </c>
      <c r="GV145" s="18">
        <f>GU145*VLOOKUP('Données projet'!$B$18,Paramètres!$A$1:$I$89,3,0)*VLOOKUP('Données projet'!$B$18,Paramètres!$A$1:$I$89,5,0)</f>
        <v>-3.2455318432766944E-13</v>
      </c>
      <c r="GW145" s="14" t="e">
        <f t="shared" si="159"/>
        <v>#NUM!</v>
      </c>
      <c r="GX145" s="22" t="e">
        <f t="shared" si="136"/>
        <v>#NUM!</v>
      </c>
      <c r="GY145" s="62" t="e">
        <f t="shared" si="137"/>
        <v>#NUM!</v>
      </c>
      <c r="GZ145" s="62">
        <f ca="1">AVERAGE(OFFSET($GY$3,0,0,'Données projet'!$E$18+1,1))-AVERAGE(OFFSET($H$3,0,0,'Données projet'!$E$18+1,1))</f>
        <v>420.2510366318939</v>
      </c>
      <c r="HA145" s="62">
        <f t="shared" si="160"/>
        <v>220.59884411514116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115.07914833189592</v>
      </c>
      <c r="HH145" s="23">
        <f>EXP(-LN(2)/25)*HH144+(1-EXP(-LN(2)/25))/(LN(2)/25)*Calculateur!HC145*Calculateur!HE145*VLOOKUP('Données projet'!$B$18,Paramètres!$A$1:$I$89,3,0)*0.475*44/12</f>
        <v>0</v>
      </c>
      <c r="HI145" s="23">
        <f>EXP(-LN(2)/2)*HI144+(1-EXP(-LN(2)/2))/(LN(2)/2)*HC145*HF145*VLOOKUP('Données projet'!$B$18,Paramètres!$A$1:$I$89,3,0)*0.475*44/12</f>
        <v>0</v>
      </c>
      <c r="HJ145" s="24">
        <f t="shared" si="138"/>
        <v>115.07914833189592</v>
      </c>
    </row>
    <row r="146" spans="1:218" s="5" customFormat="1" x14ac:dyDescent="0.2">
      <c r="A146" s="11">
        <f t="shared" si="139"/>
        <v>143</v>
      </c>
      <c r="B146" s="74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-4.5474735088646412E-13</v>
      </c>
      <c r="O146" s="14">
        <f>N146*VLOOKUP('Données projet'!$B$9,Paramètres!$A$1:$I$89,3,0)*VLOOKUP('Données projet'!$B$9,Paramètres!$A$1:$I$89,5,0)</f>
        <v>-3.9017322706058626E-13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623.31285537237943</v>
      </c>
      <c r="T146" s="62">
        <f t="shared" si="142"/>
        <v>462.33909258902241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120.06154751505778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120.06154751505778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4.9658410716801891E-14</v>
      </c>
      <c r="AK146" s="14">
        <f t="shared" si="143"/>
        <v>8.0934058173791862E-13</v>
      </c>
      <c r="AL146" s="22">
        <f t="shared" si="112"/>
        <v>1.4960899118586383E-12</v>
      </c>
      <c r="AM146" s="62">
        <f t="shared" si="113"/>
        <v>293.33333333333479</v>
      </c>
      <c r="AN146" s="62">
        <f ca="1">AVERAGE(OFFSET($AM$3,0,0,'Données projet'!$E$10+1,1))-AVERAGE(OFFSET($H$3,0,0,'Données projet'!$E$10+1,1))</f>
        <v>390.70479111593545</v>
      </c>
      <c r="AO146" s="62">
        <f t="shared" si="144"/>
        <v>374.99493809709708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47.293677009443591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47.293677009443591</v>
      </c>
      <c r="AY146" s="7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5.6843418860808015E-14</v>
      </c>
      <c r="BE146" s="14">
        <f>BD146*VLOOKUP('Données projet'!$B$11,Paramètres!$A$1:$I$89,3,0)*VLOOKUP('Données projet'!$B$11,Paramètres!$A$1:$I$89,5,0)</f>
        <v>4.5224624045658861E-14</v>
      </c>
      <c r="BF146" s="14">
        <f t="shared" si="145"/>
        <v>7.4514601661523691E-13</v>
      </c>
      <c r="BG146" s="22">
        <f t="shared" si="115"/>
        <v>1.3765621991510601E-12</v>
      </c>
      <c r="BH146" s="62">
        <f t="shared" si="116"/>
        <v>293.33333333333468</v>
      </c>
      <c r="BI146" s="62">
        <f ca="1">AVERAGE(OFFSET($BH$3,0,0,'Données projet'!$E$11+1,1))-AVERAGE(OFFSET($H$3,0,0,'Données projet'!$E$11+1,1))</f>
        <v>359.18294335011535</v>
      </c>
      <c r="BJ146" s="62">
        <f t="shared" si="146"/>
        <v>345.47508134331241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43.071027276457556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43.071027276457556</v>
      </c>
      <c r="BT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5.6843418860808015E-14</v>
      </c>
      <c r="BZ146" s="14">
        <f>BY146*VLOOKUP('Données projet'!$B$12,Paramètres!$A$1:$I$89,3,0)*VLOOKUP('Données projet'!$B$12,Paramètres!$A$1:$I$89,5,0)</f>
        <v>4.1677594708744434E-14</v>
      </c>
      <c r="CA146" s="14">
        <f t="shared" si="147"/>
        <v>6.9326303456159188E-13</v>
      </c>
      <c r="CB146" s="22">
        <f t="shared" si="118"/>
        <v>1.2800215959791691E-12</v>
      </c>
      <c r="CC146" s="62">
        <f t="shared" si="119"/>
        <v>293.33333333333462</v>
      </c>
      <c r="CD146" s="62">
        <f ca="1">AVERAGE(OFFSET($CC$3,0,0,'Données projet'!$E$12+1,1))-AVERAGE(OFFSET($H$3,0,0,'Données projet'!$E$12+1,1))</f>
        <v>333.9187211440219</v>
      </c>
      <c r="CE146" s="62">
        <f t="shared" si="148"/>
        <v>321.81422611044997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32.203679661753867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32.203679661753867</v>
      </c>
      <c r="CO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5.6843418860808015E-14</v>
      </c>
      <c r="CU146" s="18">
        <f>CT146*VLOOKUP('Données projet'!$B$13,Paramètres!$A$1:$I$89,3,0)*VLOOKUP('Données projet'!$B$13,Paramètres!$A$1:$I$89,5,0)</f>
        <v>4.6111381379887463E-14</v>
      </c>
      <c r="CV146" s="14">
        <f t="shared" si="149"/>
        <v>7.5804141040779151E-13</v>
      </c>
      <c r="CW146" s="22">
        <f t="shared" si="121"/>
        <v>1.4005661123635408E-12</v>
      </c>
      <c r="CX146" s="62">
        <f t="shared" si="122"/>
        <v>293.33333333333474</v>
      </c>
      <c r="CY146" s="62">
        <f ca="1">AVERAGE(OFFSET($CX$3,0,0,'Données projet'!$E$13+1,1))-AVERAGE(OFFSET($H$3,0,0,'Données projet'!$E$13+1,1))</f>
        <v>365.492319515595</v>
      </c>
      <c r="CZ146" s="62">
        <f t="shared" si="150"/>
        <v>351.38386928091433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35.629603030025535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35.629603030025535</v>
      </c>
      <c r="DJ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8.1590000000000025</v>
      </c>
      <c r="DO146" s="13">
        <f>IF('Données projet'!$A$166&gt;35,DO145+DN146-DW145,IF(A146&lt;'Données projet'!$A$166,$DL$205^A146,IF(A146='Données projet'!$A$166,'Données projet'!$B$166,DO145+DN146-DW145)))</f>
        <v>455.07100000000059</v>
      </c>
      <c r="DP146" s="18">
        <f>DO146*VLOOKUP('Données projet'!$B$14,Paramètres!$A$1:$I$89,3,0)*VLOOKUP('Données projet'!$B$14,Paramètres!$A$1:$I$89,5,0)</f>
        <v>383.35181040000055</v>
      </c>
      <c r="DQ146" s="14">
        <f t="shared" si="151"/>
        <v>88.393195079311695</v>
      </c>
      <c r="DR146" s="22">
        <f t="shared" si="124"/>
        <v>821.62255120980205</v>
      </c>
      <c r="DS146" s="62">
        <f t="shared" si="125"/>
        <v>1114.9558845431354</v>
      </c>
      <c r="DT146" s="62">
        <f ca="1">AVERAGE(OFFSET($DS$3,0,0,'Données projet'!$E$14+1,1))-AVERAGE(OFFSET($H$3,0,0,'Données projet'!$E$14+1,1))</f>
        <v>544.89250424794909</v>
      </c>
      <c r="DU146" s="62">
        <f t="shared" si="152"/>
        <v>253.98688498110715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48.729852943027424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48.729852943027424</v>
      </c>
      <c r="EE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8.1590000000000025</v>
      </c>
      <c r="EJ146" s="13">
        <f>IF('Données projet'!$A$192&gt;35,EJ145+EI146-ER145,IF(A146&lt;'Données projet'!$A$192,$EG$205^A146,IF(A146='Données projet'!$A$192,'Données projet'!$B$192,EJ145+EI146-ER145)))</f>
        <v>455.07100000000059</v>
      </c>
      <c r="EK146" s="18">
        <f>EJ146*VLOOKUP('Données projet'!$B$15,Paramètres!$A$1:$I$89,3,0)*VLOOKUP('Données projet'!$B$15,Paramètres!$A$1:$I$89,5,0)</f>
        <v>411.74824080000053</v>
      </c>
      <c r="EL146" s="14">
        <f t="shared" si="153"/>
        <v>94.15441323509782</v>
      </c>
      <c r="EM146" s="22">
        <f t="shared" si="127"/>
        <v>881.11378911112968</v>
      </c>
      <c r="EN146" s="62">
        <f t="shared" si="128"/>
        <v>1174.447122444463</v>
      </c>
      <c r="EO146" s="62">
        <f ca="1">AVERAGE(OFFSET($EN$3,0,0,'Données projet'!$E$15+1,1))-AVERAGE(OFFSET($H$3,0,0,'Données projet'!$E$15+1,1))</f>
        <v>581.88778927327667</v>
      </c>
      <c r="EP146" s="62">
        <f t="shared" si="154"/>
        <v>269.67340993773422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52.339471679547984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52.339471679547984</v>
      </c>
      <c r="EZ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8.1590000000000025</v>
      </c>
      <c r="FE146" s="13">
        <f>IF('Données projet'!$A$218&gt;35,FE145+FD146-FM145,IF(A146&lt;'Données projet'!$A$218,$FB$205^A146,IF(A146='Données projet'!$A$218,'Données projet'!$B$218,FE145+FD146-FM145)))</f>
        <v>455.07100000000059</v>
      </c>
      <c r="FF146" s="18">
        <f>FE146*VLOOKUP('Données projet'!$B$16,Paramètres!$A$1:$I$89,3,0)*VLOOKUP('Données projet'!$B$16,Paramètres!$A$1:$I$89,5,0)</f>
        <v>461.44199400000065</v>
      </c>
      <c r="FG146" s="14">
        <f t="shared" si="155"/>
        <v>104.12762144113498</v>
      </c>
      <c r="FH146" s="22">
        <f t="shared" si="130"/>
        <v>985.03374689331122</v>
      </c>
      <c r="FI146" s="62">
        <f t="shared" si="131"/>
        <v>1278.3670802266445</v>
      </c>
      <c r="FJ146" s="62">
        <f ca="1">AVERAGE(OFFSET($FI$3,0,0,'Données projet'!$E$16+1,1))-AVERAGE(OFFSET($H$3,0,0,'Données projet'!$E$16+1,1))</f>
        <v>646.50767193970182</v>
      </c>
      <c r="FK146" s="62">
        <f t="shared" si="156"/>
        <v>297.06786598620607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58.656304468458949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58.656304468458949</v>
      </c>
      <c r="FU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8.1590000000000025</v>
      </c>
      <c r="FZ146" s="13">
        <f>IF('Données projet'!$A$244&gt;35,FZ145+FY146-GH145,IF(A146&lt;'Données projet'!$A$244,$FW$205^A146,IF(A146='Données projet'!$A$244,'Données projet'!$B$244,FZ145+FY146-GH145)))</f>
        <v>455.07100000000059</v>
      </c>
      <c r="GA146" s="18">
        <f>FZ146*VLOOKUP('Données projet'!$B$17,Paramètres!$A$1:$I$89,3,0)*VLOOKUP('Données projet'!$B$17,Paramètres!$A$1:$I$89,5,0)</f>
        <v>305.26162680000044</v>
      </c>
      <c r="GB146" s="14">
        <f t="shared" si="157"/>
        <v>72.278383902201966</v>
      </c>
      <c r="GC146" s="22">
        <f t="shared" si="133"/>
        <v>657.54885197300246</v>
      </c>
      <c r="GD146" s="62">
        <f t="shared" si="134"/>
        <v>950.88218530633571</v>
      </c>
      <c r="GE146" s="62">
        <f ca="1">AVERAGE(OFFSET($GD$3,0,0,'Données projet'!$E$17+1,1))-AVERAGE(OFFSET($H$3,0,0,'Données projet'!$E$17+1,1))</f>
        <v>442.85175349826028</v>
      </c>
      <c r="GF146" s="62">
        <f t="shared" si="158"/>
        <v>210.70697808232501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47.827448258897292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47.827448258897292</v>
      </c>
      <c r="GP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-3.4106051316484809E-13</v>
      </c>
      <c r="GV146" s="18">
        <f>GU146*VLOOKUP('Données projet'!$B$18,Paramètres!$A$1:$I$89,3,0)*VLOOKUP('Données projet'!$B$18,Paramètres!$A$1:$I$89,5,0)</f>
        <v>-3.2455318432766944E-13</v>
      </c>
      <c r="GW146" s="14" t="e">
        <f t="shared" si="159"/>
        <v>#NUM!</v>
      </c>
      <c r="GX146" s="22" t="e">
        <f t="shared" si="136"/>
        <v>#NUM!</v>
      </c>
      <c r="GY146" s="62" t="e">
        <f t="shared" si="137"/>
        <v>#NUM!</v>
      </c>
      <c r="GZ146" s="62">
        <f ca="1">AVERAGE(OFFSET($GY$3,0,0,'Données projet'!$E$18+1,1))-AVERAGE(OFFSET($H$3,0,0,'Données projet'!$E$18+1,1))</f>
        <v>420.2510366318939</v>
      </c>
      <c r="HA146" s="62">
        <f t="shared" si="160"/>
        <v>220.59884411514116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112.82251642445711</v>
      </c>
      <c r="HH146" s="23">
        <f>EXP(-LN(2)/25)*HH145+(1-EXP(-LN(2)/25))/(LN(2)/25)*Calculateur!HC146*Calculateur!HE146*VLOOKUP('Données projet'!$B$18,Paramètres!$A$1:$I$89,3,0)*0.475*44/12</f>
        <v>0</v>
      </c>
      <c r="HI146" s="23">
        <f>EXP(-LN(2)/2)*HI145+(1-EXP(-LN(2)/2))/(LN(2)/2)*HC146*HF146*VLOOKUP('Données projet'!$B$18,Paramètres!$A$1:$I$89,3,0)*0.475*44/12</f>
        <v>0</v>
      </c>
      <c r="HJ146" s="24">
        <f t="shared" si="138"/>
        <v>112.82251642445711</v>
      </c>
    </row>
    <row r="147" spans="1:218" s="5" customFormat="1" x14ac:dyDescent="0.2">
      <c r="A147" s="11">
        <f t="shared" si="139"/>
        <v>144</v>
      </c>
      <c r="B147" s="74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-4.5474735088646412E-13</v>
      </c>
      <c r="O147" s="14">
        <f>N147*VLOOKUP('Données projet'!$B$9,Paramètres!$A$1:$I$89,3,0)*VLOOKUP('Données projet'!$B$9,Paramètres!$A$1:$I$89,5,0)</f>
        <v>-3.9017322706058626E-13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623.31285537237943</v>
      </c>
      <c r="T147" s="62">
        <f t="shared" si="142"/>
        <v>462.33909258902241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117.70721379860059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117.70721379860059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4.9658410716801891E-14</v>
      </c>
      <c r="AK147" s="14">
        <f t="shared" si="143"/>
        <v>8.0934058173791862E-13</v>
      </c>
      <c r="AL147" s="22">
        <f t="shared" si="112"/>
        <v>1.4960899118586383E-12</v>
      </c>
      <c r="AM147" s="62">
        <f t="shared" si="113"/>
        <v>293.33333333333479</v>
      </c>
      <c r="AN147" s="62">
        <f ca="1">AVERAGE(OFFSET($AM$3,0,0,'Données projet'!$E$10+1,1))-AVERAGE(OFFSET($H$3,0,0,'Données projet'!$E$10+1,1))</f>
        <v>390.70479111593545</v>
      </c>
      <c r="AO147" s="62">
        <f t="shared" si="144"/>
        <v>374.99493809709708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46.366276849583045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46.366276849583045</v>
      </c>
      <c r="AY147" s="7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5.6843418860808015E-14</v>
      </c>
      <c r="BE147" s="14">
        <f>BD147*VLOOKUP('Données projet'!$B$11,Paramètres!$A$1:$I$89,3,0)*VLOOKUP('Données projet'!$B$11,Paramètres!$A$1:$I$89,5,0)</f>
        <v>4.5224624045658861E-14</v>
      </c>
      <c r="BF147" s="14">
        <f t="shared" si="145"/>
        <v>7.4514601661523691E-13</v>
      </c>
      <c r="BG147" s="22">
        <f t="shared" si="115"/>
        <v>1.3765621991510601E-12</v>
      </c>
      <c r="BH147" s="62">
        <f t="shared" si="116"/>
        <v>293.33333333333468</v>
      </c>
      <c r="BI147" s="62">
        <f ca="1">AVERAGE(OFFSET($BH$3,0,0,'Données projet'!$E$11+1,1))-AVERAGE(OFFSET($H$3,0,0,'Données projet'!$E$11+1,1))</f>
        <v>359.18294335011535</v>
      </c>
      <c r="BJ147" s="62">
        <f t="shared" si="146"/>
        <v>345.47508134331241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42.226430702298842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42.226430702298842</v>
      </c>
      <c r="BT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5.6843418860808015E-14</v>
      </c>
      <c r="BZ147" s="14">
        <f>BY147*VLOOKUP('Données projet'!$B$12,Paramètres!$A$1:$I$89,3,0)*VLOOKUP('Données projet'!$B$12,Paramètres!$A$1:$I$89,5,0)</f>
        <v>4.1677594708744434E-14</v>
      </c>
      <c r="CA147" s="14">
        <f t="shared" si="147"/>
        <v>6.9326303456159188E-13</v>
      </c>
      <c r="CB147" s="22">
        <f t="shared" si="118"/>
        <v>1.2800215959791691E-12</v>
      </c>
      <c r="CC147" s="62">
        <f t="shared" si="119"/>
        <v>293.33333333333462</v>
      </c>
      <c r="CD147" s="62">
        <f ca="1">AVERAGE(OFFSET($CC$3,0,0,'Données projet'!$E$12+1,1))-AVERAGE(OFFSET($H$3,0,0,'Données projet'!$E$12+1,1))</f>
        <v>333.9187211440219</v>
      </c>
      <c r="CE147" s="62">
        <f t="shared" si="148"/>
        <v>321.81422611044997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31.57218514589195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31.57218514589195</v>
      </c>
      <c r="CO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5.6843418860808015E-14</v>
      </c>
      <c r="CU147" s="18">
        <f>CT147*VLOOKUP('Données projet'!$B$13,Paramètres!$A$1:$I$89,3,0)*VLOOKUP('Données projet'!$B$13,Paramètres!$A$1:$I$89,5,0)</f>
        <v>4.6111381379887463E-14</v>
      </c>
      <c r="CV147" s="14">
        <f t="shared" si="149"/>
        <v>7.5804141040779151E-13</v>
      </c>
      <c r="CW147" s="22">
        <f t="shared" si="121"/>
        <v>1.4005661123635408E-12</v>
      </c>
      <c r="CX147" s="62">
        <f t="shared" si="122"/>
        <v>293.33333333333474</v>
      </c>
      <c r="CY147" s="62">
        <f ca="1">AVERAGE(OFFSET($CX$3,0,0,'Données projet'!$E$13+1,1))-AVERAGE(OFFSET($H$3,0,0,'Données projet'!$E$13+1,1))</f>
        <v>365.492319515595</v>
      </c>
      <c r="CZ147" s="62">
        <f t="shared" si="150"/>
        <v>351.38386928091433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34.930928246518732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34.930928246518732</v>
      </c>
      <c r="DJ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>
        <f>VLOOKUP(A147,'Données projet'!$A$165:$I$185,2,0)</f>
        <v>463.23</v>
      </c>
      <c r="DM147" s="13">
        <f>VLOOKUP(A147,'Données projet'!$A$165:$I$185,9,0)</f>
        <v>8.1590000000000025</v>
      </c>
      <c r="DN147" s="13">
        <f t="array" ref="DN147">INDEX(DM:DM,MIN(IF(ISNUMBER(DM147:DM343),ROW(DM147:DM343),"")))</f>
        <v>8.1590000000000025</v>
      </c>
      <c r="DO147" s="13">
        <f>IF('Données projet'!$A$166&gt;35,DO146+DN147-DW146,IF(A147&lt;'Données projet'!$A$166,$DL$205^A147,IF(A147='Données projet'!$A$166,'Données projet'!$B$166,DO146+DN147-DW146)))</f>
        <v>463.23000000000059</v>
      </c>
      <c r="DP147" s="18">
        <f>DO147*VLOOKUP('Données projet'!$B$14,Paramètres!$A$1:$I$89,3,0)*VLOOKUP('Données projet'!$B$14,Paramètres!$A$1:$I$89,5,0)</f>
        <v>390.22495200000054</v>
      </c>
      <c r="DQ147" s="14">
        <f t="shared" si="151"/>
        <v>89.792079713791566</v>
      </c>
      <c r="DR147" s="22">
        <f t="shared" si="124"/>
        <v>836.02966356818786</v>
      </c>
      <c r="DS147" s="62">
        <f t="shared" si="125"/>
        <v>1129.3629969015212</v>
      </c>
      <c r="DT147" s="62">
        <f ca="1">AVERAGE(OFFSET($DS$3,0,0,'Données projet'!$E$14+1,1))-AVERAGE(OFFSET($H$3,0,0,'Données projet'!$E$14+1,1))</f>
        <v>544.89250424794909</v>
      </c>
      <c r="DU147" s="62">
        <f t="shared" si="152"/>
        <v>253.98688498110715</v>
      </c>
      <c r="DV147" s="16">
        <f>IF(ISNA(VLOOKUP(A147,'Données projet'!$A$165:$I$185,3,0)),0,VLOOKUP(A147,'Données projet'!$A$165:$I$185,3,0))</f>
        <v>12</v>
      </c>
      <c r="DW147" s="16">
        <f>IF(ISNA(VLOOKUP(A147,'Données projet'!$A$165:$I$185,4,0)),0,VLOOKUP(A147,'Données projet'!$A$165:$I$185,4,0))</f>
        <v>56.01</v>
      </c>
      <c r="DX147" s="17">
        <f>IF(ISNA(VLOOKUP(A147,'Données projet'!$A$165:$I$185,5,0)),0%,VLOOKUP(A147,'Données projet'!$A$165:$I$185,5,0)*VLOOKUP('Données projet'!$B$14,Paramètres!$A$1:$I$89,7,0))</f>
        <v>0.30099999999999999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63.474213769859752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63.474213769859752</v>
      </c>
      <c r="EE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>
        <f>VLOOKUP(A147,'Données projet'!$A$191:$I$211,2,0)</f>
        <v>463.23</v>
      </c>
      <c r="EH147" s="13">
        <f>VLOOKUP(A147,'Données projet'!$A$191:$I$211,9,0)</f>
        <v>8.1590000000000025</v>
      </c>
      <c r="EI147" s="13">
        <f t="array" ref="EI147">INDEX(EH:EH,MIN(IF(ISNUMBER(EH147:EH343),ROW(EH147:EH343),"")))</f>
        <v>8.1590000000000025</v>
      </c>
      <c r="EJ147" s="13">
        <f>IF('Données projet'!$A$192&gt;35,EJ146+EI147-ER146,IF(A147&lt;'Données projet'!$A$192,$EG$205^A147,IF(A147='Données projet'!$A$192,'Données projet'!$B$192,EJ146+EI147-ER146)))</f>
        <v>463.23000000000059</v>
      </c>
      <c r="EK147" s="18">
        <f>EJ147*VLOOKUP('Données projet'!$B$15,Paramètres!$A$1:$I$89,3,0)*VLOOKUP('Données projet'!$B$15,Paramètres!$A$1:$I$89,5,0)</f>
        <v>419.13050400000049</v>
      </c>
      <c r="EL147" s="14">
        <f t="shared" si="153"/>
        <v>95.644473208887277</v>
      </c>
      <c r="EM147" s="22">
        <f t="shared" si="127"/>
        <v>896.56641863881293</v>
      </c>
      <c r="EN147" s="62">
        <f t="shared" si="128"/>
        <v>1189.8997519721463</v>
      </c>
      <c r="EO147" s="62">
        <f ca="1">AVERAGE(OFFSET($EN$3,0,0,'Données projet'!$E$15+1,1))-AVERAGE(OFFSET($H$3,0,0,'Données projet'!$E$15+1,1))</f>
        <v>581.88778927327667</v>
      </c>
      <c r="EP147" s="62">
        <f t="shared" si="154"/>
        <v>269.67340993773422</v>
      </c>
      <c r="EQ147" s="16">
        <f>IF(ISNA(VLOOKUP(A147,'Données projet'!$A$191:$I$211,3,0)),0,VLOOKUP(A147,'Données projet'!$A$191:$I$211,3,0))</f>
        <v>12</v>
      </c>
      <c r="ER147" s="16">
        <f>IF(ISNA(VLOOKUP(A147,'Données projet'!$A$191:$I$211,4,0)),0,VLOOKUP(A147,'Données projet'!$A$191:$I$211,4,0))</f>
        <v>56.01</v>
      </c>
      <c r="ES147" s="17">
        <f>IF(ISNA(VLOOKUP(A147,'Données projet'!$A$191:$I$211,5,0)),0%,VLOOKUP(A147,'Données projet'!$A$191:$I$211,5,0)*VLOOKUP('Données projet'!$B$15,Paramètres!$A$1:$I$89,7,0))</f>
        <v>0.30099999999999999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68.176007382441966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68.176007382441966</v>
      </c>
      <c r="EZ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>
        <f>VLOOKUP(A147,'Données projet'!$A$217:$I$237,2,0)</f>
        <v>463.23</v>
      </c>
      <c r="FC147" s="13">
        <f>VLOOKUP(A147,'Données projet'!$A$217:$I$237,9,0)</f>
        <v>8.1590000000000025</v>
      </c>
      <c r="FD147" s="13">
        <f t="array" ref="FD147">INDEX(FC:FC,MIN(IF(ISNUMBER(FC147:FC343),ROW(FC147:FC343),"")))</f>
        <v>8.1590000000000025</v>
      </c>
      <c r="FE147" s="13">
        <f>IF('Données projet'!$A$218&gt;35,FE146+FD147-FM146,IF(A147&lt;'Données projet'!$A$218,$FB$205^A147,IF(A147='Données projet'!$A$218,'Données projet'!$B$218,FE146+FD147-FM146)))</f>
        <v>463.23000000000059</v>
      </c>
      <c r="FF147" s="18">
        <f>FE147*VLOOKUP('Données projet'!$B$16,Paramètres!$A$1:$I$89,3,0)*VLOOKUP('Données projet'!$B$16,Paramètres!$A$1:$I$89,5,0)</f>
        <v>469.71522000000061</v>
      </c>
      <c r="FG147" s="14">
        <f t="shared" si="155"/>
        <v>105.77551446647743</v>
      </c>
      <c r="FH147" s="22">
        <f t="shared" si="130"/>
        <v>1002.3130291957826</v>
      </c>
      <c r="FI147" s="62">
        <f t="shared" si="131"/>
        <v>1295.646362529116</v>
      </c>
      <c r="FJ147" s="62">
        <f ca="1">AVERAGE(OFFSET($FI$3,0,0,'Données projet'!$E$16+1,1))-AVERAGE(OFFSET($H$3,0,0,'Données projet'!$E$16+1,1))</f>
        <v>646.50767193970182</v>
      </c>
      <c r="FK147" s="62">
        <f t="shared" si="156"/>
        <v>297.06786598620607</v>
      </c>
      <c r="FL147" s="16">
        <f>IF(ISNA(VLOOKUP(A147,'Données projet'!$A$217:$I$237,3,0)),0,VLOOKUP(A147,'Données projet'!$A$217:$I$237,3,0))</f>
        <v>12</v>
      </c>
      <c r="FM147" s="16">
        <f>IF(ISNA(VLOOKUP(A147,'Données projet'!$A$217:$I$237,4,0)),0,VLOOKUP(A147,'Données projet'!$A$217:$I$237,4,0))</f>
        <v>56.01</v>
      </c>
      <c r="FN147" s="17">
        <f>IF(ISNA(VLOOKUP(A147,'Données projet'!$A$217:$I$237,5,0)),0%,VLOOKUP(A147,'Données projet'!$A$217:$I$237,5,0)*VLOOKUP('Données projet'!$B$16,Paramètres!$A$1:$I$89,7,0))</f>
        <v>0.30099999999999999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76.404146204460829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76.404146204460829</v>
      </c>
      <c r="FU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>
        <f>VLOOKUP(A147,'Données projet'!$A$243:$I$263,2,0)</f>
        <v>463.23</v>
      </c>
      <c r="FX147" s="13">
        <f>VLOOKUP(A147,'Données projet'!$A$243:$I$263,9,0)</f>
        <v>8.1590000000000025</v>
      </c>
      <c r="FY147" s="13">
        <f t="array" ref="FY147">INDEX(FX:FX,MIN(IF(ISNUMBER(FX147:FX343),ROW(FX147:FX343),"")))</f>
        <v>8.1590000000000025</v>
      </c>
      <c r="FZ147" s="13">
        <f>IF('Données projet'!$A$244&gt;35,FZ146+FY147-GH146,IF(A147&lt;'Données projet'!$A$244,$FW$205^A147,IF(A147='Données projet'!$A$244,'Données projet'!$B$244,FZ146+FY147-GH146)))</f>
        <v>463.23000000000059</v>
      </c>
      <c r="GA147" s="18">
        <f>FZ147*VLOOKUP('Données projet'!$B$17,Paramètres!$A$1:$I$89,3,0)*VLOOKUP('Données projet'!$B$17,Paramètres!$A$1:$I$89,5,0)</f>
        <v>310.73468400000041</v>
      </c>
      <c r="GB147" s="14">
        <f t="shared" si="157"/>
        <v>73.422240287923742</v>
      </c>
      <c r="GC147" s="22">
        <f t="shared" si="133"/>
        <v>669.07330980146787</v>
      </c>
      <c r="GD147" s="62">
        <f t="shared" si="134"/>
        <v>962.40664313480124</v>
      </c>
      <c r="GE147" s="62">
        <f ca="1">AVERAGE(OFFSET($GD$3,0,0,'Données projet'!$E$17+1,1))-AVERAGE(OFFSET($H$3,0,0,'Données projet'!$E$17+1,1))</f>
        <v>442.85175349826028</v>
      </c>
      <c r="GF147" s="62">
        <f t="shared" si="158"/>
        <v>210.70697808232501</v>
      </c>
      <c r="GG147" s="16">
        <f>IF(ISNA(VLOOKUP(A147,'Données projet'!$A$243:$I$263,3,0)),0,VLOOKUP(A147,'Données projet'!$A$243:$I$263,3,0))</f>
        <v>12</v>
      </c>
      <c r="GH147" s="16">
        <f>IF(ISNA(VLOOKUP(A147,'Données projet'!$A$243:$I$263,4,0)),0,VLOOKUP(A147,'Données projet'!$A$243:$I$263,4,0))</f>
        <v>56.01</v>
      </c>
      <c r="GI147" s="17">
        <f>IF(ISNA(VLOOKUP(A147,'Données projet'!$A$243:$I$263,5,0)),0%,VLOOKUP(A147,'Données projet'!$A$243:$I$263,5,0)*VLOOKUP('Données projet'!$B$17,Paramètres!$A$1:$I$89,7,0))</f>
        <v>0.371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62.2987653667142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62.2987653667142</v>
      </c>
      <c r="GP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-3.4106051316484809E-13</v>
      </c>
      <c r="GV147" s="18">
        <f>GU147*VLOOKUP('Données projet'!$B$18,Paramètres!$A$1:$I$89,3,0)*VLOOKUP('Données projet'!$B$18,Paramètres!$A$1:$I$89,5,0)</f>
        <v>-3.2455318432766944E-13</v>
      </c>
      <c r="GW147" s="14" t="e">
        <f t="shared" si="159"/>
        <v>#NUM!</v>
      </c>
      <c r="GX147" s="22" t="e">
        <f t="shared" si="136"/>
        <v>#NUM!</v>
      </c>
      <c r="GY147" s="62" t="e">
        <f t="shared" si="137"/>
        <v>#NUM!</v>
      </c>
      <c r="GZ147" s="62">
        <f ca="1">AVERAGE(OFFSET($GY$3,0,0,'Données projet'!$E$18+1,1))-AVERAGE(OFFSET($H$3,0,0,'Données projet'!$E$18+1,1))</f>
        <v>420.2510366318939</v>
      </c>
      <c r="HA147" s="62">
        <f t="shared" si="160"/>
        <v>220.59884411514116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110.61013569231361</v>
      </c>
      <c r="HH147" s="23">
        <f>EXP(-LN(2)/25)*HH146+(1-EXP(-LN(2)/25))/(LN(2)/25)*Calculateur!HC147*Calculateur!HE147*VLOOKUP('Données projet'!$B$18,Paramètres!$A$1:$I$89,3,0)*0.475*44/12</f>
        <v>0</v>
      </c>
      <c r="HI147" s="23">
        <f>EXP(-LN(2)/2)*HI146+(1-EXP(-LN(2)/2))/(LN(2)/2)*HC147*HF147*VLOOKUP('Données projet'!$B$18,Paramètres!$A$1:$I$89,3,0)*0.475*44/12</f>
        <v>0</v>
      </c>
      <c r="HJ147" s="24">
        <f t="shared" si="138"/>
        <v>110.61013569231361</v>
      </c>
    </row>
    <row r="148" spans="1:218" s="5" customFormat="1" x14ac:dyDescent="0.2">
      <c r="A148" s="11">
        <f t="shared" si="139"/>
        <v>145</v>
      </c>
      <c r="B148" s="74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-4.5474735088646412E-13</v>
      </c>
      <c r="O148" s="14">
        <f>N148*VLOOKUP('Données projet'!$B$9,Paramètres!$A$1:$I$89,3,0)*VLOOKUP('Données projet'!$B$9,Paramètres!$A$1:$I$89,5,0)</f>
        <v>-3.9017322706058626E-13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623.31285537237943</v>
      </c>
      <c r="T148" s="62">
        <f t="shared" si="142"/>
        <v>462.33909258902241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115.39904713032135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115.39904713032135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4.9658410716801891E-14</v>
      </c>
      <c r="AK148" s="14">
        <f t="shared" si="143"/>
        <v>8.0934058173791862E-13</v>
      </c>
      <c r="AL148" s="22">
        <f t="shared" si="112"/>
        <v>1.4960899118586383E-12</v>
      </c>
      <c r="AM148" s="62">
        <f t="shared" si="113"/>
        <v>293.33333333333479</v>
      </c>
      <c r="AN148" s="62">
        <f ca="1">AVERAGE(OFFSET($AM$3,0,0,'Données projet'!$E$10+1,1))-AVERAGE(OFFSET($H$3,0,0,'Données projet'!$E$10+1,1))</f>
        <v>390.70479111593545</v>
      </c>
      <c r="AO148" s="62">
        <f t="shared" si="144"/>
        <v>374.99493809709708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45.45706244119912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45.45706244119912</v>
      </c>
      <c r="AY148" s="7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5.6843418860808015E-14</v>
      </c>
      <c r="BE148" s="14">
        <f>BD148*VLOOKUP('Données projet'!$B$11,Paramètres!$A$1:$I$89,3,0)*VLOOKUP('Données projet'!$B$11,Paramètres!$A$1:$I$89,5,0)</f>
        <v>4.5224624045658861E-14</v>
      </c>
      <c r="BF148" s="14">
        <f t="shared" si="145"/>
        <v>7.4514601661523691E-13</v>
      </c>
      <c r="BG148" s="22">
        <f t="shared" si="115"/>
        <v>1.3765621991510601E-12</v>
      </c>
      <c r="BH148" s="62">
        <f t="shared" si="116"/>
        <v>293.33333333333468</v>
      </c>
      <c r="BI148" s="62">
        <f ca="1">AVERAGE(OFFSET($BH$3,0,0,'Données projet'!$E$11+1,1))-AVERAGE(OFFSET($H$3,0,0,'Données projet'!$E$11+1,1))</f>
        <v>359.18294335011535</v>
      </c>
      <c r="BJ148" s="62">
        <f t="shared" si="146"/>
        <v>345.47508134331241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41.398396151806338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41.398396151806338</v>
      </c>
      <c r="BT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5.6843418860808015E-14</v>
      </c>
      <c r="BZ148" s="14">
        <f>BY148*VLOOKUP('Données projet'!$B$12,Paramètres!$A$1:$I$89,3,0)*VLOOKUP('Données projet'!$B$12,Paramètres!$A$1:$I$89,5,0)</f>
        <v>4.1677594708744434E-14</v>
      </c>
      <c r="CA148" s="14">
        <f t="shared" si="147"/>
        <v>6.9326303456159188E-13</v>
      </c>
      <c r="CB148" s="22">
        <f t="shared" si="118"/>
        <v>1.2800215959791691E-12</v>
      </c>
      <c r="CC148" s="62">
        <f t="shared" si="119"/>
        <v>293.33333333333462</v>
      </c>
      <c r="CD148" s="62">
        <f ca="1">AVERAGE(OFFSET($CC$3,0,0,'Données projet'!$E$12+1,1))-AVERAGE(OFFSET($H$3,0,0,'Données projet'!$E$12+1,1))</f>
        <v>333.9187211440219</v>
      </c>
      <c r="CE148" s="62">
        <f t="shared" si="148"/>
        <v>321.81422611044997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30.953073852312464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30.953073852312464</v>
      </c>
      <c r="CO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5.6843418860808015E-14</v>
      </c>
      <c r="CU148" s="18">
        <f>CT148*VLOOKUP('Données projet'!$B$13,Paramètres!$A$1:$I$89,3,0)*VLOOKUP('Données projet'!$B$13,Paramètres!$A$1:$I$89,5,0)</f>
        <v>4.6111381379887463E-14</v>
      </c>
      <c r="CV148" s="14">
        <f t="shared" si="149"/>
        <v>7.5804141040779151E-13</v>
      </c>
      <c r="CW148" s="22">
        <f t="shared" si="121"/>
        <v>1.4005661123635408E-12</v>
      </c>
      <c r="CX148" s="62">
        <f t="shared" si="122"/>
        <v>293.33333333333474</v>
      </c>
      <c r="CY148" s="62">
        <f ca="1">AVERAGE(OFFSET($CX$3,0,0,'Données projet'!$E$13+1,1))-AVERAGE(OFFSET($H$3,0,0,'Données projet'!$E$13+1,1))</f>
        <v>365.492319515595</v>
      </c>
      <c r="CZ148" s="62">
        <f t="shared" si="150"/>
        <v>351.38386928091433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34.245954049366958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34.245954049366958</v>
      </c>
      <c r="DJ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8.3249999999999993</v>
      </c>
      <c r="DO148" s="13">
        <f>IF('Données projet'!$A$166&gt;35,DO147+DN148-DW147,IF(A148&lt;'Données projet'!$A$166,$DL$205^A148,IF(A148='Données projet'!$A$166,'Données projet'!$B$166,DO147+DN148-DW147)))</f>
        <v>415.54500000000058</v>
      </c>
      <c r="DP148" s="18">
        <f>DO148*VLOOKUP('Données projet'!$B$14,Paramètres!$A$1:$I$89,3,0)*VLOOKUP('Données projet'!$B$14,Paramètres!$A$1:$I$89,5,0)</f>
        <v>350.05510800000053</v>
      </c>
      <c r="DQ148" s="14">
        <f t="shared" si="151"/>
        <v>81.573858443603001</v>
      </c>
      <c r="DR148" s="22">
        <f t="shared" si="124"/>
        <v>751.7537832226094</v>
      </c>
      <c r="DS148" s="62">
        <f t="shared" si="125"/>
        <v>1045.0871165559427</v>
      </c>
      <c r="DT148" s="62">
        <f ca="1">AVERAGE(OFFSET($DS$3,0,0,'Données projet'!$E$14+1,1))-AVERAGE(OFFSET($H$3,0,0,'Données projet'!$E$14+1,1))</f>
        <v>544.89250424794909</v>
      </c>
      <c r="DU148" s="62">
        <f t="shared" si="152"/>
        <v>253.98688498110715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62.229523153280368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62.229523153280368</v>
      </c>
      <c r="EE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8.3249999999999993</v>
      </c>
      <c r="EJ148" s="13">
        <f>IF('Données projet'!$A$192&gt;35,EJ147+EI148-ER147,IF(A148&lt;'Données projet'!$A$192,$EG$205^A148,IF(A148='Données projet'!$A$192,'Données projet'!$B$192,EJ147+EI148-ER147)))</f>
        <v>415.54500000000058</v>
      </c>
      <c r="EK148" s="18">
        <f>EJ148*VLOOKUP('Données projet'!$B$15,Paramètres!$A$1:$I$89,3,0)*VLOOKUP('Données projet'!$B$15,Paramètres!$A$1:$I$89,5,0)</f>
        <v>375.98511600000052</v>
      </c>
      <c r="EL148" s="14">
        <f t="shared" si="153"/>
        <v>86.890611547517153</v>
      </c>
      <c r="EM148" s="22">
        <f t="shared" si="127"/>
        <v>806.17522547859323</v>
      </c>
      <c r="EN148" s="62">
        <f t="shared" si="128"/>
        <v>1099.5085588119266</v>
      </c>
      <c r="EO148" s="62">
        <f ca="1">AVERAGE(OFFSET($EN$3,0,0,'Données projet'!$E$15+1,1))-AVERAGE(OFFSET($H$3,0,0,'Données projet'!$E$15+1,1))</f>
        <v>581.88778927327667</v>
      </c>
      <c r="EP148" s="62">
        <f t="shared" si="154"/>
        <v>269.67340993773422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66.83911746093078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66.83911746093078</v>
      </c>
      <c r="EZ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8.3249999999999993</v>
      </c>
      <c r="FE148" s="13">
        <f>IF('Données projet'!$A$218&gt;35,FE147+FD148-FM147,IF(A148&lt;'Données projet'!$A$218,$FB$205^A148,IF(A148='Données projet'!$A$218,'Données projet'!$B$218,FE147+FD148-FM147)))</f>
        <v>415.54500000000058</v>
      </c>
      <c r="FF148" s="18">
        <f>FE148*VLOOKUP('Données projet'!$B$16,Paramètres!$A$1:$I$89,3,0)*VLOOKUP('Données projet'!$B$16,Paramètres!$A$1:$I$89,5,0)</f>
        <v>421.36263000000059</v>
      </c>
      <c r="FG148" s="14">
        <f t="shared" si="155"/>
        <v>96.094409121503247</v>
      </c>
      <c r="FH148" s="22">
        <f t="shared" si="130"/>
        <v>901.23767646995248</v>
      </c>
      <c r="FI148" s="62">
        <f t="shared" si="131"/>
        <v>1194.5710098032857</v>
      </c>
      <c r="FJ148" s="62">
        <f ca="1">AVERAGE(OFFSET($FI$3,0,0,'Données projet'!$E$16+1,1))-AVERAGE(OFFSET($H$3,0,0,'Données projet'!$E$16+1,1))</f>
        <v>646.50767193970182</v>
      </c>
      <c r="FK148" s="62">
        <f t="shared" si="156"/>
        <v>297.06786598620607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74.905907499318985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74.905907499318985</v>
      </c>
      <c r="FU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8.3249999999999993</v>
      </c>
      <c r="FZ148" s="13">
        <f>IF('Données projet'!$A$244&gt;35,FZ147+FY148-GH147,IF(A148&lt;'Données projet'!$A$244,$FW$205^A148,IF(A148='Données projet'!$A$244,'Données projet'!$B$244,FZ147+FY148-GH147)))</f>
        <v>415.54500000000058</v>
      </c>
      <c r="GA148" s="18">
        <f>FZ148*VLOOKUP('Données projet'!$B$17,Paramètres!$A$1:$I$89,3,0)*VLOOKUP('Données projet'!$B$17,Paramètres!$A$1:$I$89,5,0)</f>
        <v>278.74758600000041</v>
      </c>
      <c r="GB148" s="14">
        <f t="shared" si="157"/>
        <v>66.702268785287671</v>
      </c>
      <c r="GC148" s="22">
        <f t="shared" si="133"/>
        <v>601.65849708437679</v>
      </c>
      <c r="GD148" s="62">
        <f t="shared" si="134"/>
        <v>894.99183041771016</v>
      </c>
      <c r="GE148" s="62">
        <f ca="1">AVERAGE(OFFSET($GD$3,0,0,'Données projet'!$E$17+1,1))-AVERAGE(OFFSET($H$3,0,0,'Données projet'!$E$17+1,1))</f>
        <v>442.85175349826028</v>
      </c>
      <c r="GF148" s="62">
        <f t="shared" si="158"/>
        <v>210.70697808232501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61.077124576367765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61.077124576367765</v>
      </c>
      <c r="GP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-3.4106051316484809E-13</v>
      </c>
      <c r="GV148" s="18">
        <f>GU148*VLOOKUP('Données projet'!$B$18,Paramètres!$A$1:$I$89,3,0)*VLOOKUP('Données projet'!$B$18,Paramètres!$A$1:$I$89,5,0)</f>
        <v>-3.2455318432766944E-13</v>
      </c>
      <c r="GW148" s="14" t="e">
        <f t="shared" si="159"/>
        <v>#NUM!</v>
      </c>
      <c r="GX148" s="22" t="e">
        <f t="shared" si="136"/>
        <v>#NUM!</v>
      </c>
      <c r="GY148" s="62" t="e">
        <f t="shared" si="137"/>
        <v>#NUM!</v>
      </c>
      <c r="GZ148" s="62">
        <f ca="1">AVERAGE(OFFSET($GY$3,0,0,'Données projet'!$E$18+1,1))-AVERAGE(OFFSET($H$3,0,0,'Données projet'!$E$18+1,1))</f>
        <v>420.2510366318939</v>
      </c>
      <c r="HA148" s="62">
        <f t="shared" si="160"/>
        <v>220.59884411514116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108.44113839690844</v>
      </c>
      <c r="HH148" s="23">
        <f>EXP(-LN(2)/25)*HH147+(1-EXP(-LN(2)/25))/(LN(2)/25)*Calculateur!HC148*Calculateur!HE148*VLOOKUP('Données projet'!$B$18,Paramètres!$A$1:$I$89,3,0)*0.475*44/12</f>
        <v>0</v>
      </c>
      <c r="HI148" s="23">
        <f>EXP(-LN(2)/2)*HI147+(1-EXP(-LN(2)/2))/(LN(2)/2)*HC148*HF148*VLOOKUP('Données projet'!$B$18,Paramètres!$A$1:$I$89,3,0)*0.475*44/12</f>
        <v>0</v>
      </c>
      <c r="HJ148" s="24">
        <f t="shared" si="138"/>
        <v>108.44113839690844</v>
      </c>
    </row>
    <row r="149" spans="1:218" s="5" customFormat="1" x14ac:dyDescent="0.2">
      <c r="A149" s="11">
        <f t="shared" si="139"/>
        <v>146</v>
      </c>
      <c r="B149" s="74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-4.5474735088646412E-13</v>
      </c>
      <c r="O149" s="14">
        <f>N149*VLOOKUP('Données projet'!$B$9,Paramètres!$A$1:$I$89,3,0)*VLOOKUP('Données projet'!$B$9,Paramètres!$A$1:$I$89,5,0)</f>
        <v>-3.9017322706058626E-13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623.31285537237943</v>
      </c>
      <c r="T149" s="62">
        <f t="shared" si="142"/>
        <v>462.33909258902241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113.13614220256441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113.13614220256441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4.9658410716801891E-14</v>
      </c>
      <c r="AK149" s="14">
        <f t="shared" si="143"/>
        <v>8.0934058173791862E-13</v>
      </c>
      <c r="AL149" s="22">
        <f t="shared" si="112"/>
        <v>1.4960899118586383E-12</v>
      </c>
      <c r="AM149" s="62">
        <f t="shared" si="113"/>
        <v>293.33333333333479</v>
      </c>
      <c r="AN149" s="62">
        <f ca="1">AVERAGE(OFFSET($AM$3,0,0,'Données projet'!$E$10+1,1))-AVERAGE(OFFSET($H$3,0,0,'Données projet'!$E$10+1,1))</f>
        <v>390.70479111593545</v>
      </c>
      <c r="AO149" s="62">
        <f t="shared" si="144"/>
        <v>374.99493809709708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44.565677172797571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44.565677172797571</v>
      </c>
      <c r="AY149" s="7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5.6843418860808015E-14</v>
      </c>
      <c r="BE149" s="14">
        <f>BD149*VLOOKUP('Données projet'!$B$11,Paramètres!$A$1:$I$89,3,0)*VLOOKUP('Données projet'!$B$11,Paramètres!$A$1:$I$89,5,0)</f>
        <v>4.5224624045658861E-14</v>
      </c>
      <c r="BF149" s="14">
        <f t="shared" si="145"/>
        <v>7.4514601661523691E-13</v>
      </c>
      <c r="BG149" s="22">
        <f t="shared" si="115"/>
        <v>1.3765621991510601E-12</v>
      </c>
      <c r="BH149" s="62">
        <f t="shared" si="116"/>
        <v>293.33333333333468</v>
      </c>
      <c r="BI149" s="62">
        <f ca="1">AVERAGE(OFFSET($BH$3,0,0,'Données projet'!$E$11+1,1))-AVERAGE(OFFSET($H$3,0,0,'Données projet'!$E$11+1,1))</f>
        <v>359.18294335011535</v>
      </c>
      <c r="BJ149" s="62">
        <f t="shared" si="146"/>
        <v>345.47508134331241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40.586598853797788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40.586598853797788</v>
      </c>
      <c r="BT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5.6843418860808015E-14</v>
      </c>
      <c r="BZ149" s="14">
        <f>BY149*VLOOKUP('Données projet'!$B$12,Paramètres!$A$1:$I$89,3,0)*VLOOKUP('Données projet'!$B$12,Paramètres!$A$1:$I$89,5,0)</f>
        <v>4.1677594708744434E-14</v>
      </c>
      <c r="CA149" s="14">
        <f t="shared" si="147"/>
        <v>6.9326303456159188E-13</v>
      </c>
      <c r="CB149" s="22">
        <f t="shared" si="118"/>
        <v>1.2800215959791691E-12</v>
      </c>
      <c r="CC149" s="62">
        <f t="shared" si="119"/>
        <v>293.33333333333462</v>
      </c>
      <c r="CD149" s="62">
        <f ca="1">AVERAGE(OFFSET($CC$3,0,0,'Données projet'!$E$12+1,1))-AVERAGE(OFFSET($H$3,0,0,'Données projet'!$E$12+1,1))</f>
        <v>333.9187211440219</v>
      </c>
      <c r="CE149" s="62">
        <f t="shared" si="148"/>
        <v>321.81422611044997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30.346102953579468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30.346102953579468</v>
      </c>
      <c r="CO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5.6843418860808015E-14</v>
      </c>
      <c r="CU149" s="18">
        <f>CT149*VLOOKUP('Données projet'!$B$13,Paramètres!$A$1:$I$89,3,0)*VLOOKUP('Données projet'!$B$13,Paramètres!$A$1:$I$89,5,0)</f>
        <v>4.6111381379887463E-14</v>
      </c>
      <c r="CV149" s="14">
        <f t="shared" si="149"/>
        <v>7.5804141040779151E-13</v>
      </c>
      <c r="CW149" s="22">
        <f t="shared" si="121"/>
        <v>1.4005661123635408E-12</v>
      </c>
      <c r="CX149" s="62">
        <f t="shared" si="122"/>
        <v>293.33333333333474</v>
      </c>
      <c r="CY149" s="62">
        <f ca="1">AVERAGE(OFFSET($CX$3,0,0,'Données projet'!$E$13+1,1))-AVERAGE(OFFSET($H$3,0,0,'Données projet'!$E$13+1,1))</f>
        <v>365.492319515595</v>
      </c>
      <c r="CZ149" s="62">
        <f t="shared" si="150"/>
        <v>351.38386928091433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33.574411778428328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33.574411778428328</v>
      </c>
      <c r="DJ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8.3249999999999993</v>
      </c>
      <c r="DO149" s="13">
        <f>IF('Données projet'!$A$166&gt;35,DO148+DN149-DW148,IF(A149&lt;'Données projet'!$A$166,$DL$205^A149,IF(A149='Données projet'!$A$166,'Données projet'!$B$166,DO148+DN149-DW148)))</f>
        <v>423.87000000000057</v>
      </c>
      <c r="DP149" s="18">
        <f>DO149*VLOOKUP('Données projet'!$B$14,Paramètres!$A$1:$I$89,3,0)*VLOOKUP('Données projet'!$B$14,Paramètres!$A$1:$I$89,5,0)</f>
        <v>357.0680880000005</v>
      </c>
      <c r="DQ149" s="14">
        <f t="shared" si="151"/>
        <v>83.016206127081631</v>
      </c>
      <c r="DR149" s="22">
        <f t="shared" si="124"/>
        <v>766.480145604668</v>
      </c>
      <c r="DS149" s="62">
        <f t="shared" si="125"/>
        <v>1059.8134789380013</v>
      </c>
      <c r="DT149" s="62">
        <f ca="1">AVERAGE(OFFSET($DS$3,0,0,'Données projet'!$E$14+1,1))-AVERAGE(OFFSET($H$3,0,0,'Données projet'!$E$14+1,1))</f>
        <v>544.89250424794909</v>
      </c>
      <c r="DU149" s="62">
        <f t="shared" si="152"/>
        <v>253.98688498110715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61.009240160505797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61.009240160505797</v>
      </c>
      <c r="EE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8.3249999999999993</v>
      </c>
      <c r="EJ149" s="13">
        <f>IF('Données projet'!$A$192&gt;35,EJ148+EI149-ER148,IF(A149&lt;'Données projet'!$A$192,$EG$205^A149,IF(A149='Données projet'!$A$192,'Données projet'!$B$192,EJ148+EI149-ER148)))</f>
        <v>423.87000000000057</v>
      </c>
      <c r="EK149" s="18">
        <f>EJ149*VLOOKUP('Données projet'!$B$15,Paramètres!$A$1:$I$89,3,0)*VLOOKUP('Données projet'!$B$15,Paramètres!$A$1:$I$89,5,0)</f>
        <v>383.51757600000053</v>
      </c>
      <c r="EL149" s="14">
        <f t="shared" si="153"/>
        <v>88.426967368766455</v>
      </c>
      <c r="EM149" s="22">
        <f t="shared" si="127"/>
        <v>821.97007970060247</v>
      </c>
      <c r="EN149" s="62">
        <f t="shared" si="128"/>
        <v>1115.3034130339358</v>
      </c>
      <c r="EO149" s="62">
        <f ca="1">AVERAGE(OFFSET($EN$3,0,0,'Données projet'!$E$15+1,1))-AVERAGE(OFFSET($H$3,0,0,'Données projet'!$E$15+1,1))</f>
        <v>581.88778927327667</v>
      </c>
      <c r="EP149" s="62">
        <f t="shared" si="154"/>
        <v>269.67340993773422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65.528443135358089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65.528443135358089</v>
      </c>
      <c r="EZ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8.3249999999999993</v>
      </c>
      <c r="FE149" s="13">
        <f>IF('Données projet'!$A$218&gt;35,FE148+FD149-FM148,IF(A149&lt;'Données projet'!$A$218,$FB$205^A149,IF(A149='Données projet'!$A$218,'Données projet'!$B$218,FE148+FD149-FM148)))</f>
        <v>423.87000000000057</v>
      </c>
      <c r="FF149" s="18">
        <f>FE149*VLOOKUP('Données projet'!$B$16,Paramètres!$A$1:$I$89,3,0)*VLOOKUP('Données projet'!$B$16,Paramètres!$A$1:$I$89,5,0)</f>
        <v>429.8041800000006</v>
      </c>
      <c r="FG149" s="14">
        <f t="shared" si="155"/>
        <v>97.793501833753268</v>
      </c>
      <c r="FH149" s="22">
        <f t="shared" si="130"/>
        <v>918.89929586045457</v>
      </c>
      <c r="FI149" s="62">
        <f t="shared" si="131"/>
        <v>1212.2326291937879</v>
      </c>
      <c r="FJ149" s="62">
        <f ca="1">AVERAGE(OFFSET($FI$3,0,0,'Données projet'!$E$16+1,1))-AVERAGE(OFFSET($H$3,0,0,'Données projet'!$E$16+1,1))</f>
        <v>646.50767193970182</v>
      </c>
      <c r="FK149" s="62">
        <f t="shared" si="156"/>
        <v>297.06786598620607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73.437048341349595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73.437048341349595</v>
      </c>
      <c r="FU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8.3249999999999993</v>
      </c>
      <c r="FZ149" s="13">
        <f>IF('Données projet'!$A$244&gt;35,FZ148+FY149-GH148,IF(A149&lt;'Données projet'!$A$244,$FW$205^A149,IF(A149='Données projet'!$A$244,'Données projet'!$B$244,FZ148+FY149-GH148)))</f>
        <v>423.87000000000057</v>
      </c>
      <c r="GA149" s="18">
        <f>FZ149*VLOOKUP('Données projet'!$B$17,Paramètres!$A$1:$I$89,3,0)*VLOOKUP('Données projet'!$B$17,Paramètres!$A$1:$I$89,5,0)</f>
        <v>284.3319960000004</v>
      </c>
      <c r="GB149" s="14">
        <f t="shared" si="157"/>
        <v>67.88166454639088</v>
      </c>
      <c r="GC149" s="22">
        <f t="shared" si="133"/>
        <v>613.43879211829812</v>
      </c>
      <c r="GD149" s="62">
        <f t="shared" si="134"/>
        <v>906.77212545163138</v>
      </c>
      <c r="GE149" s="62">
        <f ca="1">AVERAGE(OFFSET($GD$3,0,0,'Données projet'!$E$17+1,1))-AVERAGE(OFFSET($H$3,0,0,'Données projet'!$E$17+1,1))</f>
        <v>442.85175349826028</v>
      </c>
      <c r="GF149" s="62">
        <f t="shared" si="158"/>
        <v>210.70697808232501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59.879439416792721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59.879439416792721</v>
      </c>
      <c r="GP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-3.4106051316484809E-13</v>
      </c>
      <c r="GV149" s="18">
        <f>GU149*VLOOKUP('Données projet'!$B$18,Paramètres!$A$1:$I$89,3,0)*VLOOKUP('Données projet'!$B$18,Paramètres!$A$1:$I$89,5,0)</f>
        <v>-3.2455318432766944E-13</v>
      </c>
      <c r="GW149" s="14" t="e">
        <f t="shared" si="159"/>
        <v>#NUM!</v>
      </c>
      <c r="GX149" s="22" t="e">
        <f t="shared" si="136"/>
        <v>#NUM!</v>
      </c>
      <c r="GY149" s="62" t="e">
        <f t="shared" si="137"/>
        <v>#NUM!</v>
      </c>
      <c r="GZ149" s="62">
        <f ca="1">AVERAGE(OFFSET($GY$3,0,0,'Données projet'!$E$18+1,1))-AVERAGE(OFFSET($H$3,0,0,'Données projet'!$E$18+1,1))</f>
        <v>420.2510366318939</v>
      </c>
      <c r="HA149" s="62">
        <f t="shared" si="160"/>
        <v>220.59884411514116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106.31467381550846</v>
      </c>
      <c r="HH149" s="23">
        <f>EXP(-LN(2)/25)*HH148+(1-EXP(-LN(2)/25))/(LN(2)/25)*Calculateur!HC149*Calculateur!HE149*VLOOKUP('Données projet'!$B$18,Paramètres!$A$1:$I$89,3,0)*0.475*44/12</f>
        <v>0</v>
      </c>
      <c r="HI149" s="23">
        <f>EXP(-LN(2)/2)*HI148+(1-EXP(-LN(2)/2))/(LN(2)/2)*HC149*HF149*VLOOKUP('Données projet'!$B$18,Paramètres!$A$1:$I$89,3,0)*0.475*44/12</f>
        <v>0</v>
      </c>
      <c r="HJ149" s="24">
        <f t="shared" si="138"/>
        <v>106.31467381550846</v>
      </c>
    </row>
    <row r="150" spans="1:218" s="5" customFormat="1" x14ac:dyDescent="0.2">
      <c r="A150" s="11">
        <f t="shared" si="139"/>
        <v>147</v>
      </c>
      <c r="B150" s="74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-4.5474735088646412E-13</v>
      </c>
      <c r="O150" s="14">
        <f>N150*VLOOKUP('Données projet'!$B$9,Paramètres!$A$1:$I$89,3,0)*VLOOKUP('Données projet'!$B$9,Paramètres!$A$1:$I$89,5,0)</f>
        <v>-3.9017322706058626E-13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623.31285537237943</v>
      </c>
      <c r="T150" s="62">
        <f t="shared" si="142"/>
        <v>462.33909258902241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110.91761146020507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110.91761146020507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4.9658410716801891E-14</v>
      </c>
      <c r="AK150" s="14">
        <f t="shared" si="143"/>
        <v>8.0934058173791862E-13</v>
      </c>
      <c r="AL150" s="22">
        <f t="shared" si="112"/>
        <v>1.4960899118586383E-12</v>
      </c>
      <c r="AM150" s="62">
        <f t="shared" si="113"/>
        <v>293.33333333333479</v>
      </c>
      <c r="AN150" s="62">
        <f ca="1">AVERAGE(OFFSET($AM$3,0,0,'Données projet'!$E$10+1,1))-AVERAGE(OFFSET($H$3,0,0,'Données projet'!$E$10+1,1))</f>
        <v>390.70479111593545</v>
      </c>
      <c r="AO150" s="62">
        <f t="shared" si="144"/>
        <v>374.99493809709708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43.691771425818047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43.691771425818047</v>
      </c>
      <c r="AY150" s="7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5.6843418860808015E-14</v>
      </c>
      <c r="BE150" s="14">
        <f>BD150*VLOOKUP('Données projet'!$B$11,Paramètres!$A$1:$I$89,3,0)*VLOOKUP('Données projet'!$B$11,Paramètres!$A$1:$I$89,5,0)</f>
        <v>4.5224624045658861E-14</v>
      </c>
      <c r="BF150" s="14">
        <f t="shared" si="145"/>
        <v>7.4514601661523691E-13</v>
      </c>
      <c r="BG150" s="22">
        <f t="shared" si="115"/>
        <v>1.3765621991510601E-12</v>
      </c>
      <c r="BH150" s="62">
        <f t="shared" si="116"/>
        <v>293.33333333333468</v>
      </c>
      <c r="BI150" s="62">
        <f ca="1">AVERAGE(OFFSET($BH$3,0,0,'Données projet'!$E$11+1,1))-AVERAGE(OFFSET($H$3,0,0,'Données projet'!$E$11+1,1))</f>
        <v>359.18294335011535</v>
      </c>
      <c r="BJ150" s="62">
        <f t="shared" si="146"/>
        <v>345.47508134331241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39.790720405655726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39.790720405655726</v>
      </c>
      <c r="BT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5.6843418860808015E-14</v>
      </c>
      <c r="BZ150" s="14">
        <f>BY150*VLOOKUP('Données projet'!$B$12,Paramètres!$A$1:$I$89,3,0)*VLOOKUP('Données projet'!$B$12,Paramètres!$A$1:$I$89,5,0)</f>
        <v>4.1677594708744434E-14</v>
      </c>
      <c r="CA150" s="14">
        <f t="shared" si="147"/>
        <v>6.9326303456159188E-13</v>
      </c>
      <c r="CB150" s="22">
        <f t="shared" si="118"/>
        <v>1.2800215959791691E-12</v>
      </c>
      <c r="CC150" s="62">
        <f t="shared" si="119"/>
        <v>293.33333333333462</v>
      </c>
      <c r="CD150" s="62">
        <f ca="1">AVERAGE(OFFSET($CC$3,0,0,'Données projet'!$E$12+1,1))-AVERAGE(OFFSET($H$3,0,0,'Données projet'!$E$12+1,1))</f>
        <v>333.9187211440219</v>
      </c>
      <c r="CE150" s="62">
        <f t="shared" si="148"/>
        <v>321.81422611044997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29.751034383954934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29.751034383954934</v>
      </c>
      <c r="CO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5.6843418860808015E-14</v>
      </c>
      <c r="CU150" s="18">
        <f>CT150*VLOOKUP('Données projet'!$B$13,Paramètres!$A$1:$I$89,3,0)*VLOOKUP('Données projet'!$B$13,Paramètres!$A$1:$I$89,5,0)</f>
        <v>4.6111381379887463E-14</v>
      </c>
      <c r="CV150" s="14">
        <f t="shared" si="149"/>
        <v>7.5804141040779151E-13</v>
      </c>
      <c r="CW150" s="22">
        <f t="shared" si="121"/>
        <v>1.4005661123635408E-12</v>
      </c>
      <c r="CX150" s="62">
        <f t="shared" si="122"/>
        <v>293.33333333333474</v>
      </c>
      <c r="CY150" s="62">
        <f ca="1">AVERAGE(OFFSET($CX$3,0,0,'Données projet'!$E$13+1,1))-AVERAGE(OFFSET($H$3,0,0,'Données projet'!$E$13+1,1))</f>
        <v>365.492319515595</v>
      </c>
      <c r="CZ150" s="62">
        <f t="shared" si="150"/>
        <v>351.38386928091433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32.916038041822461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32.916038041822461</v>
      </c>
      <c r="DJ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8.3249999999999993</v>
      </c>
      <c r="DO150" s="13">
        <f>IF('Données projet'!$A$166&gt;35,DO149+DN150-DW149,IF(A150&lt;'Données projet'!$A$166,$DL$205^A150,IF(A150='Données projet'!$A$166,'Données projet'!$B$166,DO149+DN150-DW149)))</f>
        <v>432.19500000000056</v>
      </c>
      <c r="DP150" s="18">
        <f>DO150*VLOOKUP('Données projet'!$B$14,Paramètres!$A$1:$I$89,3,0)*VLOOKUP('Données projet'!$B$14,Paramètres!$A$1:$I$89,5,0)</f>
        <v>364.08106800000053</v>
      </c>
      <c r="DQ150" s="14">
        <f t="shared" si="151"/>
        <v>84.455259931237222</v>
      </c>
      <c r="DR150" s="22">
        <f t="shared" si="124"/>
        <v>781.20077114690582</v>
      </c>
      <c r="DS150" s="62">
        <f t="shared" si="125"/>
        <v>1074.5341044802392</v>
      </c>
      <c r="DT150" s="62">
        <f ca="1">AVERAGE(OFFSET($DS$3,0,0,'Données projet'!$E$14+1,1))-AVERAGE(OFFSET($H$3,0,0,'Données projet'!$E$14+1,1))</f>
        <v>544.89250424794909</v>
      </c>
      <c r="DU150" s="62">
        <f t="shared" si="152"/>
        <v>253.98688498110715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59.8128861729204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59.8128861729204</v>
      </c>
      <c r="EE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8.3249999999999993</v>
      </c>
      <c r="EJ150" s="13">
        <f>IF('Données projet'!$A$192&gt;35,EJ149+EI150-ER149,IF(A150&lt;'Données projet'!$A$192,$EG$205^A150,IF(A150='Données projet'!$A$192,'Données projet'!$B$192,EJ149+EI150-ER149)))</f>
        <v>432.19500000000056</v>
      </c>
      <c r="EK150" s="18">
        <f>EJ150*VLOOKUP('Données projet'!$B$15,Paramètres!$A$1:$I$89,3,0)*VLOOKUP('Données projet'!$B$15,Paramètres!$A$1:$I$89,5,0)</f>
        <v>391.05003600000049</v>
      </c>
      <c r="EL150" s="14">
        <f t="shared" si="153"/>
        <v>89.959814624965674</v>
      </c>
      <c r="EM150" s="22">
        <f t="shared" si="127"/>
        <v>837.75882317181595</v>
      </c>
      <c r="EN150" s="62">
        <f t="shared" si="128"/>
        <v>1131.0921565051492</v>
      </c>
      <c r="EO150" s="62">
        <f ca="1">AVERAGE(OFFSET($EN$3,0,0,'Données projet'!$E$15+1,1))-AVERAGE(OFFSET($H$3,0,0,'Données projet'!$E$15+1,1))</f>
        <v>581.88778927327667</v>
      </c>
      <c r="EP150" s="62">
        <f t="shared" si="154"/>
        <v>269.67340993773422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64.243470333877482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64.243470333877482</v>
      </c>
      <c r="EZ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8.3249999999999993</v>
      </c>
      <c r="FE150" s="13">
        <f>IF('Données projet'!$A$218&gt;35,FE149+FD150-FM149,IF(A150&lt;'Données projet'!$A$218,$FB$205^A150,IF(A150='Données projet'!$A$218,'Données projet'!$B$218,FE149+FD150-FM149)))</f>
        <v>432.19500000000056</v>
      </c>
      <c r="FF150" s="18">
        <f>FE150*VLOOKUP('Données projet'!$B$16,Paramètres!$A$1:$I$89,3,0)*VLOOKUP('Données projet'!$B$16,Paramètres!$A$1:$I$89,5,0)</f>
        <v>438.24573000000061</v>
      </c>
      <c r="FG150" s="14">
        <f t="shared" si="155"/>
        <v>99.488714339852734</v>
      </c>
      <c r="FH150" s="22">
        <f t="shared" si="130"/>
        <v>936.55415722524458</v>
      </c>
      <c r="FI150" s="62">
        <f t="shared" si="131"/>
        <v>1229.8874905585778</v>
      </c>
      <c r="FJ150" s="62">
        <f ca="1">AVERAGE(OFFSET($FI$3,0,0,'Données projet'!$E$16+1,1))-AVERAGE(OFFSET($H$3,0,0,'Données projet'!$E$16+1,1))</f>
        <v>646.50767193970182</v>
      </c>
      <c r="FK150" s="62">
        <f t="shared" si="156"/>
        <v>297.06786598620607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71.996992615552358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71.996992615552358</v>
      </c>
      <c r="FU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8.3249999999999993</v>
      </c>
      <c r="FZ150" s="13">
        <f>IF('Données projet'!$A$244&gt;35,FZ149+FY150-GH149,IF(A150&lt;'Données projet'!$A$244,$FW$205^A150,IF(A150='Données projet'!$A$244,'Données projet'!$B$244,FZ149+FY150-GH149)))</f>
        <v>432.19500000000056</v>
      </c>
      <c r="GA150" s="18">
        <f>FZ150*VLOOKUP('Données projet'!$B$17,Paramètres!$A$1:$I$89,3,0)*VLOOKUP('Données projet'!$B$17,Paramètres!$A$1:$I$89,5,0)</f>
        <v>289.91640600000039</v>
      </c>
      <c r="GB150" s="14">
        <f t="shared" si="157"/>
        <v>69.058366929638382</v>
      </c>
      <c r="GC150" s="22">
        <f t="shared" si="133"/>
        <v>625.21439618578745</v>
      </c>
      <c r="GD150" s="62">
        <f t="shared" si="134"/>
        <v>918.54772951912082</v>
      </c>
      <c r="GE150" s="62">
        <f ca="1">AVERAGE(OFFSET($GD$3,0,0,'Données projet'!$E$17+1,1))-AVERAGE(OFFSET($H$3,0,0,'Données projet'!$E$17+1,1))</f>
        <v>442.85175349826028</v>
      </c>
      <c r="GF150" s="62">
        <f t="shared" si="158"/>
        <v>210.70697808232501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58.705240132681126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58.705240132681126</v>
      </c>
      <c r="GP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-3.4106051316484809E-13</v>
      </c>
      <c r="GV150" s="18">
        <f>GU150*VLOOKUP('Données projet'!$B$18,Paramètres!$A$1:$I$89,3,0)*VLOOKUP('Données projet'!$B$18,Paramètres!$A$1:$I$89,5,0)</f>
        <v>-3.2455318432766944E-13</v>
      </c>
      <c r="GW150" s="14" t="e">
        <f t="shared" si="159"/>
        <v>#NUM!</v>
      </c>
      <c r="GX150" s="22" t="e">
        <f t="shared" si="136"/>
        <v>#NUM!</v>
      </c>
      <c r="GY150" s="62" t="e">
        <f t="shared" si="137"/>
        <v>#NUM!</v>
      </c>
      <c r="GZ150" s="62">
        <f ca="1">AVERAGE(OFFSET($GY$3,0,0,'Données projet'!$E$18+1,1))-AVERAGE(OFFSET($H$3,0,0,'Données projet'!$E$18+1,1))</f>
        <v>420.2510366318939</v>
      </c>
      <c r="HA150" s="62">
        <f t="shared" si="160"/>
        <v>220.59884411514116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104.2299079075344</v>
      </c>
      <c r="HH150" s="23">
        <f>EXP(-LN(2)/25)*HH149+(1-EXP(-LN(2)/25))/(LN(2)/25)*Calculateur!HC150*Calculateur!HE150*VLOOKUP('Données projet'!$B$18,Paramètres!$A$1:$I$89,3,0)*0.475*44/12</f>
        <v>0</v>
      </c>
      <c r="HI150" s="23">
        <f>EXP(-LN(2)/2)*HI149+(1-EXP(-LN(2)/2))/(LN(2)/2)*HC150*HF150*VLOOKUP('Données projet'!$B$18,Paramètres!$A$1:$I$89,3,0)*0.475*44/12</f>
        <v>0</v>
      </c>
      <c r="HJ150" s="24">
        <f t="shared" si="138"/>
        <v>104.2299079075344</v>
      </c>
    </row>
    <row r="151" spans="1:218" s="5" customFormat="1" x14ac:dyDescent="0.2">
      <c r="A151" s="11">
        <f t="shared" si="139"/>
        <v>148</v>
      </c>
      <c r="B151" s="74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-4.5474735088646412E-13</v>
      </c>
      <c r="O151" s="14">
        <f>N151*VLOOKUP('Données projet'!$B$9,Paramètres!$A$1:$I$89,3,0)*VLOOKUP('Données projet'!$B$9,Paramètres!$A$1:$I$89,5,0)</f>
        <v>-3.9017322706058626E-13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623.31285537237943</v>
      </c>
      <c r="T151" s="62">
        <f t="shared" si="142"/>
        <v>462.33909258902241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108.74258475253325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108.74258475253325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4.9658410716801891E-14</v>
      </c>
      <c r="AK151" s="14">
        <f t="shared" si="143"/>
        <v>8.0934058173791862E-13</v>
      </c>
      <c r="AL151" s="22">
        <f t="shared" si="112"/>
        <v>1.4960899118586383E-12</v>
      </c>
      <c r="AM151" s="62">
        <f t="shared" si="113"/>
        <v>293.33333333333479</v>
      </c>
      <c r="AN151" s="62">
        <f ca="1">AVERAGE(OFFSET($AM$3,0,0,'Données projet'!$E$10+1,1))-AVERAGE(OFFSET($H$3,0,0,'Données projet'!$E$10+1,1))</f>
        <v>390.70479111593545</v>
      </c>
      <c r="AO151" s="62">
        <f t="shared" si="144"/>
        <v>374.99493809709708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42.835002437506922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42.835002437506922</v>
      </c>
      <c r="AY151" s="7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5.6843418860808015E-14</v>
      </c>
      <c r="BE151" s="14">
        <f>BD151*VLOOKUP('Données projet'!$B$11,Paramètres!$A$1:$I$89,3,0)*VLOOKUP('Données projet'!$B$11,Paramètres!$A$1:$I$89,5,0)</f>
        <v>4.5224624045658861E-14</v>
      </c>
      <c r="BF151" s="14">
        <f t="shared" si="145"/>
        <v>7.4514601661523691E-13</v>
      </c>
      <c r="BG151" s="22">
        <f t="shared" si="115"/>
        <v>1.3765621991510601E-12</v>
      </c>
      <c r="BH151" s="62">
        <f t="shared" si="116"/>
        <v>293.33333333333468</v>
      </c>
      <c r="BI151" s="62">
        <f ca="1">AVERAGE(OFFSET($BH$3,0,0,'Données projet'!$E$11+1,1))-AVERAGE(OFFSET($H$3,0,0,'Données projet'!$E$11+1,1))</f>
        <v>359.18294335011535</v>
      </c>
      <c r="BJ151" s="62">
        <f t="shared" si="146"/>
        <v>345.47508134331241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39.010448648443806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39.010448648443806</v>
      </c>
      <c r="BT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5.6843418860808015E-14</v>
      </c>
      <c r="BZ151" s="14">
        <f>BY151*VLOOKUP('Données projet'!$B$12,Paramètres!$A$1:$I$89,3,0)*VLOOKUP('Données projet'!$B$12,Paramètres!$A$1:$I$89,5,0)</f>
        <v>4.1677594708744434E-14</v>
      </c>
      <c r="CA151" s="14">
        <f t="shared" si="147"/>
        <v>6.9326303456159188E-13</v>
      </c>
      <c r="CB151" s="22">
        <f t="shared" si="118"/>
        <v>1.2800215959791691E-12</v>
      </c>
      <c r="CC151" s="62">
        <f t="shared" si="119"/>
        <v>293.33333333333462</v>
      </c>
      <c r="CD151" s="62">
        <f ca="1">AVERAGE(OFFSET($CC$3,0,0,'Données projet'!$E$12+1,1))-AVERAGE(OFFSET($H$3,0,0,'Données projet'!$E$12+1,1))</f>
        <v>333.9187211440219</v>
      </c>
      <c r="CE151" s="62">
        <f t="shared" si="148"/>
        <v>321.81422611044997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29.167634746024749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29.167634746024749</v>
      </c>
      <c r="CO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5.6843418860808015E-14</v>
      </c>
      <c r="CU151" s="18">
        <f>CT151*VLOOKUP('Données projet'!$B$13,Paramètres!$A$1:$I$89,3,0)*VLOOKUP('Données projet'!$B$13,Paramètres!$A$1:$I$89,5,0)</f>
        <v>4.6111381379887463E-14</v>
      </c>
      <c r="CV151" s="14">
        <f t="shared" si="149"/>
        <v>7.5804141040779151E-13</v>
      </c>
      <c r="CW151" s="22">
        <f t="shared" si="121"/>
        <v>1.4005661123635408E-12</v>
      </c>
      <c r="CX151" s="62">
        <f t="shared" si="122"/>
        <v>293.33333333333474</v>
      </c>
      <c r="CY151" s="62">
        <f ca="1">AVERAGE(OFFSET($CX$3,0,0,'Données projet'!$E$13+1,1))-AVERAGE(OFFSET($H$3,0,0,'Données projet'!$E$13+1,1))</f>
        <v>365.492319515595</v>
      </c>
      <c r="CZ151" s="62">
        <f t="shared" si="150"/>
        <v>351.38386928091433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32.270574612623108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32.270574612623108</v>
      </c>
      <c r="DJ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8.3249999999999993</v>
      </c>
      <c r="DO151" s="13">
        <f>IF('Données projet'!$A$166&gt;35,DO150+DN151-DW150,IF(A151&lt;'Données projet'!$A$166,$DL$205^A151,IF(A151='Données projet'!$A$166,'Données projet'!$B$166,DO150+DN151-DW150)))</f>
        <v>440.52000000000055</v>
      </c>
      <c r="DP151" s="18">
        <f>DO151*VLOOKUP('Données projet'!$B$14,Paramètres!$A$1:$I$89,3,0)*VLOOKUP('Données projet'!$B$14,Paramètres!$A$1:$I$89,5,0)</f>
        <v>371.0940480000005</v>
      </c>
      <c r="DQ151" s="14">
        <f t="shared" si="151"/>
        <v>85.891090617959961</v>
      </c>
      <c r="DR151" s="22">
        <f t="shared" si="124"/>
        <v>795.91578309294766</v>
      </c>
      <c r="DS151" s="62">
        <f t="shared" si="125"/>
        <v>1089.249116426281</v>
      </c>
      <c r="DT151" s="62">
        <f ca="1">AVERAGE(OFFSET($DS$3,0,0,'Données projet'!$E$14+1,1))-AVERAGE(OFFSET($H$3,0,0,'Données projet'!$E$14+1,1))</f>
        <v>544.89250424794909</v>
      </c>
      <c r="DU151" s="62">
        <f t="shared" si="152"/>
        <v>253.98688498110715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58.639991957327673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58.639991957327673</v>
      </c>
      <c r="EE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8.3249999999999993</v>
      </c>
      <c r="EJ151" s="13">
        <f>IF('Données projet'!$A$192&gt;35,EJ150+EI151-ER150,IF(A151&lt;'Données projet'!$A$192,$EG$205^A151,IF(A151='Données projet'!$A$192,'Données projet'!$B$192,EJ150+EI151-ER150)))</f>
        <v>440.52000000000055</v>
      </c>
      <c r="EK151" s="18">
        <f>EJ151*VLOOKUP('Données projet'!$B$15,Paramètres!$A$1:$I$89,3,0)*VLOOKUP('Données projet'!$B$15,Paramètres!$A$1:$I$89,5,0)</f>
        <v>398.5824960000005</v>
      </c>
      <c r="EL151" s="14">
        <f t="shared" si="153"/>
        <v>91.489228690064536</v>
      </c>
      <c r="EM151" s="22">
        <f t="shared" si="127"/>
        <v>853.54158716852999</v>
      </c>
      <c r="EN151" s="62">
        <f t="shared" si="128"/>
        <v>1146.8749205018632</v>
      </c>
      <c r="EO151" s="62">
        <f ca="1">AVERAGE(OFFSET($EN$3,0,0,'Données projet'!$E$15+1,1))-AVERAGE(OFFSET($H$3,0,0,'Données projet'!$E$15+1,1))</f>
        <v>581.88778927327667</v>
      </c>
      <c r="EP151" s="62">
        <f t="shared" si="154"/>
        <v>269.67340993773422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62.983695065277885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62.983695065277885</v>
      </c>
      <c r="EZ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8.3249999999999993</v>
      </c>
      <c r="FE151" s="13">
        <f>IF('Données projet'!$A$218&gt;35,FE150+FD151-FM150,IF(A151&lt;'Données projet'!$A$218,$FB$205^A151,IF(A151='Données projet'!$A$218,'Données projet'!$B$218,FE150+FD151-FM150)))</f>
        <v>440.52000000000055</v>
      </c>
      <c r="FF151" s="18">
        <f>FE151*VLOOKUP('Données projet'!$B$16,Paramètres!$A$1:$I$89,3,0)*VLOOKUP('Données projet'!$B$16,Paramètres!$A$1:$I$89,5,0)</f>
        <v>446.68728000000056</v>
      </c>
      <c r="FG151" s="14">
        <f t="shared" si="155"/>
        <v>101.18012999765861</v>
      </c>
      <c r="FH151" s="22">
        <f t="shared" si="130"/>
        <v>954.20240574592299</v>
      </c>
      <c r="FI151" s="62">
        <f t="shared" si="131"/>
        <v>1247.5357390792562</v>
      </c>
      <c r="FJ151" s="62">
        <f ca="1">AVERAGE(OFFSET($FI$3,0,0,'Données projet'!$E$16+1,1))-AVERAGE(OFFSET($H$3,0,0,'Données projet'!$E$16+1,1))</f>
        <v>646.50767193970182</v>
      </c>
      <c r="FK151" s="62">
        <f t="shared" si="156"/>
        <v>297.06786598620607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70.585175504190744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70.585175504190744</v>
      </c>
      <c r="FU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8.3249999999999993</v>
      </c>
      <c r="FZ151" s="13">
        <f>IF('Données projet'!$A$244&gt;35,FZ150+FY151-GH150,IF(A151&lt;'Données projet'!$A$244,$FW$205^A151,IF(A151='Données projet'!$A$244,'Données projet'!$B$244,FZ150+FY151-GH150)))</f>
        <v>440.52000000000055</v>
      </c>
      <c r="GA151" s="18">
        <f>FZ151*VLOOKUP('Données projet'!$B$17,Paramètres!$A$1:$I$89,3,0)*VLOOKUP('Données projet'!$B$17,Paramètres!$A$1:$I$89,5,0)</f>
        <v>295.50081600000033</v>
      </c>
      <c r="GB151" s="14">
        <f t="shared" si="157"/>
        <v>70.232433796441768</v>
      </c>
      <c r="GC151" s="22">
        <f t="shared" si="133"/>
        <v>636.98541006213668</v>
      </c>
      <c r="GD151" s="62">
        <f t="shared" si="134"/>
        <v>930.31874339546994</v>
      </c>
      <c r="GE151" s="62">
        <f ca="1">AVERAGE(OFFSET($GD$3,0,0,'Données projet'!$E$17+1,1))-AVERAGE(OFFSET($H$3,0,0,'Données projet'!$E$17+1,1))</f>
        <v>442.85175349826028</v>
      </c>
      <c r="GF151" s="62">
        <f t="shared" si="158"/>
        <v>210.70697808232501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57.554066180340115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57.554066180340115</v>
      </c>
      <c r="GP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-3.4106051316484809E-13</v>
      </c>
      <c r="GV151" s="18">
        <f>GU151*VLOOKUP('Données projet'!$B$18,Paramètres!$A$1:$I$89,3,0)*VLOOKUP('Données projet'!$B$18,Paramètres!$A$1:$I$89,5,0)</f>
        <v>-3.2455318432766944E-13</v>
      </c>
      <c r="GW151" s="14" t="e">
        <f t="shared" si="159"/>
        <v>#NUM!</v>
      </c>
      <c r="GX151" s="22" t="e">
        <f t="shared" si="136"/>
        <v>#NUM!</v>
      </c>
      <c r="GY151" s="62" t="e">
        <f t="shared" si="137"/>
        <v>#NUM!</v>
      </c>
      <c r="GZ151" s="62">
        <f ca="1">AVERAGE(OFFSET($GY$3,0,0,'Données projet'!$E$18+1,1))-AVERAGE(OFFSET($H$3,0,0,'Données projet'!$E$18+1,1))</f>
        <v>420.2510366318939</v>
      </c>
      <c r="HA151" s="62">
        <f t="shared" si="160"/>
        <v>220.59884411514116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102.18602298743406</v>
      </c>
      <c r="HH151" s="23">
        <f>EXP(-LN(2)/25)*HH150+(1-EXP(-LN(2)/25))/(LN(2)/25)*Calculateur!HC151*Calculateur!HE151*VLOOKUP('Données projet'!$B$18,Paramètres!$A$1:$I$89,3,0)*0.475*44/12</f>
        <v>0</v>
      </c>
      <c r="HI151" s="23">
        <f>EXP(-LN(2)/2)*HI150+(1-EXP(-LN(2)/2))/(LN(2)/2)*HC151*HF151*VLOOKUP('Données projet'!$B$18,Paramètres!$A$1:$I$89,3,0)*0.475*44/12</f>
        <v>0</v>
      </c>
      <c r="HJ151" s="24">
        <f t="shared" si="138"/>
        <v>102.18602298743406</v>
      </c>
    </row>
    <row r="152" spans="1:218" s="5" customFormat="1" x14ac:dyDescent="0.2">
      <c r="A152" s="11">
        <f t="shared" si="139"/>
        <v>149</v>
      </c>
      <c r="B152" s="74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-4.5474735088646412E-13</v>
      </c>
      <c r="O152" s="14">
        <f>N152*VLOOKUP('Données projet'!$B$9,Paramètres!$A$1:$I$89,3,0)*VLOOKUP('Données projet'!$B$9,Paramètres!$A$1:$I$89,5,0)</f>
        <v>-3.9017322706058626E-13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623.31285537237943</v>
      </c>
      <c r="T152" s="62">
        <f t="shared" si="142"/>
        <v>462.33909258902241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106.61020899196357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106.61020899196357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4.9658410716801891E-14</v>
      </c>
      <c r="AK152" s="14">
        <f t="shared" si="143"/>
        <v>8.0934058173791862E-13</v>
      </c>
      <c r="AL152" s="22">
        <f t="shared" si="112"/>
        <v>1.4960899118586383E-12</v>
      </c>
      <c r="AM152" s="62">
        <f t="shared" si="113"/>
        <v>293.33333333333479</v>
      </c>
      <c r="AN152" s="62">
        <f ca="1">AVERAGE(OFFSET($AM$3,0,0,'Données projet'!$E$10+1,1))-AVERAGE(OFFSET($H$3,0,0,'Données projet'!$E$10+1,1))</f>
        <v>390.70479111593545</v>
      </c>
      <c r="AO152" s="62">
        <f t="shared" si="144"/>
        <v>374.99493809709708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41.995034166479094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41.995034166479094</v>
      </c>
      <c r="AY152" s="7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5.6843418860808015E-14</v>
      </c>
      <c r="BE152" s="14">
        <f>BD152*VLOOKUP('Données projet'!$B$11,Paramètres!$A$1:$I$89,3,0)*VLOOKUP('Données projet'!$B$11,Paramètres!$A$1:$I$89,5,0)</f>
        <v>4.5224624045658861E-14</v>
      </c>
      <c r="BF152" s="14">
        <f t="shared" si="145"/>
        <v>7.4514601661523691E-13</v>
      </c>
      <c r="BG152" s="22">
        <f t="shared" si="115"/>
        <v>1.3765621991510601E-12</v>
      </c>
      <c r="BH152" s="62">
        <f t="shared" si="116"/>
        <v>293.33333333333468</v>
      </c>
      <c r="BI152" s="62">
        <f ca="1">AVERAGE(OFFSET($BH$3,0,0,'Données projet'!$E$11+1,1))-AVERAGE(OFFSET($H$3,0,0,'Données projet'!$E$11+1,1))</f>
        <v>359.18294335011535</v>
      </c>
      <c r="BJ152" s="62">
        <f t="shared" si="146"/>
        <v>345.47508134331241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38.245477544472031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38.245477544472031</v>
      </c>
      <c r="BT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5.6843418860808015E-14</v>
      </c>
      <c r="BZ152" s="14">
        <f>BY152*VLOOKUP('Données projet'!$B$12,Paramètres!$A$1:$I$89,3,0)*VLOOKUP('Données projet'!$B$12,Paramètres!$A$1:$I$89,5,0)</f>
        <v>4.1677594708744434E-14</v>
      </c>
      <c r="CA152" s="14">
        <f t="shared" si="147"/>
        <v>6.9326303456159188E-13</v>
      </c>
      <c r="CB152" s="22">
        <f t="shared" si="118"/>
        <v>1.2800215959791691E-12</v>
      </c>
      <c r="CC152" s="62">
        <f t="shared" si="119"/>
        <v>293.33333333333462</v>
      </c>
      <c r="CD152" s="62">
        <f ca="1">AVERAGE(OFFSET($CC$3,0,0,'Données projet'!$E$12+1,1))-AVERAGE(OFFSET($H$3,0,0,'Données projet'!$E$12+1,1))</f>
        <v>333.9187211440219</v>
      </c>
      <c r="CE152" s="62">
        <f t="shared" si="148"/>
        <v>321.81422611044997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28.595675219155734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28.595675219155734</v>
      </c>
      <c r="CO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5.6843418860808015E-14</v>
      </c>
      <c r="CU152" s="18">
        <f>CT152*VLOOKUP('Données projet'!$B$13,Paramètres!$A$1:$I$89,3,0)*VLOOKUP('Données projet'!$B$13,Paramètres!$A$1:$I$89,5,0)</f>
        <v>4.6111381379887463E-14</v>
      </c>
      <c r="CV152" s="14">
        <f t="shared" si="149"/>
        <v>7.5804141040779151E-13</v>
      </c>
      <c r="CW152" s="22">
        <f t="shared" si="121"/>
        <v>1.4005661123635408E-12</v>
      </c>
      <c r="CX152" s="62">
        <f t="shared" si="122"/>
        <v>293.33333333333474</v>
      </c>
      <c r="CY152" s="62">
        <f ca="1">AVERAGE(OFFSET($CX$3,0,0,'Données projet'!$E$13+1,1))-AVERAGE(OFFSET($H$3,0,0,'Données projet'!$E$13+1,1))</f>
        <v>365.492319515595</v>
      </c>
      <c r="CZ152" s="62">
        <f t="shared" si="150"/>
        <v>351.38386928091433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31.637768327576538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31.637768327576538</v>
      </c>
      <c r="DJ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8.3249999999999993</v>
      </c>
      <c r="DO152" s="13">
        <f>IF('Données projet'!$A$166&gt;35,DO151+DN152-DW151,IF(A152&lt;'Données projet'!$A$166,$DL$205^A152,IF(A152='Données projet'!$A$166,'Données projet'!$B$166,DO151+DN152-DW151)))</f>
        <v>448.84500000000054</v>
      </c>
      <c r="DP152" s="18">
        <f>DO152*VLOOKUP('Données projet'!$B$14,Paramètres!$A$1:$I$89,3,0)*VLOOKUP('Données projet'!$B$14,Paramètres!$A$1:$I$89,5,0)</f>
        <v>378.10702800000047</v>
      </c>
      <c r="DQ152" s="14">
        <f t="shared" si="151"/>
        <v>87.32376612155501</v>
      </c>
      <c r="DR152" s="22">
        <f t="shared" si="124"/>
        <v>810.62529976170902</v>
      </c>
      <c r="DS152" s="62">
        <f t="shared" si="125"/>
        <v>1103.9586330950424</v>
      </c>
      <c r="DT152" s="62">
        <f ca="1">AVERAGE(OFFSET($DS$3,0,0,'Données projet'!$E$14+1,1))-AVERAGE(OFFSET($H$3,0,0,'Données projet'!$E$14+1,1))</f>
        <v>544.89250424794909</v>
      </c>
      <c r="DU152" s="62">
        <f t="shared" si="152"/>
        <v>253.98688498110715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57.490097481907888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57.490097481907888</v>
      </c>
      <c r="EE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8.3249999999999993</v>
      </c>
      <c r="EJ152" s="13">
        <f>IF('Données projet'!$A$192&gt;35,EJ151+EI152-ER151,IF(A152&lt;'Données projet'!$A$192,$EG$205^A152,IF(A152='Données projet'!$A$192,'Données projet'!$B$192,EJ151+EI152-ER151)))</f>
        <v>448.84500000000054</v>
      </c>
      <c r="EK152" s="18">
        <f>EJ152*VLOOKUP('Données projet'!$B$15,Paramètres!$A$1:$I$89,3,0)*VLOOKUP('Données projet'!$B$15,Paramètres!$A$1:$I$89,5,0)</f>
        <v>406.11495600000046</v>
      </c>
      <c r="EL152" s="14">
        <f t="shared" si="153"/>
        <v>93.015281926133852</v>
      </c>
      <c r="EM152" s="22">
        <f t="shared" si="127"/>
        <v>869.31849772135058</v>
      </c>
      <c r="EN152" s="62">
        <f t="shared" si="128"/>
        <v>1162.651831054684</v>
      </c>
      <c r="EO152" s="62">
        <f ca="1">AVERAGE(OFFSET($EN$3,0,0,'Données projet'!$E$15+1,1))-AVERAGE(OFFSET($H$3,0,0,'Données projet'!$E$15+1,1))</f>
        <v>581.88778927327667</v>
      </c>
      <c r="EP152" s="62">
        <f t="shared" si="154"/>
        <v>269.67340993773422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61.748623221308485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61.748623221308485</v>
      </c>
      <c r="EZ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8.3249999999999993</v>
      </c>
      <c r="FE152" s="13">
        <f>IF('Données projet'!$A$218&gt;35,FE151+FD152-FM151,IF(A152&lt;'Données projet'!$A$218,$FB$205^A152,IF(A152='Données projet'!$A$218,'Données projet'!$B$218,FE151+FD152-FM151)))</f>
        <v>448.84500000000054</v>
      </c>
      <c r="FF152" s="18">
        <f>FE152*VLOOKUP('Données projet'!$B$16,Paramètres!$A$1:$I$89,3,0)*VLOOKUP('Données projet'!$B$16,Paramètres!$A$1:$I$89,5,0)</f>
        <v>455.12883000000056</v>
      </c>
      <c r="FG152" s="14">
        <f t="shared" si="155"/>
        <v>102.86782883411858</v>
      </c>
      <c r="FH152" s="22">
        <f t="shared" si="130"/>
        <v>971.84418080275736</v>
      </c>
      <c r="FI152" s="62">
        <f t="shared" si="131"/>
        <v>1265.1775141360906</v>
      </c>
      <c r="FJ152" s="62">
        <f ca="1">AVERAGE(OFFSET($FI$3,0,0,'Données projet'!$E$16+1,1))-AVERAGE(OFFSET($H$3,0,0,'Données projet'!$E$16+1,1))</f>
        <v>646.50767193970182</v>
      </c>
      <c r="FK152" s="62">
        <f t="shared" si="156"/>
        <v>297.06786598620607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69.201043265259514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69.201043265259514</v>
      </c>
      <c r="FU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8.3249999999999993</v>
      </c>
      <c r="FZ152" s="13">
        <f>IF('Données projet'!$A$244&gt;35,FZ151+FY152-GH151,IF(A152&lt;'Données projet'!$A$244,$FW$205^A152,IF(A152='Données projet'!$A$244,'Données projet'!$B$244,FZ151+FY152-GH151)))</f>
        <v>448.84500000000054</v>
      </c>
      <c r="GA152" s="18">
        <f>FZ152*VLOOKUP('Données projet'!$B$17,Paramètres!$A$1:$I$89,3,0)*VLOOKUP('Données projet'!$B$17,Paramètres!$A$1:$I$89,5,0)</f>
        <v>301.08522600000038</v>
      </c>
      <c r="GB152" s="14">
        <f t="shared" si="157"/>
        <v>71.403920696120153</v>
      </c>
      <c r="GC152" s="22">
        <f t="shared" si="133"/>
        <v>648.7519304957433</v>
      </c>
      <c r="GD152" s="62">
        <f t="shared" si="134"/>
        <v>942.08526382907667</v>
      </c>
      <c r="GE152" s="62">
        <f ca="1">AVERAGE(OFFSET($GD$3,0,0,'Données projet'!$E$17+1,1))-AVERAGE(OFFSET($H$3,0,0,'Données projet'!$E$17+1,1))</f>
        <v>442.85175349826028</v>
      </c>
      <c r="GF152" s="62">
        <f t="shared" si="158"/>
        <v>210.70697808232501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56.425466047057732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56.425466047057732</v>
      </c>
      <c r="GP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-3.4106051316484809E-13</v>
      </c>
      <c r="GV152" s="18">
        <f>GU152*VLOOKUP('Données projet'!$B$18,Paramètres!$A$1:$I$89,3,0)*VLOOKUP('Données projet'!$B$18,Paramètres!$A$1:$I$89,5,0)</f>
        <v>-3.2455318432766944E-13</v>
      </c>
      <c r="GW152" s="14" t="e">
        <f t="shared" si="159"/>
        <v>#NUM!</v>
      </c>
      <c r="GX152" s="22" t="e">
        <f t="shared" si="136"/>
        <v>#NUM!</v>
      </c>
      <c r="GY152" s="62" t="e">
        <f t="shared" si="137"/>
        <v>#NUM!</v>
      </c>
      <c r="GZ152" s="62">
        <f ca="1">AVERAGE(OFFSET($GY$3,0,0,'Données projet'!$E$18+1,1))-AVERAGE(OFFSET($H$3,0,0,'Données projet'!$E$18+1,1))</f>
        <v>420.2510366318939</v>
      </c>
      <c r="HA152" s="62">
        <f t="shared" si="160"/>
        <v>220.59884411514116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100.18221740397018</v>
      </c>
      <c r="HH152" s="23">
        <f>EXP(-LN(2)/25)*HH151+(1-EXP(-LN(2)/25))/(LN(2)/25)*Calculateur!HC152*Calculateur!HE152*VLOOKUP('Données projet'!$B$18,Paramètres!$A$1:$I$89,3,0)*0.475*44/12</f>
        <v>0</v>
      </c>
      <c r="HI152" s="23">
        <f>EXP(-LN(2)/2)*HI151+(1-EXP(-LN(2)/2))/(LN(2)/2)*HC152*HF152*VLOOKUP('Données projet'!$B$18,Paramètres!$A$1:$I$89,3,0)*0.475*44/12</f>
        <v>0</v>
      </c>
      <c r="HJ152" s="24">
        <f t="shared" si="138"/>
        <v>100.18221740397018</v>
      </c>
    </row>
    <row r="153" spans="1:218" s="5" customFormat="1" x14ac:dyDescent="0.2">
      <c r="A153" s="11">
        <f>A152+1</f>
        <v>150</v>
      </c>
      <c r="B153" s="74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-4.5474735088646412E-13</v>
      </c>
      <c r="O153" s="14">
        <f>N153*VLOOKUP('Données projet'!$B$9,Paramètres!$A$1:$I$89,3,0)*VLOOKUP('Données projet'!$B$9,Paramètres!$A$1:$I$89,5,0)</f>
        <v>-3.9017322706058626E-13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623.31285537237943</v>
      </c>
      <c r="T153" s="62">
        <f t="shared" si="142"/>
        <v>462.33909258902241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104.51964781943789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104.51964781943789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4.9658410716801891E-14</v>
      </c>
      <c r="AK153" s="14">
        <f t="shared" si="143"/>
        <v>8.0934058173791862E-13</v>
      </c>
      <c r="AL153" s="22">
        <f t="shared" si="112"/>
        <v>1.4960899118586383E-12</v>
      </c>
      <c r="AM153" s="62">
        <f t="shared" si="113"/>
        <v>293.33333333333479</v>
      </c>
      <c r="AN153" s="62">
        <f ca="1">AVERAGE(OFFSET($AM$3,0,0,'Données projet'!$E$10+1,1))-AVERAGE(OFFSET($H$3,0,0,'Données projet'!$E$10+1,1))</f>
        <v>390.70479111593545</v>
      </c>
      <c r="AO153" s="62">
        <f t="shared" si="144"/>
        <v>374.99493809709708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41.171537160916067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41.171537160916067</v>
      </c>
      <c r="AY153" s="7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5.6843418860808015E-14</v>
      </c>
      <c r="BE153" s="14">
        <f>BD153*VLOOKUP('Données projet'!$B$11,Paramètres!$A$1:$I$89,3,0)*VLOOKUP('Données projet'!$B$11,Paramètres!$A$1:$I$89,5,0)</f>
        <v>4.5224624045658861E-14</v>
      </c>
      <c r="BF153" s="14">
        <f t="shared" si="145"/>
        <v>7.4514601661523691E-13</v>
      </c>
      <c r="BG153" s="22">
        <f t="shared" si="115"/>
        <v>1.3765621991510601E-12</v>
      </c>
      <c r="BH153" s="62">
        <f t="shared" si="116"/>
        <v>293.33333333333468</v>
      </c>
      <c r="BI153" s="62">
        <f ca="1">AVERAGE(OFFSET($BH$3,0,0,'Données projet'!$E$11+1,1))-AVERAGE(OFFSET($H$3,0,0,'Données projet'!$E$11+1,1))</f>
        <v>359.18294335011535</v>
      </c>
      <c r="BJ153" s="62">
        <f t="shared" si="146"/>
        <v>345.47508134331241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37.495507057262841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37.495507057262841</v>
      </c>
      <c r="BT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5.6843418860808015E-14</v>
      </c>
      <c r="BZ153" s="14">
        <f>BY153*VLOOKUP('Données projet'!$B$12,Paramètres!$A$1:$I$89,3,0)*VLOOKUP('Données projet'!$B$12,Paramètres!$A$1:$I$89,5,0)</f>
        <v>4.1677594708744434E-14</v>
      </c>
      <c r="CA153" s="14">
        <f t="shared" si="147"/>
        <v>6.9326303456159188E-13</v>
      </c>
      <c r="CB153" s="22">
        <f t="shared" si="118"/>
        <v>1.2800215959791691E-12</v>
      </c>
      <c r="CC153" s="62">
        <f t="shared" si="119"/>
        <v>293.33333333333462</v>
      </c>
      <c r="CD153" s="62">
        <f ca="1">AVERAGE(OFFSET($CC$3,0,0,'Données projet'!$E$12+1,1))-AVERAGE(OFFSET($H$3,0,0,'Données projet'!$E$12+1,1))</f>
        <v>333.9187211440219</v>
      </c>
      <c r="CE153" s="62">
        <f t="shared" si="148"/>
        <v>321.81422611044997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28.034931469747754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28.034931469747754</v>
      </c>
      <c r="CO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5.6843418860808015E-14</v>
      </c>
      <c r="CU153" s="18">
        <f>CT153*VLOOKUP('Données projet'!$B$13,Paramètres!$A$1:$I$89,3,0)*VLOOKUP('Données projet'!$B$13,Paramètres!$A$1:$I$89,5,0)</f>
        <v>4.6111381379887463E-14</v>
      </c>
      <c r="CV153" s="14">
        <f t="shared" si="149"/>
        <v>7.5804141040779151E-13</v>
      </c>
      <c r="CW153" s="22">
        <f t="shared" si="121"/>
        <v>1.4005661123635408E-12</v>
      </c>
      <c r="CX153" s="62">
        <f t="shared" si="122"/>
        <v>293.33333333333474</v>
      </c>
      <c r="CY153" s="62">
        <f ca="1">AVERAGE(OFFSET($CX$3,0,0,'Données projet'!$E$13+1,1))-AVERAGE(OFFSET($H$3,0,0,'Données projet'!$E$13+1,1))</f>
        <v>365.492319515595</v>
      </c>
      <c r="CZ153" s="62">
        <f t="shared" si="150"/>
        <v>351.38386928091433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31.017370987806007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31.017370987806007</v>
      </c>
      <c r="DJ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8.3249999999999993</v>
      </c>
      <c r="DO153" s="13">
        <f>IF('Données projet'!$A$166&gt;35,DO152+DN153-DW152,IF(A153&lt;'Données projet'!$A$166,$DL$205^A153,IF(A153='Données projet'!$A$166,'Données projet'!$B$166,DO152+DN153-DW152)))</f>
        <v>457.17000000000053</v>
      </c>
      <c r="DP153" s="18">
        <f>DO153*VLOOKUP('Données projet'!$B$14,Paramètres!$A$1:$I$89,3,0)*VLOOKUP('Données projet'!$B$14,Paramètres!$A$1:$I$89,5,0)</f>
        <v>385.1200080000005</v>
      </c>
      <c r="DQ153" s="14">
        <f t="shared" si="151"/>
        <v>88.753351712042985</v>
      </c>
      <c r="DR153" s="22">
        <f t="shared" si="124"/>
        <v>825.32943483180895</v>
      </c>
      <c r="DS153" s="62">
        <f t="shared" si="125"/>
        <v>1118.6627681651423</v>
      </c>
      <c r="DT153" s="62">
        <f ca="1">AVERAGE(OFFSET($DS$3,0,0,'Données projet'!$E$14+1,1))-AVERAGE(OFFSET($H$3,0,0,'Données projet'!$E$14+1,1))</f>
        <v>544.89250424794909</v>
      </c>
      <c r="DU153" s="62">
        <f t="shared" si="152"/>
        <v>253.98688498110715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56.362751735784705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56.362751735784705</v>
      </c>
      <c r="EE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8.3249999999999993</v>
      </c>
      <c r="EJ153" s="13">
        <f>IF('Données projet'!$A$192&gt;35,EJ152+EI153-ER152,IF(A153&lt;'Données projet'!$A$192,$EG$205^A153,IF(A153='Données projet'!$A$192,'Données projet'!$B$192,EJ152+EI153-ER152)))</f>
        <v>457.17000000000053</v>
      </c>
      <c r="EK153" s="18">
        <f>EJ153*VLOOKUP('Données projet'!$B$15,Paramètres!$A$1:$I$89,3,0)*VLOOKUP('Données projet'!$B$15,Paramètres!$A$1:$I$89,5,0)</f>
        <v>413.64741600000042</v>
      </c>
      <c r="EL153" s="14">
        <f t="shared" si="153"/>
        <v>94.538043857309361</v>
      </c>
      <c r="EM153" s="22">
        <f t="shared" si="127"/>
        <v>885.0896759181478</v>
      </c>
      <c r="EN153" s="62">
        <f t="shared" si="128"/>
        <v>1178.4230092514811</v>
      </c>
      <c r="EO153" s="62">
        <f ca="1">AVERAGE(OFFSET($EN$3,0,0,'Données projet'!$E$15+1,1))-AVERAGE(OFFSET($H$3,0,0,'Données projet'!$E$15+1,1))</f>
        <v>581.88778927327667</v>
      </c>
      <c r="EP153" s="62">
        <f t="shared" si="154"/>
        <v>269.67340993773422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60.537770382879884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60.537770382879884</v>
      </c>
      <c r="EZ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8.3249999999999993</v>
      </c>
      <c r="FE153" s="13">
        <f>IF('Données projet'!$A$218&gt;35,FE152+FD153-FM152,IF(A153&lt;'Données projet'!$A$218,$FB$205^A153,IF(A153='Données projet'!$A$218,'Données projet'!$B$218,FE152+FD153-FM152)))</f>
        <v>457.17000000000053</v>
      </c>
      <c r="FF153" s="18">
        <f>FE153*VLOOKUP('Données projet'!$B$16,Paramètres!$A$1:$I$89,3,0)*VLOOKUP('Données projet'!$B$16,Paramètres!$A$1:$I$89,5,0)</f>
        <v>463.57038000000057</v>
      </c>
      <c r="FG153" s="14">
        <f t="shared" si="155"/>
        <v>104.55188773764013</v>
      </c>
      <c r="FH153" s="22">
        <f t="shared" si="130"/>
        <v>989.47961630972395</v>
      </c>
      <c r="FI153" s="62">
        <f t="shared" si="131"/>
        <v>1282.8129496430572</v>
      </c>
      <c r="FJ153" s="62">
        <f ca="1">AVERAGE(OFFSET($FI$3,0,0,'Données projet'!$E$16+1,1))-AVERAGE(OFFSET($H$3,0,0,'Données projet'!$E$16+1,1))</f>
        <v>646.50767193970182</v>
      </c>
      <c r="FK153" s="62">
        <f t="shared" si="156"/>
        <v>297.06786598620607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67.844053015296424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67.844053015296424</v>
      </c>
      <c r="FU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8.3249999999999993</v>
      </c>
      <c r="FZ153" s="13">
        <f>IF('Données projet'!$A$244&gt;35,FZ152+FY153-GH152,IF(A153&lt;'Données projet'!$A$244,$FW$205^A153,IF(A153='Données projet'!$A$244,'Données projet'!$B$244,FZ152+FY153-GH152)))</f>
        <v>457.17000000000053</v>
      </c>
      <c r="GA153" s="18">
        <f>FZ153*VLOOKUP('Données projet'!$B$17,Paramètres!$A$1:$I$89,3,0)*VLOOKUP('Données projet'!$B$17,Paramètres!$A$1:$I$89,5,0)</f>
        <v>306.66963600000037</v>
      </c>
      <c r="GB153" s="14">
        <f t="shared" si="157"/>
        <v>72.572880999428946</v>
      </c>
      <c r="GC153" s="22">
        <f t="shared" si="133"/>
        <v>660.51405044067269</v>
      </c>
      <c r="GD153" s="62">
        <f t="shared" si="134"/>
        <v>953.84738377400595</v>
      </c>
      <c r="GE153" s="62">
        <f ca="1">AVERAGE(OFFSET($GD$3,0,0,'Données projet'!$E$17+1,1))-AVERAGE(OFFSET($H$3,0,0,'Données projet'!$E$17+1,1))</f>
        <v>442.85175349826028</v>
      </c>
      <c r="GF153" s="62">
        <f t="shared" si="158"/>
        <v>210.70697808232501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55.318997074010909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55.318997074010909</v>
      </c>
      <c r="GP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-3.4106051316484809E-13</v>
      </c>
      <c r="GV153" s="18">
        <f>GU153*VLOOKUP('Données projet'!$B$18,Paramètres!$A$1:$I$89,3,0)*VLOOKUP('Données projet'!$B$18,Paramètres!$A$1:$I$89,5,0)</f>
        <v>-3.2455318432766944E-13</v>
      </c>
      <c r="GW153" s="14" t="e">
        <f t="shared" si="159"/>
        <v>#NUM!</v>
      </c>
      <c r="GX153" s="22" t="e">
        <f t="shared" si="136"/>
        <v>#NUM!</v>
      </c>
      <c r="GY153" s="62" t="e">
        <f t="shared" si="137"/>
        <v>#NUM!</v>
      </c>
      <c r="GZ153" s="62">
        <f ca="1">AVERAGE(OFFSET($GY$3,0,0,'Données projet'!$E$18+1,1))-AVERAGE(OFFSET($H$3,0,0,'Données projet'!$E$18+1,1))</f>
        <v>420.2510366318939</v>
      </c>
      <c r="HA153" s="62">
        <f t="shared" si="160"/>
        <v>220.59884411514116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98.217705225797317</v>
      </c>
      <c r="HH153" s="23">
        <f>EXP(-LN(2)/25)*HH152+(1-EXP(-LN(2)/25))/(LN(2)/25)*Calculateur!HC153*Calculateur!HE153*VLOOKUP('Données projet'!$B$18,Paramètres!$A$1:$I$89,3,0)*0.475*44/12</f>
        <v>0</v>
      </c>
      <c r="HI153" s="23">
        <f>EXP(-LN(2)/2)*HI152+(1-EXP(-LN(2)/2))/(LN(2)/2)*HC153*HF153*VLOOKUP('Données projet'!$B$18,Paramètres!$A$1:$I$89,3,0)*0.475*44/12</f>
        <v>0</v>
      </c>
      <c r="HJ153" s="24">
        <f t="shared" si="138"/>
        <v>98.217705225797317</v>
      </c>
    </row>
    <row r="154" spans="1:218" x14ac:dyDescent="0.2">
      <c r="A154" s="11">
        <f t="shared" ref="A154:A202" si="161">A153+1</f>
        <v>151</v>
      </c>
      <c r="B154" s="74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-4.5474735088646412E-13</v>
      </c>
      <c r="O154" s="14">
        <f>N154*VLOOKUP('Données projet'!$B$9,Paramètres!$A$1:$I$89,3,0)*VLOOKUP('Données projet'!$B$9,Paramètres!$A$1:$I$89,5,0)</f>
        <v>-3.9017322706058626E-13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623.31285537237943</v>
      </c>
      <c r="T154" s="62">
        <f t="shared" si="142"/>
        <v>462.33909258902241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102.47008127638902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102.47008127638902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4.9658410716801891E-14</v>
      </c>
      <c r="AK154" s="14">
        <f t="shared" ref="AK154:AK203" si="164">EXP(-1.0587+0.8836*LN(AJ154)+0.284)</f>
        <v>8.0934058173791862E-13</v>
      </c>
      <c r="AL154" s="22">
        <f t="shared" ref="AL154:AL203" si="165">(AJ154+AK154)*0.475*44/12</f>
        <v>1.4960899118586383E-12</v>
      </c>
      <c r="AM154" s="62">
        <f t="shared" si="113"/>
        <v>293.33333333333479</v>
      </c>
      <c r="AN154" s="62">
        <f ca="1">AVERAGE(OFFSET($AM$3,0,0,'Données projet'!$E$10+1,1))-AVERAGE(OFFSET($H$3,0,0,'Données projet'!$E$10+1,1))</f>
        <v>390.70479111593545</v>
      </c>
      <c r="AO154" s="62">
        <f t="shared" si="144"/>
        <v>374.99493809709708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40.364188429348552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40.364188429348552</v>
      </c>
      <c r="AY154" s="7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5.6843418860808015E-14</v>
      </c>
      <c r="BE154" s="14">
        <f>BD154*VLOOKUP('Données projet'!$B$11,Paramètres!$A$1:$I$89,3,0)*VLOOKUP('Données projet'!$B$11,Paramètres!$A$1:$I$89,5,0)</f>
        <v>4.5224624045658861E-14</v>
      </c>
      <c r="BF154" s="14">
        <f t="shared" ref="BF154:BF203" si="167">EXP(-1.0587+0.8836*LN(BE154)+0.284)</f>
        <v>7.4514601661523691E-13</v>
      </c>
      <c r="BG154" s="22">
        <f t="shared" ref="BG154:BG203" si="168">(BE154+BF154)*0.475*44/12</f>
        <v>1.3765621991510601E-12</v>
      </c>
      <c r="BH154" s="62">
        <f t="shared" si="116"/>
        <v>293.33333333333468</v>
      </c>
      <c r="BI154" s="62">
        <f ca="1">AVERAGE(OFFSET($BH$3,0,0,'Données projet'!$E$11+1,1))-AVERAGE(OFFSET($H$3,0,0,'Données projet'!$E$11+1,1))</f>
        <v>359.18294335011535</v>
      </c>
      <c r="BJ154" s="62">
        <f t="shared" si="146"/>
        <v>345.47508134331241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36.760243033870999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36.760243033870999</v>
      </c>
      <c r="BT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5.6843418860808015E-14</v>
      </c>
      <c r="BZ154" s="14">
        <f>BY154*VLOOKUP('Données projet'!$B$12,Paramètres!$A$1:$I$89,3,0)*VLOOKUP('Données projet'!$B$12,Paramètres!$A$1:$I$89,5,0)</f>
        <v>4.1677594708744434E-14</v>
      </c>
      <c r="CA154" s="14">
        <f t="shared" ref="CA154:CA203" si="170">EXP(-1.0587+0.8836*LN(BZ154)+0.284)</f>
        <v>6.9326303456159188E-13</v>
      </c>
      <c r="CB154" s="22">
        <f t="shared" ref="CB154:CB203" si="171">(BZ154+CA154)*0.475*44/12</f>
        <v>1.2800215959791691E-12</v>
      </c>
      <c r="CC154" s="62">
        <f t="shared" si="119"/>
        <v>293.33333333333462</v>
      </c>
      <c r="CD154" s="62">
        <f ca="1">AVERAGE(OFFSET($CC$3,0,0,'Données projet'!$E$12+1,1))-AVERAGE(OFFSET($H$3,0,0,'Données projet'!$E$12+1,1))</f>
        <v>333.9187211440219</v>
      </c>
      <c r="CE154" s="62">
        <f t="shared" si="148"/>
        <v>321.81422611044997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27.485183563245748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27.485183563245748</v>
      </c>
      <c r="CO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5.6843418860808015E-14</v>
      </c>
      <c r="CU154" s="18">
        <f>CT154*VLOOKUP('Données projet'!$B$13,Paramètres!$A$1:$I$89,3,0)*VLOOKUP('Données projet'!$B$13,Paramètres!$A$1:$I$89,5,0)</f>
        <v>4.6111381379887463E-14</v>
      </c>
      <c r="CV154" s="14">
        <f t="shared" ref="CV154:CV203" si="173">EXP(-1.0587+0.8836*LN(CU154)+0.284)</f>
        <v>7.5804141040779151E-13</v>
      </c>
      <c r="CW154" s="22">
        <f t="shared" ref="CW154:CW203" si="174">(CU154+CV154)*0.475*44/12</f>
        <v>1.4005661123635408E-12</v>
      </c>
      <c r="CX154" s="62">
        <f t="shared" si="122"/>
        <v>293.33333333333474</v>
      </c>
      <c r="CY154" s="62">
        <f ca="1">AVERAGE(OFFSET($CX$3,0,0,'Données projet'!$E$13+1,1))-AVERAGE(OFFSET($H$3,0,0,'Données projet'!$E$13+1,1))</f>
        <v>365.492319515595</v>
      </c>
      <c r="CZ154" s="62">
        <f t="shared" si="150"/>
        <v>351.38386928091433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30.409139261463366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30.409139261463366</v>
      </c>
      <c r="DJ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8.3249999999999993</v>
      </c>
      <c r="DO154" s="13">
        <f>IF('Données projet'!$A$166&gt;35,DO153+DN154-DW153,IF(A154&lt;'Données projet'!$A$166,$DL$205^A154,IF(A154='Données projet'!$A$166,'Données projet'!$B$166,DO153+DN154-DW153)))</f>
        <v>465.49500000000052</v>
      </c>
      <c r="DP154" s="18">
        <f>DO154*VLOOKUP('Données projet'!$B$14,Paramètres!$A$1:$I$89,3,0)*VLOOKUP('Données projet'!$B$14,Paramètres!$A$1:$I$89,5,0)</f>
        <v>392.13298800000047</v>
      </c>
      <c r="DQ154" s="14">
        <f t="shared" ref="DQ154:DQ203" si="176">EXP(-1.0587+0.8836*LN(DP154)+0.284)</f>
        <v>90.179910146229105</v>
      </c>
      <c r="DR154" s="22">
        <f t="shared" ref="DR154:DR203" si="177">(DP154+DQ154)*0.475*44/12</f>
        <v>840.02829760468319</v>
      </c>
      <c r="DS154" s="62">
        <f t="shared" si="125"/>
        <v>1133.3616309380166</v>
      </c>
      <c r="DT154" s="62">
        <f ca="1">AVERAGE(OFFSET($DS$3,0,0,'Données projet'!$E$14+1,1))-AVERAGE(OFFSET($H$3,0,0,'Données projet'!$E$14+1,1))</f>
        <v>544.89250424794909</v>
      </c>
      <c r="DU154" s="62">
        <f t="shared" si="152"/>
        <v>253.98688498110715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55.257512552129995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55.257512552129995</v>
      </c>
      <c r="EE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8.3249999999999993</v>
      </c>
      <c r="EJ154" s="13">
        <f>IF('Données projet'!$A$192&gt;35,EJ153+EI154-ER153,IF(A154&lt;'Données projet'!$A$192,$EG$205^A154,IF(A154='Données projet'!$A$192,'Données projet'!$B$192,EJ153+EI154-ER153)))</f>
        <v>465.49500000000052</v>
      </c>
      <c r="EK154" s="18">
        <f>EJ154*VLOOKUP('Données projet'!$B$15,Paramètres!$A$1:$I$89,3,0)*VLOOKUP('Données projet'!$B$15,Paramètres!$A$1:$I$89,5,0)</f>
        <v>421.17987600000043</v>
      </c>
      <c r="EL154" s="14">
        <f t="shared" ref="EL154:EL203" si="179">EXP(-1.0587+0.8836*LN(EK154)+0.284)</f>
        <v>96.057581330707137</v>
      </c>
      <c r="EM154" s="22">
        <f t="shared" ref="EM154:EM203" si="180">(EK154+EL154)*0.475*44/12</f>
        <v>900.85523818431557</v>
      </c>
      <c r="EN154" s="62">
        <f t="shared" si="128"/>
        <v>1194.1885715176488</v>
      </c>
      <c r="EO154" s="62">
        <f ca="1">AVERAGE(OFFSET($EN$3,0,0,'Données projet'!$E$15+1,1))-AVERAGE(OFFSET($H$3,0,0,'Données projet'!$E$15+1,1))</f>
        <v>581.88778927327667</v>
      </c>
      <c r="EP154" s="62">
        <f t="shared" si="154"/>
        <v>269.67340993773422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59.350661630065559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59.350661630065559</v>
      </c>
      <c r="EZ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8.3249999999999993</v>
      </c>
      <c r="FE154" s="13">
        <f>IF('Données projet'!$A$218&gt;35,FE153+FD154-FM153,IF(A154&lt;'Données projet'!$A$218,$FB$205^A154,IF(A154='Données projet'!$A$218,'Données projet'!$B$218,FE153+FD154-FM153)))</f>
        <v>465.49500000000052</v>
      </c>
      <c r="FF154" s="18">
        <f>FE154*VLOOKUP('Données projet'!$B$16,Paramètres!$A$1:$I$89,3,0)*VLOOKUP('Données projet'!$B$16,Paramètres!$A$1:$I$89,5,0)</f>
        <v>472.01193000000058</v>
      </c>
      <c r="FG154" s="14">
        <f t="shared" ref="FG154:FG203" si="182">EXP(-1.0587+0.8836*LN(FF154)+0.284)</f>
        <v>106.23238063605056</v>
      </c>
      <c r="FH154" s="22">
        <f t="shared" ref="FH154:FH203" si="183">(FF154+FG154)*0.475*44/12</f>
        <v>1007.108841024456</v>
      </c>
      <c r="FI154" s="62">
        <f t="shared" si="131"/>
        <v>1300.4421743577893</v>
      </c>
      <c r="FJ154" s="62">
        <f ca="1">AVERAGE(OFFSET($FI$3,0,0,'Données projet'!$E$16+1,1))-AVERAGE(OFFSET($H$3,0,0,'Données projet'!$E$16+1,1))</f>
        <v>646.50767193970182</v>
      </c>
      <c r="FK154" s="62">
        <f t="shared" si="156"/>
        <v>297.06786598620607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66.513672516452786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66.513672516452786</v>
      </c>
      <c r="FU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8.3249999999999993</v>
      </c>
      <c r="FZ154" s="13">
        <f>IF('Données projet'!$A$244&gt;35,FZ153+FY154-GH153,IF(A154&lt;'Données projet'!$A$244,$FW$205^A154,IF(A154='Données projet'!$A$244,'Données projet'!$B$244,FZ153+FY154-GH153)))</f>
        <v>465.49500000000052</v>
      </c>
      <c r="GA154" s="18">
        <f>FZ154*VLOOKUP('Données projet'!$B$17,Paramètres!$A$1:$I$89,3,0)*VLOOKUP('Données projet'!$B$17,Paramètres!$A$1:$I$89,5,0)</f>
        <v>312.25404600000036</v>
      </c>
      <c r="GB154" s="14">
        <f t="shared" ref="GB154:GB203" si="185">EXP(-1.0587+0.8836*LN(GA154)+0.284)</f>
        <v>73.739366022088362</v>
      </c>
      <c r="GC154" s="22">
        <f t="shared" ref="GC154:GC203" si="186">(GA154+GB154)*0.475*44/12</f>
        <v>672.27185927180437</v>
      </c>
      <c r="GD154" s="62">
        <f t="shared" si="134"/>
        <v>965.60519260513774</v>
      </c>
      <c r="GE154" s="62">
        <f ca="1">AVERAGE(OFFSET($GD$3,0,0,'Données projet'!$E$17+1,1))-AVERAGE(OFFSET($H$3,0,0,'Données projet'!$E$17+1,1))</f>
        <v>442.85175349826028</v>
      </c>
      <c r="GF154" s="62">
        <f t="shared" si="158"/>
        <v>210.70697808232501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54.234225282646101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54.234225282646101</v>
      </c>
      <c r="GP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-3.4106051316484809E-13</v>
      </c>
      <c r="GV154" s="18">
        <f>GU154*VLOOKUP('Données projet'!$B$18,Paramètres!$A$1:$I$89,3,0)*VLOOKUP('Données projet'!$B$18,Paramètres!$A$1:$I$89,5,0)</f>
        <v>-3.2455318432766944E-13</v>
      </c>
      <c r="GW154" s="14" t="e">
        <f t="shared" ref="GW154:GW203" si="188">EXP(-1.0587+0.8836*LN(GV154)+0.284)</f>
        <v>#NUM!</v>
      </c>
      <c r="GX154" s="22" t="e">
        <f t="shared" ref="GX154:GX203" si="189">(GV154+GW154)*0.475*44/12</f>
        <v>#NUM!</v>
      </c>
      <c r="GY154" s="62" t="e">
        <f t="shared" si="137"/>
        <v>#NUM!</v>
      </c>
      <c r="GZ154" s="62">
        <f ca="1">AVERAGE(OFFSET($GY$3,0,0,'Données projet'!$E$18+1,1))-AVERAGE(OFFSET($H$3,0,0,'Données projet'!$E$18+1,1))</f>
        <v>420.2510366318939</v>
      </c>
      <c r="HA154" s="62">
        <f t="shared" si="160"/>
        <v>220.59884411514116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96.291715933204301</v>
      </c>
      <c r="HH154" s="23">
        <f>EXP(-LN(2)/25)*HH153+(1-EXP(-LN(2)/25))/(LN(2)/25)*Calculateur!HC154*Calculateur!HE154*VLOOKUP('Données projet'!$B$18,Paramètres!$A$1:$I$89,3,0)*0.475*44/12</f>
        <v>0</v>
      </c>
      <c r="HI154" s="23">
        <f>EXP(-LN(2)/2)*HI153+(1-EXP(-LN(2)/2))/(LN(2)/2)*HC154*HF154*VLOOKUP('Données projet'!$B$18,Paramètres!$A$1:$I$89,3,0)*0.475*44/12</f>
        <v>0</v>
      </c>
      <c r="HJ154" s="24">
        <f t="shared" ref="HJ154:HJ203" si="190">SUM(HG154:HI154)</f>
        <v>96.291715933204301</v>
      </c>
    </row>
    <row r="155" spans="1:218" x14ac:dyDescent="0.2">
      <c r="A155" s="11">
        <f t="shared" si="161"/>
        <v>152</v>
      </c>
      <c r="B155" s="74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-4.5474735088646412E-13</v>
      </c>
      <c r="O155" s="14">
        <f>N155*VLOOKUP('Données projet'!$B$9,Paramètres!$A$1:$I$89,3,0)*VLOOKUP('Données projet'!$B$9,Paramètres!$A$1:$I$89,5,0)</f>
        <v>-3.9017322706058626E-13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623.31285537237943</v>
      </c>
      <c r="T155" s="62">
        <f t="shared" si="142"/>
        <v>462.33909258902241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100.46070548313719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100.46070548313719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4.9658410716801891E-14</v>
      </c>
      <c r="AK155" s="14">
        <f t="shared" si="164"/>
        <v>8.0934058173791862E-13</v>
      </c>
      <c r="AL155" s="22">
        <f t="shared" si="165"/>
        <v>1.4960899118586383E-12</v>
      </c>
      <c r="AM155" s="62">
        <f t="shared" si="113"/>
        <v>293.33333333333479</v>
      </c>
      <c r="AN155" s="62">
        <f ca="1">AVERAGE(OFFSET($AM$3,0,0,'Données projet'!$E$10+1,1))-AVERAGE(OFFSET($H$3,0,0,'Données projet'!$E$10+1,1))</f>
        <v>390.70479111593545</v>
      </c>
      <c r="AO155" s="62">
        <f t="shared" si="144"/>
        <v>374.99493809709708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39.572671313972975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39.572671313972975</v>
      </c>
      <c r="AY155" s="7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5.6843418860808015E-14</v>
      </c>
      <c r="BE155" s="14">
        <f>BD155*VLOOKUP('Données projet'!$B$11,Paramètres!$A$1:$I$89,3,0)*VLOOKUP('Données projet'!$B$11,Paramètres!$A$1:$I$89,5,0)</f>
        <v>4.5224624045658861E-14</v>
      </c>
      <c r="BF155" s="14">
        <f t="shared" si="167"/>
        <v>7.4514601661523691E-13</v>
      </c>
      <c r="BG155" s="22">
        <f t="shared" si="168"/>
        <v>1.3765621991510601E-12</v>
      </c>
      <c r="BH155" s="62">
        <f t="shared" si="116"/>
        <v>293.33333333333468</v>
      </c>
      <c r="BI155" s="62">
        <f ca="1">AVERAGE(OFFSET($BH$3,0,0,'Données projet'!$E$11+1,1))-AVERAGE(OFFSET($H$3,0,0,'Données projet'!$E$11+1,1))</f>
        <v>359.18294335011535</v>
      </c>
      <c r="BJ155" s="62">
        <f t="shared" si="146"/>
        <v>345.47508134331241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36.039397089511098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36.039397089511098</v>
      </c>
      <c r="BT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5.6843418860808015E-14</v>
      </c>
      <c r="BZ155" s="14">
        <f>BY155*VLOOKUP('Données projet'!$B$12,Paramètres!$A$1:$I$89,3,0)*VLOOKUP('Données projet'!$B$12,Paramètres!$A$1:$I$89,5,0)</f>
        <v>4.1677594708744434E-14</v>
      </c>
      <c r="CA155" s="14">
        <f t="shared" si="170"/>
        <v>6.9326303456159188E-13</v>
      </c>
      <c r="CB155" s="22">
        <f t="shared" si="171"/>
        <v>1.2800215959791691E-12</v>
      </c>
      <c r="CC155" s="62">
        <f t="shared" si="119"/>
        <v>293.33333333333462</v>
      </c>
      <c r="CD155" s="62">
        <f ca="1">AVERAGE(OFFSET($CC$3,0,0,'Données projet'!$E$12+1,1))-AVERAGE(OFFSET($H$3,0,0,'Données projet'!$E$12+1,1))</f>
        <v>333.9187211440219</v>
      </c>
      <c r="CE155" s="62">
        <f t="shared" si="148"/>
        <v>321.81422611044997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26.946215877877133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26.946215877877133</v>
      </c>
      <c r="CO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5.6843418860808015E-14</v>
      </c>
      <c r="CU155" s="18">
        <f>CT155*VLOOKUP('Données projet'!$B$13,Paramètres!$A$1:$I$89,3,0)*VLOOKUP('Données projet'!$B$13,Paramètres!$A$1:$I$89,5,0)</f>
        <v>4.6111381379887463E-14</v>
      </c>
      <c r="CV155" s="14">
        <f t="shared" si="173"/>
        <v>7.5804141040779151E-13</v>
      </c>
      <c r="CW155" s="22">
        <f t="shared" si="174"/>
        <v>1.4005661123635408E-12</v>
      </c>
      <c r="CX155" s="62">
        <f t="shared" si="122"/>
        <v>293.33333333333474</v>
      </c>
      <c r="CY155" s="62">
        <f ca="1">AVERAGE(OFFSET($CX$3,0,0,'Données projet'!$E$13+1,1))-AVERAGE(OFFSET($H$3,0,0,'Données projet'!$E$13+1,1))</f>
        <v>365.492319515595</v>
      </c>
      <c r="CZ155" s="62">
        <f t="shared" si="150"/>
        <v>351.38386928091433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29.812834588289583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29.812834588289583</v>
      </c>
      <c r="DJ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8.3249999999999993</v>
      </c>
      <c r="DO155" s="13">
        <f>IF('Données projet'!$A$166&gt;35,DO154+DN155-DW154,IF(A155&lt;'Données projet'!$A$166,$DL$205^A155,IF(A155='Données projet'!$A$166,'Données projet'!$B$166,DO154+DN155-DW154)))</f>
        <v>473.8200000000005</v>
      </c>
      <c r="DP155" s="18">
        <f>DO155*VLOOKUP('Données projet'!$B$14,Paramètres!$A$1:$I$89,3,0)*VLOOKUP('Données projet'!$B$14,Paramètres!$A$1:$I$89,5,0)</f>
        <v>399.14596800000044</v>
      </c>
      <c r="DQ155" s="14">
        <f t="shared" si="176"/>
        <v>91.603501807659626</v>
      </c>
      <c r="DR155" s="22">
        <f t="shared" si="177"/>
        <v>854.72199324834116</v>
      </c>
      <c r="DS155" s="62">
        <f t="shared" si="125"/>
        <v>1148.0553265816745</v>
      </c>
      <c r="DT155" s="62">
        <f ca="1">AVERAGE(OFFSET($DS$3,0,0,'Données projet'!$E$14+1,1))-AVERAGE(OFFSET($H$3,0,0,'Données projet'!$E$14+1,1))</f>
        <v>544.89250424794909</v>
      </c>
      <c r="DU155" s="62">
        <f t="shared" si="152"/>
        <v>253.98688498110715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54.173946434737417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54.173946434737417</v>
      </c>
      <c r="EE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8.3249999999999993</v>
      </c>
      <c r="EJ155" s="13">
        <f>IF('Données projet'!$A$192&gt;35,EJ154+EI155-ER154,IF(A155&lt;'Données projet'!$A$192,$EG$205^A155,IF(A155='Données projet'!$A$192,'Données projet'!$B$192,EJ154+EI155-ER154)))</f>
        <v>473.8200000000005</v>
      </c>
      <c r="EK155" s="18">
        <f>EJ155*VLOOKUP('Données projet'!$B$15,Paramètres!$A$1:$I$89,3,0)*VLOOKUP('Données projet'!$B$15,Paramètres!$A$1:$I$89,5,0)</f>
        <v>428.71233600000051</v>
      </c>
      <c r="EL155" s="14">
        <f t="shared" si="179"/>
        <v>97.57395866550209</v>
      </c>
      <c r="EM155" s="22">
        <f t="shared" si="180"/>
        <v>916.61529654241701</v>
      </c>
      <c r="EN155" s="62">
        <f t="shared" si="128"/>
        <v>1209.9486298757504</v>
      </c>
      <c r="EO155" s="62">
        <f ca="1">AVERAGE(OFFSET($EN$3,0,0,'Données projet'!$E$15+1,1))-AVERAGE(OFFSET($H$3,0,0,'Données projet'!$E$15+1,1))</f>
        <v>581.88778927327667</v>
      </c>
      <c r="EP155" s="62">
        <f t="shared" si="154"/>
        <v>269.67340993773422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58.186831355829085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58.186831355829085</v>
      </c>
      <c r="EZ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8.3249999999999993</v>
      </c>
      <c r="FE155" s="13">
        <f>IF('Données projet'!$A$218&gt;35,FE154+FD155-FM154,IF(A155&lt;'Données projet'!$A$218,$FB$205^A155,IF(A155='Données projet'!$A$218,'Données projet'!$B$218,FE154+FD155-FM154)))</f>
        <v>473.8200000000005</v>
      </c>
      <c r="FF155" s="18">
        <f>FE155*VLOOKUP('Données projet'!$B$16,Paramètres!$A$1:$I$89,3,0)*VLOOKUP('Données projet'!$B$16,Paramètres!$A$1:$I$89,5,0)</f>
        <v>480.45348000000058</v>
      </c>
      <c r="FG155" s="14">
        <f t="shared" si="182"/>
        <v>107.90937866146631</v>
      </c>
      <c r="FH155" s="22">
        <f t="shared" si="183"/>
        <v>1024.7319788353882</v>
      </c>
      <c r="FI155" s="62">
        <f t="shared" si="131"/>
        <v>1318.0653121687214</v>
      </c>
      <c r="FJ155" s="62">
        <f ca="1">AVERAGE(OFFSET($FI$3,0,0,'Données projet'!$E$16+1,1))-AVERAGE(OFFSET($H$3,0,0,'Données projet'!$E$16+1,1))</f>
        <v>646.50767193970182</v>
      </c>
      <c r="FK155" s="62">
        <f t="shared" si="156"/>
        <v>297.06786598620607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65.209379967739494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65.209379967739494</v>
      </c>
      <c r="FU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8.3249999999999993</v>
      </c>
      <c r="FZ155" s="13">
        <f>IF('Données projet'!$A$244&gt;35,FZ154+FY155-GH154,IF(A155&lt;'Données projet'!$A$244,$FW$205^A155,IF(A155='Données projet'!$A$244,'Données projet'!$B$244,FZ154+FY155-GH154)))</f>
        <v>473.8200000000005</v>
      </c>
      <c r="GA155" s="18">
        <f>FZ155*VLOOKUP('Données projet'!$B$17,Paramètres!$A$1:$I$89,3,0)*VLOOKUP('Données projet'!$B$17,Paramètres!$A$1:$I$89,5,0)</f>
        <v>317.83845600000035</v>
      </c>
      <c r="GB155" s="14">
        <f t="shared" si="185"/>
        <v>74.90342513922424</v>
      </c>
      <c r="GC155" s="22">
        <f t="shared" si="186"/>
        <v>684.02544298414944</v>
      </c>
      <c r="GD155" s="62">
        <f t="shared" si="134"/>
        <v>977.35877631748281</v>
      </c>
      <c r="GE155" s="62">
        <f ca="1">AVERAGE(OFFSET($GD$3,0,0,'Données projet'!$E$17+1,1))-AVERAGE(OFFSET($H$3,0,0,'Données projet'!$E$17+1,1))</f>
        <v>442.85175349826028</v>
      </c>
      <c r="GF155" s="62">
        <f t="shared" si="158"/>
        <v>210.70697808232501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53.170725204464496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53.170725204464496</v>
      </c>
      <c r="GP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-3.4106051316484809E-13</v>
      </c>
      <c r="GV155" s="18">
        <f>GU155*VLOOKUP('Données projet'!$B$18,Paramètres!$A$1:$I$89,3,0)*VLOOKUP('Données projet'!$B$18,Paramètres!$A$1:$I$89,5,0)</f>
        <v>-3.2455318432766944E-13</v>
      </c>
      <c r="GW155" s="14" t="e">
        <f t="shared" si="188"/>
        <v>#NUM!</v>
      </c>
      <c r="GX155" s="22" t="e">
        <f t="shared" si="189"/>
        <v>#NUM!</v>
      </c>
      <c r="GY155" s="62" t="e">
        <f t="shared" si="137"/>
        <v>#NUM!</v>
      </c>
      <c r="GZ155" s="62">
        <f ca="1">AVERAGE(OFFSET($GY$3,0,0,'Données projet'!$E$18+1,1))-AVERAGE(OFFSET($H$3,0,0,'Données projet'!$E$18+1,1))</f>
        <v>420.2510366318939</v>
      </c>
      <c r="HA155" s="62">
        <f t="shared" si="160"/>
        <v>220.59884411514116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94.403494115901566</v>
      </c>
      <c r="HH155" s="23">
        <f>EXP(-LN(2)/25)*HH154+(1-EXP(-LN(2)/25))/(LN(2)/25)*Calculateur!HC155*Calculateur!HE155*VLOOKUP('Données projet'!$B$18,Paramètres!$A$1:$I$89,3,0)*0.475*44/12</f>
        <v>0</v>
      </c>
      <c r="HI155" s="23">
        <f>EXP(-LN(2)/2)*HI154+(1-EXP(-LN(2)/2))/(LN(2)/2)*HC155*HF155*VLOOKUP('Données projet'!$B$18,Paramètres!$A$1:$I$89,3,0)*0.475*44/12</f>
        <v>0</v>
      </c>
      <c r="HJ155" s="24">
        <f t="shared" si="190"/>
        <v>94.403494115901566</v>
      </c>
    </row>
    <row r="156" spans="1:218" x14ac:dyDescent="0.2">
      <c r="A156" s="11">
        <f t="shared" si="161"/>
        <v>153</v>
      </c>
      <c r="B156" s="74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-4.5474735088646412E-13</v>
      </c>
      <c r="O156" s="14">
        <f>N156*VLOOKUP('Données projet'!$B$9,Paramètres!$A$1:$I$89,3,0)*VLOOKUP('Données projet'!$B$9,Paramètres!$A$1:$I$89,5,0)</f>
        <v>-3.9017322706058626E-13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623.31285537237943</v>
      </c>
      <c r="T156" s="62">
        <f t="shared" si="142"/>
        <v>462.33909258902241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98.490732323592809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98.490732323592809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4.9658410716801891E-14</v>
      </c>
      <c r="AK156" s="14">
        <f t="shared" si="164"/>
        <v>8.0934058173791862E-13</v>
      </c>
      <c r="AL156" s="22">
        <f t="shared" si="165"/>
        <v>1.4960899118586383E-12</v>
      </c>
      <c r="AM156" s="62">
        <f t="shared" si="113"/>
        <v>293.33333333333479</v>
      </c>
      <c r="AN156" s="62">
        <f ca="1">AVERAGE(OFFSET($AM$3,0,0,'Données projet'!$E$10+1,1))-AVERAGE(OFFSET($H$3,0,0,'Données projet'!$E$10+1,1))</f>
        <v>390.70479111593545</v>
      </c>
      <c r="AO156" s="62">
        <f t="shared" si="144"/>
        <v>374.99493809709708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38.796675366452142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38.796675366452142</v>
      </c>
      <c r="AY156" s="7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5.6843418860808015E-14</v>
      </c>
      <c r="BE156" s="14">
        <f>BD156*VLOOKUP('Données projet'!$B$11,Paramètres!$A$1:$I$89,3,0)*VLOOKUP('Données projet'!$B$11,Paramètres!$A$1:$I$89,5,0)</f>
        <v>4.5224624045658861E-14</v>
      </c>
      <c r="BF156" s="14">
        <f t="shared" si="167"/>
        <v>7.4514601661523691E-13</v>
      </c>
      <c r="BG156" s="22">
        <f t="shared" si="168"/>
        <v>1.3765621991510601E-12</v>
      </c>
      <c r="BH156" s="62">
        <f t="shared" si="116"/>
        <v>293.33333333333468</v>
      </c>
      <c r="BI156" s="62">
        <f ca="1">AVERAGE(OFFSET($BH$3,0,0,'Données projet'!$E$11+1,1))-AVERAGE(OFFSET($H$3,0,0,'Données projet'!$E$11+1,1))</f>
        <v>359.18294335011535</v>
      </c>
      <c r="BJ156" s="62">
        <f t="shared" si="146"/>
        <v>345.47508134331241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35.332686494447479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35.332686494447479</v>
      </c>
      <c r="BT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5.6843418860808015E-14</v>
      </c>
      <c r="BZ156" s="14">
        <f>BY156*VLOOKUP('Données projet'!$B$12,Paramètres!$A$1:$I$89,3,0)*VLOOKUP('Données projet'!$B$12,Paramètres!$A$1:$I$89,5,0)</f>
        <v>4.1677594708744434E-14</v>
      </c>
      <c r="CA156" s="14">
        <f t="shared" si="170"/>
        <v>6.9326303456159188E-13</v>
      </c>
      <c r="CB156" s="22">
        <f t="shared" si="171"/>
        <v>1.2800215959791691E-12</v>
      </c>
      <c r="CC156" s="62">
        <f t="shared" si="119"/>
        <v>293.33333333333462</v>
      </c>
      <c r="CD156" s="62">
        <f ca="1">AVERAGE(OFFSET($CC$3,0,0,'Données projet'!$E$12+1,1))-AVERAGE(OFFSET($H$3,0,0,'Données projet'!$E$12+1,1))</f>
        <v>333.9187211440219</v>
      </c>
      <c r="CE156" s="62">
        <f t="shared" si="148"/>
        <v>321.81422611044997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26.417817020080772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26.417817020080772</v>
      </c>
      <c r="CO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5.6843418860808015E-14</v>
      </c>
      <c r="CU156" s="18">
        <f>CT156*VLOOKUP('Données projet'!$B$13,Paramètres!$A$1:$I$89,3,0)*VLOOKUP('Données projet'!$B$13,Paramètres!$A$1:$I$89,5,0)</f>
        <v>4.6111381379887463E-14</v>
      </c>
      <c r="CV156" s="14">
        <f t="shared" si="173"/>
        <v>7.5804141040779151E-13</v>
      </c>
      <c r="CW156" s="22">
        <f t="shared" si="174"/>
        <v>1.4005661123635408E-12</v>
      </c>
      <c r="CX156" s="62">
        <f t="shared" si="122"/>
        <v>293.33333333333474</v>
      </c>
      <c r="CY156" s="62">
        <f ca="1">AVERAGE(OFFSET($CX$3,0,0,'Données projet'!$E$13+1,1))-AVERAGE(OFFSET($H$3,0,0,'Données projet'!$E$13+1,1))</f>
        <v>365.492319515595</v>
      </c>
      <c r="CZ156" s="62">
        <f t="shared" si="150"/>
        <v>351.38386928091433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29.2282230860468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29.2282230860468</v>
      </c>
      <c r="DJ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8.3249999999999993</v>
      </c>
      <c r="DO156" s="13">
        <f>IF('Données projet'!$A$166&gt;35,DO155+DN156-DW155,IF(A156&lt;'Données projet'!$A$166,$DL$205^A156,IF(A156='Données projet'!$A$166,'Données projet'!$B$166,DO155+DN156-DW155)))</f>
        <v>482.14500000000049</v>
      </c>
      <c r="DP156" s="18">
        <f>DO156*VLOOKUP('Données projet'!$B$14,Paramètres!$A$1:$I$89,3,0)*VLOOKUP('Données projet'!$B$14,Paramètres!$A$1:$I$89,5,0)</f>
        <v>406.15894800000041</v>
      </c>
      <c r="DQ156" s="14">
        <f t="shared" si="176"/>
        <v>93.02418483646349</v>
      </c>
      <c r="DR156" s="22">
        <f t="shared" si="177"/>
        <v>869.41062302350792</v>
      </c>
      <c r="DS156" s="62">
        <f t="shared" si="125"/>
        <v>1162.7439563568412</v>
      </c>
      <c r="DT156" s="62">
        <f ca="1">AVERAGE(OFFSET($DS$3,0,0,'Données projet'!$E$14+1,1))-AVERAGE(OFFSET($H$3,0,0,'Données projet'!$E$14+1,1))</f>
        <v>544.89250424794909</v>
      </c>
      <c r="DU156" s="62">
        <f t="shared" si="152"/>
        <v>253.98688498110715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53.111628387996831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53.111628387996831</v>
      </c>
      <c r="EE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8.3249999999999993</v>
      </c>
      <c r="EJ156" s="13">
        <f>IF('Données projet'!$A$192&gt;35,EJ155+EI156-ER155,IF(A156&lt;'Données projet'!$A$192,$EG$205^A156,IF(A156='Données projet'!$A$192,'Données projet'!$B$192,EJ155+EI156-ER155)))</f>
        <v>482.14500000000049</v>
      </c>
      <c r="EK156" s="18">
        <f>EJ156*VLOOKUP('Données projet'!$B$15,Paramètres!$A$1:$I$89,3,0)*VLOOKUP('Données projet'!$B$15,Paramètres!$A$1:$I$89,5,0)</f>
        <v>436.24479600000041</v>
      </c>
      <c r="EL156" s="14">
        <f t="shared" si="179"/>
        <v>99.087237791231857</v>
      </c>
      <c r="EM156" s="22">
        <f t="shared" si="180"/>
        <v>932.36995885306271</v>
      </c>
      <c r="EN156" s="62">
        <f t="shared" si="128"/>
        <v>1225.7032921863961</v>
      </c>
      <c r="EO156" s="62">
        <f ca="1">AVERAGE(OFFSET($EN$3,0,0,'Données projet'!$E$15+1,1))-AVERAGE(OFFSET($H$3,0,0,'Données projet'!$E$15+1,1))</f>
        <v>581.88778927327667</v>
      </c>
      <c r="EP156" s="62">
        <f t="shared" si="154"/>
        <v>269.67340993773422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57.045823083404009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57.045823083404009</v>
      </c>
      <c r="EZ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8.3249999999999993</v>
      </c>
      <c r="FE156" s="13">
        <f>IF('Données projet'!$A$218&gt;35,FE155+FD156-FM155,IF(A156&lt;'Données projet'!$A$218,$FB$205^A156,IF(A156='Données projet'!$A$218,'Données projet'!$B$218,FE155+FD156-FM155)))</f>
        <v>482.14500000000049</v>
      </c>
      <c r="FF156" s="18">
        <f>FE156*VLOOKUP('Données projet'!$B$16,Paramètres!$A$1:$I$89,3,0)*VLOOKUP('Données projet'!$B$16,Paramètres!$A$1:$I$89,5,0)</f>
        <v>488.89503000000053</v>
      </c>
      <c r="FG156" s="14">
        <f t="shared" si="182"/>
        <v>109.582950303247</v>
      </c>
      <c r="FH156" s="22">
        <f t="shared" si="183"/>
        <v>1042.349149028156</v>
      </c>
      <c r="FI156" s="62">
        <f t="shared" si="131"/>
        <v>1335.6824823614893</v>
      </c>
      <c r="FJ156" s="62">
        <f ca="1">AVERAGE(OFFSET($FI$3,0,0,'Données projet'!$E$16+1,1))-AVERAGE(OFFSET($H$3,0,0,'Données projet'!$E$16+1,1))</f>
        <v>646.50767193970182</v>
      </c>
      <c r="FK156" s="62">
        <f t="shared" si="156"/>
        <v>297.06786598620607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63.930663800366567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63.930663800366567</v>
      </c>
      <c r="FU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8.3249999999999993</v>
      </c>
      <c r="FZ156" s="13">
        <f>IF('Données projet'!$A$244&gt;35,FZ155+FY156-GH155,IF(A156&lt;'Données projet'!$A$244,$FW$205^A156,IF(A156='Données projet'!$A$244,'Données projet'!$B$244,FZ155+FY156-GH155)))</f>
        <v>482.14500000000049</v>
      </c>
      <c r="GA156" s="18">
        <f>FZ156*VLOOKUP('Données projet'!$B$17,Paramètres!$A$1:$I$89,3,0)*VLOOKUP('Données projet'!$B$17,Paramètres!$A$1:$I$89,5,0)</f>
        <v>323.42286600000034</v>
      </c>
      <c r="GB156" s="14">
        <f t="shared" si="185"/>
        <v>76.065105891538806</v>
      </c>
      <c r="GC156" s="22">
        <f t="shared" si="186"/>
        <v>695.7748843777639</v>
      </c>
      <c r="GD156" s="62">
        <f t="shared" si="134"/>
        <v>989.10821771109727</v>
      </c>
      <c r="GE156" s="62">
        <f ca="1">AVERAGE(OFFSET($GD$3,0,0,'Données projet'!$E$17+1,1))-AVERAGE(OFFSET($H$3,0,0,'Données projet'!$E$17+1,1))</f>
        <v>442.85175349826028</v>
      </c>
      <c r="GF156" s="62">
        <f t="shared" si="158"/>
        <v>210.70697808232501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52.128079714145031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52.128079714145031</v>
      </c>
      <c r="GP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-3.4106051316484809E-13</v>
      </c>
      <c r="GV156" s="18">
        <f>GU156*VLOOKUP('Données projet'!$B$18,Paramètres!$A$1:$I$89,3,0)*VLOOKUP('Données projet'!$B$18,Paramètres!$A$1:$I$89,5,0)</f>
        <v>-3.2455318432766944E-13</v>
      </c>
      <c r="GW156" s="14" t="e">
        <f t="shared" si="188"/>
        <v>#NUM!</v>
      </c>
      <c r="GX156" s="22" t="e">
        <f t="shared" si="189"/>
        <v>#NUM!</v>
      </c>
      <c r="GY156" s="62" t="e">
        <f t="shared" si="137"/>
        <v>#NUM!</v>
      </c>
      <c r="GZ156" s="62">
        <f ca="1">AVERAGE(OFFSET($GY$3,0,0,'Données projet'!$E$18+1,1))-AVERAGE(OFFSET($H$3,0,0,'Données projet'!$E$18+1,1))</f>
        <v>420.2510366318939</v>
      </c>
      <c r="HA156" s="62">
        <f t="shared" si="160"/>
        <v>220.59884411514116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92.55229917673455</v>
      </c>
      <c r="HH156" s="23">
        <f>EXP(-LN(2)/25)*HH155+(1-EXP(-LN(2)/25))/(LN(2)/25)*Calculateur!HC156*Calculateur!HE156*VLOOKUP('Données projet'!$B$18,Paramètres!$A$1:$I$89,3,0)*0.475*44/12</f>
        <v>0</v>
      </c>
      <c r="HI156" s="23">
        <f>EXP(-LN(2)/2)*HI155+(1-EXP(-LN(2)/2))/(LN(2)/2)*HC156*HF156*VLOOKUP('Données projet'!$B$18,Paramètres!$A$1:$I$89,3,0)*0.475*44/12</f>
        <v>0</v>
      </c>
      <c r="HJ156" s="24">
        <f t="shared" si="190"/>
        <v>92.55229917673455</v>
      </c>
    </row>
    <row r="157" spans="1:218" x14ac:dyDescent="0.2">
      <c r="A157" s="11">
        <f t="shared" si="161"/>
        <v>154</v>
      </c>
      <c r="B157" s="74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-4.5474735088646412E-13</v>
      </c>
      <c r="O157" s="14">
        <f>N157*VLOOKUP('Données projet'!$B$9,Paramètres!$A$1:$I$89,3,0)*VLOOKUP('Données projet'!$B$9,Paramètres!$A$1:$I$89,5,0)</f>
        <v>-3.9017322706058626E-13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623.31285537237943</v>
      </c>
      <c r="T157" s="62">
        <f t="shared" si="142"/>
        <v>462.33909258902241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96.559389136142116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96.559389136142116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4.9658410716801891E-14</v>
      </c>
      <c r="AK157" s="14">
        <f t="shared" si="164"/>
        <v>8.0934058173791862E-13</v>
      </c>
      <c r="AL157" s="22">
        <f t="shared" si="165"/>
        <v>1.4960899118586383E-12</v>
      </c>
      <c r="AM157" s="62">
        <f t="shared" si="113"/>
        <v>293.33333333333479</v>
      </c>
      <c r="AN157" s="62">
        <f ca="1">AVERAGE(OFFSET($AM$3,0,0,'Données projet'!$E$10+1,1))-AVERAGE(OFFSET($H$3,0,0,'Données projet'!$E$10+1,1))</f>
        <v>390.70479111593545</v>
      </c>
      <c r="AO157" s="62">
        <f t="shared" si="144"/>
        <v>374.99493809709708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38.035896226151401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38.035896226151401</v>
      </c>
      <c r="AY157" s="7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5.6843418860808015E-14</v>
      </c>
      <c r="BE157" s="14">
        <f>BD157*VLOOKUP('Données projet'!$B$11,Paramètres!$A$1:$I$89,3,0)*VLOOKUP('Données projet'!$B$11,Paramètres!$A$1:$I$89,5,0)</f>
        <v>4.5224624045658861E-14</v>
      </c>
      <c r="BF157" s="14">
        <f t="shared" si="167"/>
        <v>7.4514601661523691E-13</v>
      </c>
      <c r="BG157" s="22">
        <f t="shared" si="168"/>
        <v>1.3765621991510601E-12</v>
      </c>
      <c r="BH157" s="62">
        <f t="shared" si="116"/>
        <v>293.33333333333468</v>
      </c>
      <c r="BI157" s="62">
        <f ca="1">AVERAGE(OFFSET($BH$3,0,0,'Données projet'!$E$11+1,1))-AVERAGE(OFFSET($H$3,0,0,'Données projet'!$E$11+1,1))</f>
        <v>359.18294335011535</v>
      </c>
      <c r="BJ157" s="62">
        <f t="shared" si="146"/>
        <v>345.47508134331241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34.639834063102157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34.639834063102157</v>
      </c>
      <c r="BT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5.6843418860808015E-14</v>
      </c>
      <c r="BZ157" s="14">
        <f>BY157*VLOOKUP('Données projet'!$B$12,Paramètres!$A$1:$I$89,3,0)*VLOOKUP('Données projet'!$B$12,Paramètres!$A$1:$I$89,5,0)</f>
        <v>4.1677594708744434E-14</v>
      </c>
      <c r="CA157" s="14">
        <f t="shared" si="170"/>
        <v>6.9326303456159188E-13</v>
      </c>
      <c r="CB157" s="22">
        <f t="shared" si="171"/>
        <v>1.2800215959791691E-12</v>
      </c>
      <c r="CC157" s="62">
        <f t="shared" si="119"/>
        <v>293.33333333333462</v>
      </c>
      <c r="CD157" s="62">
        <f ca="1">AVERAGE(OFFSET($CC$3,0,0,'Données projet'!$E$12+1,1))-AVERAGE(OFFSET($H$3,0,0,'Données projet'!$E$12+1,1))</f>
        <v>333.9187211440219</v>
      </c>
      <c r="CE157" s="62">
        <f t="shared" si="148"/>
        <v>321.81422611044997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25.899779741594315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25.899779741594315</v>
      </c>
      <c r="CO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5.6843418860808015E-14</v>
      </c>
      <c r="CU157" s="18">
        <f>CT157*VLOOKUP('Données projet'!$B$13,Paramètres!$A$1:$I$89,3,0)*VLOOKUP('Données projet'!$B$13,Paramètres!$A$1:$I$89,5,0)</f>
        <v>4.6111381379887463E-14</v>
      </c>
      <c r="CV157" s="14">
        <f t="shared" si="173"/>
        <v>7.5804141040779151E-13</v>
      </c>
      <c r="CW157" s="22">
        <f t="shared" si="174"/>
        <v>1.4005661123635408E-12</v>
      </c>
      <c r="CX157" s="62">
        <f t="shared" si="122"/>
        <v>293.33333333333474</v>
      </c>
      <c r="CY157" s="62">
        <f ca="1">AVERAGE(OFFSET($CX$3,0,0,'Données projet'!$E$13+1,1))-AVERAGE(OFFSET($H$3,0,0,'Données projet'!$E$13+1,1))</f>
        <v>365.492319515595</v>
      </c>
      <c r="CZ157" s="62">
        <f t="shared" si="150"/>
        <v>351.38386928091433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28.655075458785188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28.655075458785188</v>
      </c>
      <c r="DJ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>
        <f>VLOOKUP(A157,'Données projet'!$A$165:$I$185,2,0)</f>
        <v>490.47</v>
      </c>
      <c r="DM157" s="13">
        <f>VLOOKUP(A157,'Données projet'!$A$165:$I$185,9,0)</f>
        <v>8.3249999999999993</v>
      </c>
      <c r="DN157" s="13">
        <f t="array" ref="DN157">INDEX(DM:DM,MIN(IF(ISNUMBER(DM157:DM353),ROW(DM157:DM353),"")))</f>
        <v>8.3249999999999993</v>
      </c>
      <c r="DO157" s="13">
        <f>IF('Données projet'!$A$166&gt;35,DO156+DN157-DW156,IF(A157&lt;'Données projet'!$A$166,$DL$205^A157,IF(A157='Données projet'!$A$166,'Données projet'!$B$166,DO156+DN157-DW156)))</f>
        <v>490.47000000000048</v>
      </c>
      <c r="DP157" s="18">
        <f>DO157*VLOOKUP('Données projet'!$B$14,Paramètres!$A$1:$I$89,3,0)*VLOOKUP('Données projet'!$B$14,Paramètres!$A$1:$I$89,5,0)</f>
        <v>413.17192800000043</v>
      </c>
      <c r="DQ157" s="14">
        <f t="shared" si="176"/>
        <v>94.442015249972286</v>
      </c>
      <c r="DR157" s="22">
        <f t="shared" si="177"/>
        <v>884.0942844937025</v>
      </c>
      <c r="DS157" s="62">
        <f t="shared" si="125"/>
        <v>1177.4276178270359</v>
      </c>
      <c r="DT157" s="62">
        <f ca="1">AVERAGE(OFFSET($DS$3,0,0,'Données projet'!$E$14+1,1))-AVERAGE(OFFSET($H$3,0,0,'Données projet'!$E$14+1,1))</f>
        <v>544.89250424794909</v>
      </c>
      <c r="DU157" s="62">
        <f t="shared" si="152"/>
        <v>253.98688498110715</v>
      </c>
      <c r="DV157" s="16">
        <f>IF(ISNA(VLOOKUP(A157,'Données projet'!$A$165:$I$185,3,0)),0,VLOOKUP(A157,'Données projet'!$A$165:$I$185,3,0))</f>
        <v>13</v>
      </c>
      <c r="DW157" s="16">
        <f>IF(ISNA(VLOOKUP(A157,'Données projet'!$A$165:$I$185,4,0)),0,VLOOKUP(A157,'Données projet'!$A$165:$I$185,4,0))</f>
        <v>55.13</v>
      </c>
      <c r="DX157" s="17">
        <f>IF(ISNA(VLOOKUP(A157,'Données projet'!$A$165:$I$185,5,0)),0%,VLOOKUP(A157,'Données projet'!$A$165:$I$185,5,0)*VLOOKUP('Données projet'!$B$14,Paramètres!$A$1:$I$89,7,0))</f>
        <v>0.30099999999999999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67.523396235116735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67.523396235116735</v>
      </c>
      <c r="EE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>
        <f>VLOOKUP(A157,'Données projet'!$A$191:$I$211,2,0)</f>
        <v>490.47</v>
      </c>
      <c r="EH157" s="13">
        <f>VLOOKUP(A157,'Données projet'!$A$191:$I$211,9,0)</f>
        <v>8.3249999999999993</v>
      </c>
      <c r="EI157" s="13">
        <f t="array" ref="EI157">INDEX(EH:EH,MIN(IF(ISNUMBER(EH157:EH353),ROW(EH157:EH353),"")))</f>
        <v>8.3249999999999993</v>
      </c>
      <c r="EJ157" s="13">
        <f>IF('Données projet'!$A$192&gt;35,EJ156+EI157-ER156,IF(A157&lt;'Données projet'!$A$192,$EG$205^A157,IF(A157='Données projet'!$A$192,'Données projet'!$B$192,EJ156+EI157-ER156)))</f>
        <v>490.47000000000048</v>
      </c>
      <c r="EK157" s="18">
        <f>EJ157*VLOOKUP('Données projet'!$B$15,Paramètres!$A$1:$I$89,3,0)*VLOOKUP('Données projet'!$B$15,Paramètres!$A$1:$I$89,5,0)</f>
        <v>443.77725600000048</v>
      </c>
      <c r="EL157" s="14">
        <f t="shared" si="179"/>
        <v>100.59747837627934</v>
      </c>
      <c r="EM157" s="22">
        <f t="shared" si="180"/>
        <v>948.11932903868717</v>
      </c>
      <c r="EN157" s="62">
        <f t="shared" si="128"/>
        <v>1241.4526623720205</v>
      </c>
      <c r="EO157" s="62">
        <f ca="1">AVERAGE(OFFSET($EN$3,0,0,'Données projet'!$E$15+1,1))-AVERAGE(OFFSET($H$3,0,0,'Données projet'!$E$15+1,1))</f>
        <v>581.88778927327667</v>
      </c>
      <c r="EP157" s="62">
        <f t="shared" si="154"/>
        <v>269.67340993773422</v>
      </c>
      <c r="EQ157" s="16">
        <f>IF(ISNA(VLOOKUP(A157,'Données projet'!$A$191:$I$211,3,0)),0,VLOOKUP(A157,'Données projet'!$A$191:$I$211,3,0))</f>
        <v>13</v>
      </c>
      <c r="ER157" s="16">
        <f>IF(ISNA(VLOOKUP(A157,'Données projet'!$A$191:$I$211,4,0)),0,VLOOKUP(A157,'Données projet'!$A$191:$I$211,4,0))</f>
        <v>55.13</v>
      </c>
      <c r="ES157" s="17">
        <f>IF(ISNA(VLOOKUP(A157,'Données projet'!$A$191:$I$211,5,0)),0%,VLOOKUP(A157,'Données projet'!$A$191:$I$211,5,0)*VLOOKUP('Données projet'!$B$15,Paramètres!$A$1:$I$89,7,0))</f>
        <v>0.30099999999999999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72.525129289569833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72.525129289569833</v>
      </c>
      <c r="EZ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>
        <f>VLOOKUP(A157,'Données projet'!$A$217:$I$237,2,0)</f>
        <v>490.47</v>
      </c>
      <c r="FC157" s="13">
        <f>VLOOKUP(A157,'Données projet'!$A$217:$I$237,9,0)</f>
        <v>8.3249999999999993</v>
      </c>
      <c r="FD157" s="13">
        <f t="array" ref="FD157">INDEX(FC:FC,MIN(IF(ISNUMBER(FC157:FC353),ROW(FC157:FC353),"")))</f>
        <v>8.3249999999999993</v>
      </c>
      <c r="FE157" s="13">
        <f>IF('Données projet'!$A$218&gt;35,FE156+FD157-FM156,IF(A157&lt;'Données projet'!$A$218,$FB$205^A157,IF(A157='Données projet'!$A$218,'Données projet'!$B$218,FE156+FD157-FM156)))</f>
        <v>490.47000000000048</v>
      </c>
      <c r="FF157" s="18">
        <f>FE157*VLOOKUP('Données projet'!$B$16,Paramètres!$A$1:$I$89,3,0)*VLOOKUP('Données projet'!$B$16,Paramètres!$A$1:$I$89,5,0)</f>
        <v>497.33658000000054</v>
      </c>
      <c r="FG157" s="14">
        <f t="shared" si="182"/>
        <v>111.2531615500869</v>
      </c>
      <c r="FH157" s="22">
        <f t="shared" si="183"/>
        <v>1059.9604665330687</v>
      </c>
      <c r="FI157" s="62">
        <f t="shared" si="131"/>
        <v>1353.293799866402</v>
      </c>
      <c r="FJ157" s="62">
        <f ca="1">AVERAGE(OFFSET($FI$3,0,0,'Données projet'!$E$16+1,1))-AVERAGE(OFFSET($H$3,0,0,'Données projet'!$E$16+1,1))</f>
        <v>646.50767193970182</v>
      </c>
      <c r="FK157" s="62">
        <f t="shared" si="156"/>
        <v>297.06786598620607</v>
      </c>
      <c r="FL157" s="16">
        <f>IF(ISNA(VLOOKUP(A157,'Données projet'!$A$217:$I$237,3,0)),0,VLOOKUP(A157,'Données projet'!$A$217:$I$237,3,0))</f>
        <v>13</v>
      </c>
      <c r="FM157" s="16">
        <f>IF(ISNA(VLOOKUP(A157,'Données projet'!$A$217:$I$237,4,0)),0,VLOOKUP(A157,'Données projet'!$A$217:$I$237,4,0))</f>
        <v>55.13</v>
      </c>
      <c r="FN157" s="17">
        <f>IF(ISNA(VLOOKUP(A157,'Données projet'!$A$217:$I$237,5,0)),0%,VLOOKUP(A157,'Données projet'!$A$217:$I$237,5,0)*VLOOKUP('Données projet'!$B$16,Paramètres!$A$1:$I$89,7,0))</f>
        <v>0.30099999999999999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81.278162134862754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81.278162134862754</v>
      </c>
      <c r="FU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>
        <f>VLOOKUP(A157,'Données projet'!$A$243:$I$263,2,0)</f>
        <v>490.47</v>
      </c>
      <c r="FX157" s="13">
        <f>VLOOKUP(A157,'Données projet'!$A$243:$I$263,9,0)</f>
        <v>8.3249999999999993</v>
      </c>
      <c r="FY157" s="13">
        <f t="array" ref="FY157">INDEX(FX:FX,MIN(IF(ISNUMBER(FX157:FX353),ROW(FX157:FX353),"")))</f>
        <v>8.3249999999999993</v>
      </c>
      <c r="FZ157" s="13">
        <f>IF('Données projet'!$A$244&gt;35,FZ156+FY157-GH156,IF(A157&lt;'Données projet'!$A$244,$FW$205^A157,IF(A157='Données projet'!$A$244,'Données projet'!$B$244,FZ156+FY157-GH156)))</f>
        <v>490.47000000000048</v>
      </c>
      <c r="GA157" s="18">
        <f>FZ157*VLOOKUP('Données projet'!$B$17,Paramètres!$A$1:$I$89,3,0)*VLOOKUP('Données projet'!$B$17,Paramètres!$A$1:$I$89,5,0)</f>
        <v>329.00727600000033</v>
      </c>
      <c r="GB157" s="14">
        <f t="shared" si="185"/>
        <v>77.224454083940515</v>
      </c>
      <c r="GC157" s="22">
        <f t="shared" si="186"/>
        <v>707.52026322953031</v>
      </c>
      <c r="GD157" s="62">
        <f t="shared" si="134"/>
        <v>1000.8535965628637</v>
      </c>
      <c r="GE157" s="62">
        <f ca="1">AVERAGE(OFFSET($GD$3,0,0,'Données projet'!$E$17+1,1))-AVERAGE(OFFSET($H$3,0,0,'Données projet'!$E$17+1,1))</f>
        <v>442.85175349826028</v>
      </c>
      <c r="GF157" s="62">
        <f t="shared" si="158"/>
        <v>210.70697808232501</v>
      </c>
      <c r="GG157" s="16">
        <f>IF(ISNA(VLOOKUP(A157,'Données projet'!$A$243:$I$263,3,0)),0,VLOOKUP(A157,'Données projet'!$A$243:$I$263,3,0))</f>
        <v>13</v>
      </c>
      <c r="GH157" s="16">
        <f>IF(ISNA(VLOOKUP(A157,'Données projet'!$A$243:$I$263,4,0)),0,VLOOKUP(A157,'Données projet'!$A$243:$I$263,4,0))</f>
        <v>55.13</v>
      </c>
      <c r="GI157" s="17">
        <f>IF(ISNA(VLOOKUP(A157,'Données projet'!$A$243:$I$263,5,0)),0%,VLOOKUP(A157,'Données projet'!$A$243:$I$263,5,0)*VLOOKUP('Données projet'!$B$17,Paramètres!$A$1:$I$89,7,0))</f>
        <v>0.371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66.27296297150346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66.27296297150346</v>
      </c>
      <c r="GP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-3.4106051316484809E-13</v>
      </c>
      <c r="GV157" s="18">
        <f>GU157*VLOOKUP('Données projet'!$B$18,Paramètres!$A$1:$I$89,3,0)*VLOOKUP('Données projet'!$B$18,Paramètres!$A$1:$I$89,5,0)</f>
        <v>-3.2455318432766944E-13</v>
      </c>
      <c r="GW157" s="14" t="e">
        <f t="shared" si="188"/>
        <v>#NUM!</v>
      </c>
      <c r="GX157" s="22" t="e">
        <f t="shared" si="189"/>
        <v>#NUM!</v>
      </c>
      <c r="GY157" s="62" t="e">
        <f t="shared" si="137"/>
        <v>#NUM!</v>
      </c>
      <c r="GZ157" s="62">
        <f ca="1">AVERAGE(OFFSET($GY$3,0,0,'Données projet'!$E$18+1,1))-AVERAGE(OFFSET($H$3,0,0,'Données projet'!$E$18+1,1))</f>
        <v>420.2510366318939</v>
      </c>
      <c r="HA157" s="62">
        <f t="shared" si="160"/>
        <v>220.59884411514116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90.737405041207182</v>
      </c>
      <c r="HH157" s="23">
        <f>EXP(-LN(2)/25)*HH156+(1-EXP(-LN(2)/25))/(LN(2)/25)*Calculateur!HC157*Calculateur!HE157*VLOOKUP('Données projet'!$B$18,Paramètres!$A$1:$I$89,3,0)*0.475*44/12</f>
        <v>0</v>
      </c>
      <c r="HI157" s="23">
        <f>EXP(-LN(2)/2)*HI156+(1-EXP(-LN(2)/2))/(LN(2)/2)*HC157*HF157*VLOOKUP('Données projet'!$B$18,Paramètres!$A$1:$I$89,3,0)*0.475*44/12</f>
        <v>0</v>
      </c>
      <c r="HJ157" s="24">
        <f t="shared" si="190"/>
        <v>90.737405041207182</v>
      </c>
    </row>
    <row r="158" spans="1:218" x14ac:dyDescent="0.2">
      <c r="A158" s="11">
        <f t="shared" si="161"/>
        <v>155</v>
      </c>
      <c r="B158" s="74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-4.5474735088646412E-13</v>
      </c>
      <c r="O158" s="14">
        <f>N158*VLOOKUP('Données projet'!$B$9,Paramètres!$A$1:$I$89,3,0)*VLOOKUP('Données projet'!$B$9,Paramètres!$A$1:$I$89,5,0)</f>
        <v>-3.9017322706058626E-13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623.31285537237943</v>
      </c>
      <c r="T158" s="62">
        <f t="shared" si="142"/>
        <v>462.33909258902241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94.665918410594301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94.665918410594301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4.9658410716801891E-14</v>
      </c>
      <c r="AK158" s="14">
        <f t="shared" si="164"/>
        <v>8.0934058173791862E-13</v>
      </c>
      <c r="AL158" s="22">
        <f t="shared" si="165"/>
        <v>1.4960899118586383E-12</v>
      </c>
      <c r="AM158" s="62">
        <f t="shared" si="113"/>
        <v>293.33333333333479</v>
      </c>
      <c r="AN158" s="62">
        <f ca="1">AVERAGE(OFFSET($AM$3,0,0,'Données projet'!$E$10+1,1))-AVERAGE(OFFSET($H$3,0,0,'Données projet'!$E$10+1,1))</f>
        <v>390.70479111593545</v>
      </c>
      <c r="AO158" s="62">
        <f t="shared" si="144"/>
        <v>374.99493809709708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37.2900355007625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37.2900355007625</v>
      </c>
      <c r="AY158" s="7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5.6843418860808015E-14</v>
      </c>
      <c r="BE158" s="14">
        <f>BD158*VLOOKUP('Données projet'!$B$11,Paramètres!$A$1:$I$89,3,0)*VLOOKUP('Données projet'!$B$11,Paramètres!$A$1:$I$89,5,0)</f>
        <v>4.5224624045658861E-14</v>
      </c>
      <c r="BF158" s="14">
        <f t="shared" si="167"/>
        <v>7.4514601661523691E-13</v>
      </c>
      <c r="BG158" s="22">
        <f t="shared" si="168"/>
        <v>1.3765621991510601E-12</v>
      </c>
      <c r="BH158" s="62">
        <f t="shared" si="116"/>
        <v>293.33333333333468</v>
      </c>
      <c r="BI158" s="62">
        <f ca="1">AVERAGE(OFFSET($BH$3,0,0,'Données projet'!$E$11+1,1))-AVERAGE(OFFSET($H$3,0,0,'Données projet'!$E$11+1,1))</f>
        <v>359.18294335011535</v>
      </c>
      <c r="BJ158" s="62">
        <f t="shared" si="146"/>
        <v>345.47508134331241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33.960568045337261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33.960568045337261</v>
      </c>
      <c r="BT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5.6843418860808015E-14</v>
      </c>
      <c r="BZ158" s="14">
        <f>BY158*VLOOKUP('Données projet'!$B$12,Paramètres!$A$1:$I$89,3,0)*VLOOKUP('Données projet'!$B$12,Paramètres!$A$1:$I$89,5,0)</f>
        <v>4.1677594708744434E-14</v>
      </c>
      <c r="CA158" s="14">
        <f t="shared" si="170"/>
        <v>6.9326303456159188E-13</v>
      </c>
      <c r="CB158" s="22">
        <f t="shared" si="171"/>
        <v>1.2800215959791691E-12</v>
      </c>
      <c r="CC158" s="62">
        <f t="shared" si="119"/>
        <v>293.33333333333462</v>
      </c>
      <c r="CD158" s="62">
        <f ca="1">AVERAGE(OFFSET($CC$3,0,0,'Données projet'!$E$12+1,1))-AVERAGE(OFFSET($H$3,0,0,'Données projet'!$E$12+1,1))</f>
        <v>333.9187211440219</v>
      </c>
      <c r="CE158" s="62">
        <f t="shared" si="148"/>
        <v>321.81422611044997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25.391900858167439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25.391900858167439</v>
      </c>
      <c r="CO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5.6843418860808015E-14</v>
      </c>
      <c r="CU158" s="18">
        <f>CT158*VLOOKUP('Données projet'!$B$13,Paramètres!$A$1:$I$89,3,0)*VLOOKUP('Données projet'!$B$13,Paramètres!$A$1:$I$89,5,0)</f>
        <v>4.6111381379887463E-14</v>
      </c>
      <c r="CV158" s="14">
        <f t="shared" si="173"/>
        <v>7.5804141040779151E-13</v>
      </c>
      <c r="CW158" s="22">
        <f t="shared" si="174"/>
        <v>1.4005661123635408E-12</v>
      </c>
      <c r="CX158" s="62">
        <f t="shared" si="122"/>
        <v>293.33333333333474</v>
      </c>
      <c r="CY158" s="62">
        <f ca="1">AVERAGE(OFFSET($CX$3,0,0,'Données projet'!$E$13+1,1))-AVERAGE(OFFSET($H$3,0,0,'Données projet'!$E$13+1,1))</f>
        <v>365.492319515595</v>
      </c>
      <c r="CZ158" s="62">
        <f t="shared" si="150"/>
        <v>351.38386928091433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28.093166906908642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28.093166906908642</v>
      </c>
      <c r="DJ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8.4429999999999943</v>
      </c>
      <c r="DO158" s="13">
        <f>IF('Données projet'!$A$166&gt;35,DO157+DN158-DW157,IF(A158&lt;'Données projet'!$A$166,$DL$205^A158,IF(A158='Données projet'!$A$166,'Données projet'!$B$166,DO157+DN158-DW157)))</f>
        <v>443.78300000000047</v>
      </c>
      <c r="DP158" s="18">
        <f>DO158*VLOOKUP('Données projet'!$B$14,Paramètres!$A$1:$I$89,3,0)*VLOOKUP('Données projet'!$B$14,Paramètres!$A$1:$I$89,5,0)</f>
        <v>373.8427992000004</v>
      </c>
      <c r="DQ158" s="14">
        <f t="shared" si="176"/>
        <v>86.453002892279542</v>
      </c>
      <c r="DR158" s="22">
        <f t="shared" si="177"/>
        <v>801.68185531072083</v>
      </c>
      <c r="DS158" s="62">
        <f t="shared" si="125"/>
        <v>1095.0151886440542</v>
      </c>
      <c r="DT158" s="62">
        <f ca="1">AVERAGE(OFFSET($DS$3,0,0,'Données projet'!$E$14+1,1))-AVERAGE(OFFSET($H$3,0,0,'Données projet'!$E$14+1,1))</f>
        <v>544.89250424794909</v>
      </c>
      <c r="DU158" s="62">
        <f t="shared" si="152"/>
        <v>253.98688498110715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66.199303620151099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66.199303620151099</v>
      </c>
      <c r="EE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8.4429999999999943</v>
      </c>
      <c r="EJ158" s="13">
        <f>IF('Données projet'!$A$192&gt;35,EJ157+EI158-ER157,IF(A158&lt;'Données projet'!$A$192,$EG$205^A158,IF(A158='Données projet'!$A$192,'Données projet'!$B$192,EJ157+EI158-ER157)))</f>
        <v>443.78300000000047</v>
      </c>
      <c r="EK158" s="18">
        <f>EJ158*VLOOKUP('Données projet'!$B$15,Paramètres!$A$1:$I$89,3,0)*VLOOKUP('Données projet'!$B$15,Paramètres!$A$1:$I$89,5,0)</f>
        <v>401.53485840000047</v>
      </c>
      <c r="EL158" s="14">
        <f t="shared" si="179"/>
        <v>92.087764815279797</v>
      </c>
      <c r="EM158" s="22">
        <f t="shared" si="180"/>
        <v>859.72606876661303</v>
      </c>
      <c r="EN158" s="62">
        <f t="shared" si="128"/>
        <v>1153.0594020999463</v>
      </c>
      <c r="EO158" s="62">
        <f ca="1">AVERAGE(OFFSET($EN$3,0,0,'Données projet'!$E$15+1,1))-AVERAGE(OFFSET($H$3,0,0,'Données projet'!$E$15+1,1))</f>
        <v>581.88778927327667</v>
      </c>
      <c r="EP158" s="62">
        <f t="shared" si="154"/>
        <v>269.67340993773422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71.102955740162301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71.102955740162301</v>
      </c>
      <c r="EZ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8.4429999999999943</v>
      </c>
      <c r="FE158" s="13">
        <f>IF('Données projet'!$A$218&gt;35,FE157+FD158-FM157,IF(A158&lt;'Données projet'!$A$218,$FB$205^A158,IF(A158='Données projet'!$A$218,'Données projet'!$B$218,FE157+FD158-FM157)))</f>
        <v>443.78300000000047</v>
      </c>
      <c r="FF158" s="18">
        <f>FE158*VLOOKUP('Données projet'!$B$16,Paramètres!$A$1:$I$89,3,0)*VLOOKUP('Données projet'!$B$16,Paramètres!$A$1:$I$89,5,0)</f>
        <v>449.99596200000047</v>
      </c>
      <c r="FG158" s="14">
        <f t="shared" si="182"/>
        <v>101.84206543885381</v>
      </c>
      <c r="FH158" s="22">
        <f t="shared" si="183"/>
        <v>961.1178977893378</v>
      </c>
      <c r="FI158" s="62">
        <f t="shared" si="131"/>
        <v>1254.4512311226711</v>
      </c>
      <c r="FJ158" s="62">
        <f ca="1">AVERAGE(OFFSET($FI$3,0,0,'Données projet'!$E$16+1,1))-AVERAGE(OFFSET($H$3,0,0,'Données projet'!$E$16+1,1))</f>
        <v>646.50767193970182</v>
      </c>
      <c r="FK158" s="62">
        <f t="shared" si="156"/>
        <v>297.06786598620607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79.68434695018189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79.68434695018189</v>
      </c>
      <c r="FU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8.4429999999999943</v>
      </c>
      <c r="FZ158" s="13">
        <f>IF('Données projet'!$A$244&gt;35,FZ157+FY158-GH157,IF(A158&lt;'Données projet'!$A$244,$FW$205^A158,IF(A158='Données projet'!$A$244,'Données projet'!$B$244,FZ157+FY158-GH157)))</f>
        <v>443.78300000000047</v>
      </c>
      <c r="GA158" s="18">
        <f>FZ158*VLOOKUP('Données projet'!$B$17,Paramètres!$A$1:$I$89,3,0)*VLOOKUP('Données projet'!$B$17,Paramètres!$A$1:$I$89,5,0)</f>
        <v>297.68963640000032</v>
      </c>
      <c r="GB158" s="14">
        <f t="shared" si="185"/>
        <v>70.691904811673083</v>
      </c>
      <c r="GC158" s="22">
        <f t="shared" si="186"/>
        <v>641.59785094366441</v>
      </c>
      <c r="GD158" s="62">
        <f t="shared" si="134"/>
        <v>934.93118427699778</v>
      </c>
      <c r="GE158" s="62">
        <f ca="1">AVERAGE(OFFSET($GD$3,0,0,'Données projet'!$E$17+1,1))-AVERAGE(OFFSET($H$3,0,0,'Données projet'!$E$17+1,1))</f>
        <v>442.85175349826028</v>
      </c>
      <c r="GF158" s="62">
        <f t="shared" si="158"/>
        <v>210.70697808232501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64.973390590148298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64.973390590148298</v>
      </c>
      <c r="GP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-3.4106051316484809E-13</v>
      </c>
      <c r="GV158" s="18">
        <f>GU158*VLOOKUP('Données projet'!$B$18,Paramètres!$A$1:$I$89,3,0)*VLOOKUP('Données projet'!$B$18,Paramètres!$A$1:$I$89,5,0)</f>
        <v>-3.2455318432766944E-13</v>
      </c>
      <c r="GW158" s="14" t="e">
        <f t="shared" si="188"/>
        <v>#NUM!</v>
      </c>
      <c r="GX158" s="22" t="e">
        <f t="shared" si="189"/>
        <v>#NUM!</v>
      </c>
      <c r="GY158" s="62" t="e">
        <f t="shared" si="137"/>
        <v>#NUM!</v>
      </c>
      <c r="GZ158" s="62">
        <f ca="1">AVERAGE(OFFSET($GY$3,0,0,'Données projet'!$E$18+1,1))-AVERAGE(OFFSET($H$3,0,0,'Données projet'!$E$18+1,1))</f>
        <v>420.2510366318939</v>
      </c>
      <c r="HA158" s="62">
        <f t="shared" si="160"/>
        <v>220.59884411514116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88.958099872701382</v>
      </c>
      <c r="HH158" s="23">
        <f>EXP(-LN(2)/25)*HH157+(1-EXP(-LN(2)/25))/(LN(2)/25)*Calculateur!HC158*Calculateur!HE158*VLOOKUP('Données projet'!$B$18,Paramètres!$A$1:$I$89,3,0)*0.475*44/12</f>
        <v>0</v>
      </c>
      <c r="HI158" s="23">
        <f>EXP(-LN(2)/2)*HI157+(1-EXP(-LN(2)/2))/(LN(2)/2)*HC158*HF158*VLOOKUP('Données projet'!$B$18,Paramètres!$A$1:$I$89,3,0)*0.475*44/12</f>
        <v>0</v>
      </c>
      <c r="HJ158" s="24">
        <f t="shared" si="190"/>
        <v>88.958099872701382</v>
      </c>
    </row>
    <row r="159" spans="1:218" x14ac:dyDescent="0.2">
      <c r="A159" s="11">
        <f t="shared" si="161"/>
        <v>156</v>
      </c>
      <c r="B159" s="74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-4.5474735088646412E-13</v>
      </c>
      <c r="O159" s="14">
        <f>N159*VLOOKUP('Données projet'!$B$9,Paramètres!$A$1:$I$89,3,0)*VLOOKUP('Données projet'!$B$9,Paramètres!$A$1:$I$89,5,0)</f>
        <v>-3.9017322706058626E-13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623.31285537237943</v>
      </c>
      <c r="T159" s="62">
        <f t="shared" si="142"/>
        <v>462.33909258902241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92.80957749107138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92.80957749107138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4.9658410716801891E-14</v>
      </c>
      <c r="AK159" s="14">
        <f t="shared" si="164"/>
        <v>8.0934058173791862E-13</v>
      </c>
      <c r="AL159" s="22">
        <f t="shared" si="165"/>
        <v>1.4960899118586383E-12</v>
      </c>
      <c r="AM159" s="62">
        <f t="shared" si="113"/>
        <v>293.33333333333479</v>
      </c>
      <c r="AN159" s="62">
        <f ca="1">AVERAGE(OFFSET($AM$3,0,0,'Données projet'!$E$10+1,1))-AVERAGE(OFFSET($H$3,0,0,'Données projet'!$E$10+1,1))</f>
        <v>390.70479111593545</v>
      </c>
      <c r="AO159" s="62">
        <f t="shared" si="144"/>
        <v>374.99493809709708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36.558800649268349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36.558800649268349</v>
      </c>
      <c r="AY159" s="7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5.6843418860808015E-14</v>
      </c>
      <c r="BE159" s="14">
        <f>BD159*VLOOKUP('Données projet'!$B$11,Paramètres!$A$1:$I$89,3,0)*VLOOKUP('Données projet'!$B$11,Paramètres!$A$1:$I$89,5,0)</f>
        <v>4.5224624045658861E-14</v>
      </c>
      <c r="BF159" s="14">
        <f t="shared" si="167"/>
        <v>7.4514601661523691E-13</v>
      </c>
      <c r="BG159" s="22">
        <f t="shared" si="168"/>
        <v>1.3765621991510601E-12</v>
      </c>
      <c r="BH159" s="62">
        <f t="shared" si="116"/>
        <v>293.33333333333468</v>
      </c>
      <c r="BI159" s="62">
        <f ca="1">AVERAGE(OFFSET($BH$3,0,0,'Données projet'!$E$11+1,1))-AVERAGE(OFFSET($H$3,0,0,'Données projet'!$E$11+1,1))</f>
        <v>359.18294335011535</v>
      </c>
      <c r="BJ159" s="62">
        <f t="shared" si="146"/>
        <v>345.47508134331241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33.294622019869379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33.294622019869379</v>
      </c>
      <c r="BT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5.6843418860808015E-14</v>
      </c>
      <c r="BZ159" s="14">
        <f>BY159*VLOOKUP('Données projet'!$B$12,Paramètres!$A$1:$I$89,3,0)*VLOOKUP('Données projet'!$B$12,Paramètres!$A$1:$I$89,5,0)</f>
        <v>4.1677594708744434E-14</v>
      </c>
      <c r="CA159" s="14">
        <f t="shared" si="170"/>
        <v>6.9326303456159188E-13</v>
      </c>
      <c r="CB159" s="22">
        <f t="shared" si="171"/>
        <v>1.2800215959791691E-12</v>
      </c>
      <c r="CC159" s="62">
        <f t="shared" si="119"/>
        <v>293.33333333333462</v>
      </c>
      <c r="CD159" s="62">
        <f ca="1">AVERAGE(OFFSET($CC$3,0,0,'Données projet'!$E$12+1,1))-AVERAGE(OFFSET($H$3,0,0,'Données projet'!$E$12+1,1))</f>
        <v>333.9187211440219</v>
      </c>
      <c r="CE159" s="62">
        <f t="shared" si="148"/>
        <v>321.81422611044997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24.893981169869033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24.893981169869033</v>
      </c>
      <c r="CO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5.6843418860808015E-14</v>
      </c>
      <c r="CU159" s="18">
        <f>CT159*VLOOKUP('Données projet'!$B$13,Paramètres!$A$1:$I$89,3,0)*VLOOKUP('Données projet'!$B$13,Paramètres!$A$1:$I$89,5,0)</f>
        <v>4.6111381379887463E-14</v>
      </c>
      <c r="CV159" s="14">
        <f t="shared" si="173"/>
        <v>7.5804141040779151E-13</v>
      </c>
      <c r="CW159" s="22">
        <f t="shared" si="174"/>
        <v>1.4005661123635408E-12</v>
      </c>
      <c r="CX159" s="62">
        <f t="shared" si="122"/>
        <v>293.33333333333474</v>
      </c>
      <c r="CY159" s="62">
        <f ca="1">AVERAGE(OFFSET($CX$3,0,0,'Données projet'!$E$13+1,1))-AVERAGE(OFFSET($H$3,0,0,'Données projet'!$E$13+1,1))</f>
        <v>365.492319515595</v>
      </c>
      <c r="CZ159" s="62">
        <f t="shared" si="150"/>
        <v>351.38386928091433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27.542277039004023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27.542277039004023</v>
      </c>
      <c r="DJ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8.4429999999999943</v>
      </c>
      <c r="DO159" s="13">
        <f>IF('Données projet'!$A$166&gt;35,DO158+DN159-DW158,IF(A159&lt;'Données projet'!$A$166,$DL$205^A159,IF(A159='Données projet'!$A$166,'Données projet'!$B$166,DO158+DN159-DW158)))</f>
        <v>452.22600000000045</v>
      </c>
      <c r="DP159" s="18">
        <f>DO159*VLOOKUP('Données projet'!$B$14,Paramètres!$A$1:$I$89,3,0)*VLOOKUP('Données projet'!$B$14,Paramètres!$A$1:$I$89,5,0)</f>
        <v>380.95518240000041</v>
      </c>
      <c r="DQ159" s="14">
        <f t="shared" si="176"/>
        <v>87.904727201631701</v>
      </c>
      <c r="DR159" s="22">
        <f t="shared" si="177"/>
        <v>816.59767588950933</v>
      </c>
      <c r="DS159" s="62">
        <f t="shared" si="125"/>
        <v>1109.9310092228427</v>
      </c>
      <c r="DT159" s="62">
        <f ca="1">AVERAGE(OFFSET($DS$3,0,0,'Données projet'!$E$14+1,1))-AVERAGE(OFFSET($H$3,0,0,'Données projet'!$E$14+1,1))</f>
        <v>544.89250424794909</v>
      </c>
      <c r="DU159" s="62">
        <f t="shared" si="152"/>
        <v>253.98688498110715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64.901175653748183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64.901175653748183</v>
      </c>
      <c r="EE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8.4429999999999943</v>
      </c>
      <c r="EJ159" s="13">
        <f>IF('Données projet'!$A$192&gt;35,EJ158+EI159-ER158,IF(A159&lt;'Données projet'!$A$192,$EG$205^A159,IF(A159='Données projet'!$A$192,'Données projet'!$B$192,EJ158+EI159-ER158)))</f>
        <v>452.22600000000045</v>
      </c>
      <c r="EK159" s="18">
        <f>EJ159*VLOOKUP('Données projet'!$B$15,Paramètres!$A$1:$I$89,3,0)*VLOOKUP('Données projet'!$B$15,Paramètres!$A$1:$I$89,5,0)</f>
        <v>409.1740848000004</v>
      </c>
      <c r="EL159" s="14">
        <f t="shared" si="179"/>
        <v>93.634108404325715</v>
      </c>
      <c r="EM159" s="22">
        <f t="shared" si="180"/>
        <v>875.72426983086791</v>
      </c>
      <c r="EN159" s="62">
        <f t="shared" si="128"/>
        <v>1169.0576031642013</v>
      </c>
      <c r="EO159" s="62">
        <f ca="1">AVERAGE(OFFSET($EN$3,0,0,'Données projet'!$E$15+1,1))-AVERAGE(OFFSET($H$3,0,0,'Données projet'!$E$15+1,1))</f>
        <v>581.88778927327667</v>
      </c>
      <c r="EP159" s="62">
        <f t="shared" si="154"/>
        <v>269.67340993773422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69.708670146618431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69.708670146618431</v>
      </c>
      <c r="EZ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8.4429999999999943</v>
      </c>
      <c r="FE159" s="13">
        <f>IF('Données projet'!$A$218&gt;35,FE158+FD159-FM158,IF(A159&lt;'Données projet'!$A$218,$FB$205^A159,IF(A159='Données projet'!$A$218,'Données projet'!$B$218,FE158+FD159-FM158)))</f>
        <v>452.22600000000045</v>
      </c>
      <c r="FF159" s="18">
        <f>FE159*VLOOKUP('Données projet'!$B$16,Paramètres!$A$1:$I$89,3,0)*VLOOKUP('Données projet'!$B$16,Paramètres!$A$1:$I$89,5,0)</f>
        <v>458.55716400000051</v>
      </c>
      <c r="FG159" s="14">
        <f t="shared" si="182"/>
        <v>103.55220386280693</v>
      </c>
      <c r="FH159" s="22">
        <f t="shared" si="183"/>
        <v>979.00714902772279</v>
      </c>
      <c r="FI159" s="62">
        <f t="shared" si="131"/>
        <v>1272.340482361056</v>
      </c>
      <c r="FJ159" s="62">
        <f ca="1">AVERAGE(OFFSET($FI$3,0,0,'Données projet'!$E$16+1,1))-AVERAGE(OFFSET($H$3,0,0,'Données projet'!$E$16+1,1))</f>
        <v>646.50767193970182</v>
      </c>
      <c r="FK159" s="62">
        <f t="shared" si="156"/>
        <v>297.06786598620607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78.121785509141347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78.121785509141347</v>
      </c>
      <c r="FU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8.4429999999999943</v>
      </c>
      <c r="FZ159" s="13">
        <f>IF('Données projet'!$A$244&gt;35,FZ158+FY159-GH158,IF(A159&lt;'Données projet'!$A$244,$FW$205^A159,IF(A159='Données projet'!$A$244,'Données projet'!$B$244,FZ158+FY159-GH158)))</f>
        <v>452.22600000000045</v>
      </c>
      <c r="GA159" s="18">
        <f>FZ159*VLOOKUP('Données projet'!$B$17,Paramètres!$A$1:$I$89,3,0)*VLOOKUP('Données projet'!$B$17,Paramètres!$A$1:$I$89,5,0)</f>
        <v>303.35320080000031</v>
      </c>
      <c r="GB159" s="14">
        <f t="shared" si="185"/>
        <v>71.878967762133996</v>
      </c>
      <c r="GC159" s="22">
        <f t="shared" si="186"/>
        <v>653.52936024571716</v>
      </c>
      <c r="GD159" s="62">
        <f t="shared" si="134"/>
        <v>946.86269357905053</v>
      </c>
      <c r="GE159" s="62">
        <f ca="1">AVERAGE(OFFSET($GD$3,0,0,'Données projet'!$E$17+1,1))-AVERAGE(OFFSET($H$3,0,0,'Données projet'!$E$17+1,1))</f>
        <v>442.85175349826028</v>
      </c>
      <c r="GF159" s="62">
        <f t="shared" si="158"/>
        <v>210.70697808232501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63.699302030530625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63.699302030530625</v>
      </c>
      <c r="GP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-3.4106051316484809E-13</v>
      </c>
      <c r="GV159" s="18">
        <f>GU159*VLOOKUP('Données projet'!$B$18,Paramètres!$A$1:$I$89,3,0)*VLOOKUP('Données projet'!$B$18,Paramètres!$A$1:$I$89,5,0)</f>
        <v>-3.2455318432766944E-13</v>
      </c>
      <c r="GW159" s="14" t="e">
        <f t="shared" si="188"/>
        <v>#NUM!</v>
      </c>
      <c r="GX159" s="22" t="e">
        <f t="shared" si="189"/>
        <v>#NUM!</v>
      </c>
      <c r="GY159" s="62" t="e">
        <f t="shared" si="137"/>
        <v>#NUM!</v>
      </c>
      <c r="GZ159" s="62">
        <f ca="1">AVERAGE(OFFSET($GY$3,0,0,'Données projet'!$E$18+1,1))-AVERAGE(OFFSET($H$3,0,0,'Données projet'!$E$18+1,1))</f>
        <v>420.2510366318939</v>
      </c>
      <c r="HA159" s="62">
        <f t="shared" si="160"/>
        <v>220.59884411514116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87.213685793280987</v>
      </c>
      <c r="HH159" s="23">
        <f>EXP(-LN(2)/25)*HH158+(1-EXP(-LN(2)/25))/(LN(2)/25)*Calculateur!HC159*Calculateur!HE159*VLOOKUP('Données projet'!$B$18,Paramètres!$A$1:$I$89,3,0)*0.475*44/12</f>
        <v>0</v>
      </c>
      <c r="HI159" s="23">
        <f>EXP(-LN(2)/2)*HI158+(1-EXP(-LN(2)/2))/(LN(2)/2)*HC159*HF159*VLOOKUP('Données projet'!$B$18,Paramètres!$A$1:$I$89,3,0)*0.475*44/12</f>
        <v>0</v>
      </c>
      <c r="HJ159" s="24">
        <f t="shared" si="190"/>
        <v>87.213685793280987</v>
      </c>
    </row>
    <row r="160" spans="1:218" x14ac:dyDescent="0.2">
      <c r="A160" s="11">
        <f t="shared" si="161"/>
        <v>157</v>
      </c>
      <c r="B160" s="74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-4.5474735088646412E-13</v>
      </c>
      <c r="O160" s="14">
        <f>N160*VLOOKUP('Données projet'!$B$9,Paramètres!$A$1:$I$89,3,0)*VLOOKUP('Données projet'!$B$9,Paramètres!$A$1:$I$89,5,0)</f>
        <v>-3.9017322706058626E-13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623.31285537237943</v>
      </c>
      <c r="T160" s="62">
        <f t="shared" si="142"/>
        <v>462.33909258902241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90.989638284724137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90.989638284724137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4.9658410716801891E-14</v>
      </c>
      <c r="AK160" s="14">
        <f t="shared" si="164"/>
        <v>8.0934058173791862E-13</v>
      </c>
      <c r="AL160" s="22">
        <f t="shared" si="165"/>
        <v>1.4960899118586383E-12</v>
      </c>
      <c r="AM160" s="62">
        <f t="shared" si="113"/>
        <v>293.33333333333479</v>
      </c>
      <c r="AN160" s="62">
        <f ca="1">AVERAGE(OFFSET($AM$3,0,0,'Données projet'!$E$10+1,1))-AVERAGE(OFFSET($H$3,0,0,'Données projet'!$E$10+1,1))</f>
        <v>390.70479111593545</v>
      </c>
      <c r="AO160" s="62">
        <f t="shared" si="144"/>
        <v>374.99493809709708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35.841904867202786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35.841904867202786</v>
      </c>
      <c r="AY160" s="7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5.6843418860808015E-14</v>
      </c>
      <c r="BE160" s="14">
        <f>BD160*VLOOKUP('Données projet'!$B$11,Paramètres!$A$1:$I$89,3,0)*VLOOKUP('Données projet'!$B$11,Paramètres!$A$1:$I$89,5,0)</f>
        <v>4.5224624045658861E-14</v>
      </c>
      <c r="BF160" s="14">
        <f t="shared" si="167"/>
        <v>7.4514601661523691E-13</v>
      </c>
      <c r="BG160" s="22">
        <f t="shared" si="168"/>
        <v>1.3765621991510601E-12</v>
      </c>
      <c r="BH160" s="62">
        <f t="shared" si="116"/>
        <v>293.33333333333468</v>
      </c>
      <c r="BI160" s="62">
        <f ca="1">AVERAGE(OFFSET($BH$3,0,0,'Données projet'!$E$11+1,1))-AVERAGE(OFFSET($H$3,0,0,'Données projet'!$E$11+1,1))</f>
        <v>359.18294335011535</v>
      </c>
      <c r="BJ160" s="62">
        <f t="shared" si="146"/>
        <v>345.47508134331241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32.641734789773956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32.641734789773956</v>
      </c>
      <c r="BT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5.6843418860808015E-14</v>
      </c>
      <c r="BZ160" s="14">
        <f>BY160*VLOOKUP('Données projet'!$B$12,Paramètres!$A$1:$I$89,3,0)*VLOOKUP('Données projet'!$B$12,Paramètres!$A$1:$I$89,5,0)</f>
        <v>4.1677594708744434E-14</v>
      </c>
      <c r="CA160" s="14">
        <f t="shared" si="170"/>
        <v>6.9326303456159188E-13</v>
      </c>
      <c r="CB160" s="22">
        <f t="shared" si="171"/>
        <v>1.2800215959791691E-12</v>
      </c>
      <c r="CC160" s="62">
        <f t="shared" si="119"/>
        <v>293.33333333333462</v>
      </c>
      <c r="CD160" s="62">
        <f ca="1">AVERAGE(OFFSET($CC$3,0,0,'Données projet'!$E$12+1,1))-AVERAGE(OFFSET($H$3,0,0,'Données projet'!$E$12+1,1))</f>
        <v>333.9187211440219</v>
      </c>
      <c r="CE160" s="62">
        <f t="shared" si="148"/>
        <v>321.81422611044997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24.405825382957136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24.405825382957136</v>
      </c>
      <c r="CO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5.6843418860808015E-14</v>
      </c>
      <c r="CU160" s="18">
        <f>CT160*VLOOKUP('Données projet'!$B$13,Paramètres!$A$1:$I$89,3,0)*VLOOKUP('Données projet'!$B$13,Paramètres!$A$1:$I$89,5,0)</f>
        <v>4.6111381379887463E-14</v>
      </c>
      <c r="CV160" s="14">
        <f t="shared" si="173"/>
        <v>7.5804141040779151E-13</v>
      </c>
      <c r="CW160" s="22">
        <f t="shared" si="174"/>
        <v>1.4005661123635408E-12</v>
      </c>
      <c r="CX160" s="62">
        <f t="shared" si="122"/>
        <v>293.33333333333474</v>
      </c>
      <c r="CY160" s="62">
        <f ca="1">AVERAGE(OFFSET($CX$3,0,0,'Données projet'!$E$13+1,1))-AVERAGE(OFFSET($H$3,0,0,'Données projet'!$E$13+1,1))</f>
        <v>365.492319515595</v>
      </c>
      <c r="CZ160" s="62">
        <f t="shared" si="150"/>
        <v>351.38386928091433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27.002189785399374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27.002189785399374</v>
      </c>
      <c r="DJ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8.4429999999999943</v>
      </c>
      <c r="DO160" s="13">
        <f>IF('Données projet'!$A$166&gt;35,DO159+DN160-DW159,IF(A160&lt;'Données projet'!$A$166,$DL$205^A160,IF(A160='Données projet'!$A$166,'Données projet'!$B$166,DO159+DN160-DW159)))</f>
        <v>460.66900000000044</v>
      </c>
      <c r="DP160" s="18">
        <f>DO160*VLOOKUP('Données projet'!$B$14,Paramètres!$A$1:$I$89,3,0)*VLOOKUP('Données projet'!$B$14,Paramètres!$A$1:$I$89,5,0)</f>
        <v>388.06756560000042</v>
      </c>
      <c r="DQ160" s="14">
        <f t="shared" si="176"/>
        <v>89.353299895319424</v>
      </c>
      <c r="DR160" s="22">
        <f t="shared" si="177"/>
        <v>831.50800740434863</v>
      </c>
      <c r="DS160" s="62">
        <f t="shared" si="125"/>
        <v>1124.841340737682</v>
      </c>
      <c r="DT160" s="62">
        <f ca="1">AVERAGE(OFFSET($DS$3,0,0,'Données projet'!$E$14+1,1))-AVERAGE(OFFSET($H$3,0,0,'Données projet'!$E$14+1,1))</f>
        <v>544.89250424794909</v>
      </c>
      <c r="DU160" s="62">
        <f t="shared" si="152"/>
        <v>253.98688498110715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63.628503184986556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63.628503184986556</v>
      </c>
      <c r="EE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8.4429999999999943</v>
      </c>
      <c r="EJ160" s="13">
        <f>IF('Données projet'!$A$192&gt;35,EJ159+EI160-ER159,IF(A160&lt;'Données projet'!$A$192,$EG$205^A160,IF(A160='Données projet'!$A$192,'Données projet'!$B$192,EJ159+EI160-ER159)))</f>
        <v>460.66900000000044</v>
      </c>
      <c r="EK160" s="18">
        <f>EJ160*VLOOKUP('Données projet'!$B$15,Paramètres!$A$1:$I$89,3,0)*VLOOKUP('Données projet'!$B$15,Paramètres!$A$1:$I$89,5,0)</f>
        <v>416.81331120000038</v>
      </c>
      <c r="EL160" s="14">
        <f t="shared" si="179"/>
        <v>95.177094964322421</v>
      </c>
      <c r="EM160" s="22">
        <f t="shared" si="180"/>
        <v>891.71662406952885</v>
      </c>
      <c r="EN160" s="62">
        <f t="shared" si="128"/>
        <v>1185.0499574028622</v>
      </c>
      <c r="EO160" s="62">
        <f ca="1">AVERAGE(OFFSET($EN$3,0,0,'Données projet'!$E$15+1,1))-AVERAGE(OFFSET($H$3,0,0,'Données projet'!$E$15+1,1))</f>
        <v>581.88778927327667</v>
      </c>
      <c r="EP160" s="62">
        <f t="shared" si="154"/>
        <v>269.67340993773422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68.341725643133714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68.341725643133714</v>
      </c>
      <c r="EZ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8.4429999999999943</v>
      </c>
      <c r="FE160" s="13">
        <f>IF('Données projet'!$A$218&gt;35,FE159+FD160-FM159,IF(A160&lt;'Données projet'!$A$218,$FB$205^A160,IF(A160='Données projet'!$A$218,'Données projet'!$B$218,FE159+FD160-FM159)))</f>
        <v>460.66900000000044</v>
      </c>
      <c r="FF160" s="18">
        <f>FE160*VLOOKUP('Données projet'!$B$16,Paramètres!$A$1:$I$89,3,0)*VLOOKUP('Données projet'!$B$16,Paramètres!$A$1:$I$89,5,0)</f>
        <v>467.11836600000044</v>
      </c>
      <c r="FG160" s="14">
        <f t="shared" si="182"/>
        <v>105.25862966790358</v>
      </c>
      <c r="FH160" s="22">
        <f t="shared" si="183"/>
        <v>996.88993412159937</v>
      </c>
      <c r="FI160" s="62">
        <f t="shared" si="131"/>
        <v>1290.2232674549327</v>
      </c>
      <c r="FJ160" s="62">
        <f ca="1">AVERAGE(OFFSET($FI$3,0,0,'Données projet'!$E$16+1,1))-AVERAGE(OFFSET($H$3,0,0,'Données projet'!$E$16+1,1))</f>
        <v>646.50767193970182</v>
      </c>
      <c r="FK160" s="62">
        <f t="shared" si="156"/>
        <v>297.06786598620607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76.589864944891247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76.589864944891247</v>
      </c>
      <c r="FU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8.4429999999999943</v>
      </c>
      <c r="FZ160" s="13">
        <f>IF('Données projet'!$A$244&gt;35,FZ159+FY160-GH159,IF(A160&lt;'Données projet'!$A$244,$FW$205^A160,IF(A160='Données projet'!$A$244,'Données projet'!$B$244,FZ159+FY160-GH159)))</f>
        <v>460.66900000000044</v>
      </c>
      <c r="GA160" s="18">
        <f>FZ160*VLOOKUP('Données projet'!$B$17,Paramètres!$A$1:$I$89,3,0)*VLOOKUP('Données projet'!$B$17,Paramètres!$A$1:$I$89,5,0)</f>
        <v>309.01676520000029</v>
      </c>
      <c r="GB160" s="14">
        <f t="shared" si="185"/>
        <v>73.063453662554991</v>
      </c>
      <c r="GC160" s="22">
        <f t="shared" si="186"/>
        <v>665.45638118561703</v>
      </c>
      <c r="GD160" s="62">
        <f t="shared" si="134"/>
        <v>958.7897145189504</v>
      </c>
      <c r="GE160" s="62">
        <f ca="1">AVERAGE(OFFSET($GD$3,0,0,'Données projet'!$E$17+1,1))-AVERAGE(OFFSET($H$3,0,0,'Données projet'!$E$17+1,1))</f>
        <v>442.85175349826028</v>
      </c>
      <c r="GF160" s="62">
        <f t="shared" si="158"/>
        <v>210.70697808232501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62.450197570449767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62.450197570449767</v>
      </c>
      <c r="GP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-3.4106051316484809E-13</v>
      </c>
      <c r="GV160" s="18">
        <f>GU160*VLOOKUP('Données projet'!$B$18,Paramètres!$A$1:$I$89,3,0)*VLOOKUP('Données projet'!$B$18,Paramètres!$A$1:$I$89,5,0)</f>
        <v>-3.2455318432766944E-13</v>
      </c>
      <c r="GW160" s="14" t="e">
        <f t="shared" si="188"/>
        <v>#NUM!</v>
      </c>
      <c r="GX160" s="22" t="e">
        <f t="shared" si="189"/>
        <v>#NUM!</v>
      </c>
      <c r="GY160" s="62" t="e">
        <f t="shared" si="137"/>
        <v>#NUM!</v>
      </c>
      <c r="GZ160" s="62">
        <f ca="1">AVERAGE(OFFSET($GY$3,0,0,'Données projet'!$E$18+1,1))-AVERAGE(OFFSET($H$3,0,0,'Données projet'!$E$18+1,1))</f>
        <v>420.2510366318939</v>
      </c>
      <c r="HA160" s="62">
        <f t="shared" si="160"/>
        <v>220.59884411514116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85.5034786099705</v>
      </c>
      <c r="HH160" s="23">
        <f>EXP(-LN(2)/25)*HH159+(1-EXP(-LN(2)/25))/(LN(2)/25)*Calculateur!HC160*Calculateur!HE160*VLOOKUP('Données projet'!$B$18,Paramètres!$A$1:$I$89,3,0)*0.475*44/12</f>
        <v>0</v>
      </c>
      <c r="HI160" s="23">
        <f>EXP(-LN(2)/2)*HI159+(1-EXP(-LN(2)/2))/(LN(2)/2)*HC160*HF160*VLOOKUP('Données projet'!$B$18,Paramètres!$A$1:$I$89,3,0)*0.475*44/12</f>
        <v>0</v>
      </c>
      <c r="HJ160" s="24">
        <f t="shared" si="190"/>
        <v>85.5034786099705</v>
      </c>
    </row>
    <row r="161" spans="1:218" x14ac:dyDescent="0.2">
      <c r="A161" s="11">
        <f t="shared" si="161"/>
        <v>158</v>
      </c>
      <c r="B161" s="74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-4.5474735088646412E-13</v>
      </c>
      <c r="O161" s="14">
        <f>N161*VLOOKUP('Données projet'!$B$9,Paramètres!$A$1:$I$89,3,0)*VLOOKUP('Données projet'!$B$9,Paramètres!$A$1:$I$89,5,0)</f>
        <v>-3.9017322706058626E-13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623.31285537237943</v>
      </c>
      <c r="T161" s="62">
        <f t="shared" si="142"/>
        <v>462.33909258902241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89.205386976160057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89.205386976160057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4.9658410716801891E-14</v>
      </c>
      <c r="AK161" s="14">
        <f t="shared" si="164"/>
        <v>8.0934058173791862E-13</v>
      </c>
      <c r="AL161" s="22">
        <f t="shared" si="165"/>
        <v>1.4960899118586383E-12</v>
      </c>
      <c r="AM161" s="62">
        <f t="shared" si="113"/>
        <v>293.33333333333479</v>
      </c>
      <c r="AN161" s="62">
        <f ca="1">AVERAGE(OFFSET($AM$3,0,0,'Données projet'!$E$10+1,1))-AVERAGE(OFFSET($H$3,0,0,'Données projet'!$E$10+1,1))</f>
        <v>390.70479111593545</v>
      </c>
      <c r="AO161" s="62">
        <f t="shared" si="144"/>
        <v>374.99493809709708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35.139066974160272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35.139066974160272</v>
      </c>
      <c r="AY161" s="7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5.6843418860808015E-14</v>
      </c>
      <c r="BE161" s="14">
        <f>BD161*VLOOKUP('Données projet'!$B$11,Paramètres!$A$1:$I$89,3,0)*VLOOKUP('Données projet'!$B$11,Paramètres!$A$1:$I$89,5,0)</f>
        <v>4.5224624045658861E-14</v>
      </c>
      <c r="BF161" s="14">
        <f t="shared" si="167"/>
        <v>7.4514601661523691E-13</v>
      </c>
      <c r="BG161" s="22">
        <f t="shared" si="168"/>
        <v>1.3765621991510601E-12</v>
      </c>
      <c r="BH161" s="62">
        <f t="shared" si="116"/>
        <v>293.33333333333468</v>
      </c>
      <c r="BI161" s="62">
        <f ca="1">AVERAGE(OFFSET($BH$3,0,0,'Données projet'!$E$11+1,1))-AVERAGE(OFFSET($H$3,0,0,'Données projet'!$E$11+1,1))</f>
        <v>359.18294335011535</v>
      </c>
      <c r="BJ161" s="62">
        <f t="shared" si="146"/>
        <v>345.47508134331241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32.00165028003881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32.00165028003881</v>
      </c>
      <c r="BT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5.6843418860808015E-14</v>
      </c>
      <c r="BZ161" s="14">
        <f>BY161*VLOOKUP('Données projet'!$B$12,Paramètres!$A$1:$I$89,3,0)*VLOOKUP('Données projet'!$B$12,Paramètres!$A$1:$I$89,5,0)</f>
        <v>4.1677594708744434E-14</v>
      </c>
      <c r="CA161" s="14">
        <f t="shared" si="170"/>
        <v>6.9326303456159188E-13</v>
      </c>
      <c r="CB161" s="22">
        <f t="shared" si="171"/>
        <v>1.2800215959791691E-12</v>
      </c>
      <c r="CC161" s="62">
        <f t="shared" si="119"/>
        <v>293.33333333333462</v>
      </c>
      <c r="CD161" s="62">
        <f ca="1">AVERAGE(OFFSET($CC$3,0,0,'Données projet'!$E$12+1,1))-AVERAGE(OFFSET($H$3,0,0,'Données projet'!$E$12+1,1))</f>
        <v>333.9187211440219</v>
      </c>
      <c r="CE161" s="62">
        <f t="shared" si="148"/>
        <v>321.81422611044997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23.927242033280951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23.927242033280951</v>
      </c>
      <c r="CO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5.6843418860808015E-14</v>
      </c>
      <c r="CU161" s="18">
        <f>CT161*VLOOKUP('Données projet'!$B$13,Paramètres!$A$1:$I$89,3,0)*VLOOKUP('Données projet'!$B$13,Paramètres!$A$1:$I$89,5,0)</f>
        <v>4.6111381379887463E-14</v>
      </c>
      <c r="CV161" s="14">
        <f t="shared" si="173"/>
        <v>7.5804141040779151E-13</v>
      </c>
      <c r="CW161" s="22">
        <f t="shared" si="174"/>
        <v>1.4005661123635408E-12</v>
      </c>
      <c r="CX161" s="62">
        <f t="shared" si="122"/>
        <v>293.33333333333474</v>
      </c>
      <c r="CY161" s="62">
        <f ca="1">AVERAGE(OFFSET($CX$3,0,0,'Données projet'!$E$13+1,1))-AVERAGE(OFFSET($H$3,0,0,'Données projet'!$E$13+1,1))</f>
        <v>365.492319515595</v>
      </c>
      <c r="CZ161" s="62">
        <f t="shared" si="150"/>
        <v>351.38386928091433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26.472693313417214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26.472693313417214</v>
      </c>
      <c r="DJ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8.4429999999999943</v>
      </c>
      <c r="DO161" s="13">
        <f>IF('Données projet'!$A$166&gt;35,DO160+DN161-DW160,IF(A161&lt;'Données projet'!$A$166,$DL$205^A161,IF(A161='Données projet'!$A$166,'Données projet'!$B$166,DO160+DN161-DW160)))</f>
        <v>469.11200000000042</v>
      </c>
      <c r="DP161" s="18">
        <f>DO161*VLOOKUP('Données projet'!$B$14,Paramètres!$A$1:$I$89,3,0)*VLOOKUP('Données projet'!$B$14,Paramètres!$A$1:$I$89,5,0)</f>
        <v>395.17994880000037</v>
      </c>
      <c r="DQ161" s="14">
        <f t="shared" si="176"/>
        <v>90.798785397203474</v>
      </c>
      <c r="DR161" s="22">
        <f t="shared" si="177"/>
        <v>846.4129620601301</v>
      </c>
      <c r="DS161" s="62">
        <f t="shared" si="125"/>
        <v>1139.7462953934635</v>
      </c>
      <c r="DT161" s="62">
        <f ca="1">AVERAGE(OFFSET($DS$3,0,0,'Données projet'!$E$14+1,1))-AVERAGE(OFFSET($H$3,0,0,'Données projet'!$E$14+1,1))</f>
        <v>544.89250424794909</v>
      </c>
      <c r="DU161" s="62">
        <f t="shared" si="152"/>
        <v>253.98688498110715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62.380787047083786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62.380787047083786</v>
      </c>
      <c r="EE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8.4429999999999943</v>
      </c>
      <c r="EJ161" s="13">
        <f>IF('Données projet'!$A$192&gt;35,EJ160+EI161-ER160,IF(A161&lt;'Données projet'!$A$192,$EG$205^A161,IF(A161='Données projet'!$A$192,'Données projet'!$B$192,EJ160+EI161-ER160)))</f>
        <v>469.11200000000042</v>
      </c>
      <c r="EK161" s="18">
        <f>EJ161*VLOOKUP('Données projet'!$B$15,Paramètres!$A$1:$I$89,3,0)*VLOOKUP('Données projet'!$B$15,Paramètres!$A$1:$I$89,5,0)</f>
        <v>424.45253760000043</v>
      </c>
      <c r="EL161" s="14">
        <f t="shared" si="179"/>
        <v>96.716793118095666</v>
      </c>
      <c r="EM161" s="22">
        <f t="shared" si="180"/>
        <v>907.70325100068385</v>
      </c>
      <c r="EN161" s="62">
        <f t="shared" si="128"/>
        <v>1201.0365843340171</v>
      </c>
      <c r="EO161" s="62">
        <f ca="1">AVERAGE(OFFSET($EN$3,0,0,'Données projet'!$E$15+1,1))-AVERAGE(OFFSET($H$3,0,0,'Données projet'!$E$15+1,1))</f>
        <v>581.88778927327667</v>
      </c>
      <c r="EP161" s="62">
        <f t="shared" si="154"/>
        <v>269.67340993773422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67.001586087608516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67.001586087608516</v>
      </c>
      <c r="EZ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8.4429999999999943</v>
      </c>
      <c r="FE161" s="13">
        <f>IF('Données projet'!$A$218&gt;35,FE160+FD161-FM160,IF(A161&lt;'Données projet'!$A$218,$FB$205^A161,IF(A161='Données projet'!$A$218,'Données projet'!$B$218,FE160+FD161-FM160)))</f>
        <v>469.11200000000042</v>
      </c>
      <c r="FF161" s="18">
        <f>FE161*VLOOKUP('Données projet'!$B$16,Paramètres!$A$1:$I$89,3,0)*VLOOKUP('Données projet'!$B$16,Paramètres!$A$1:$I$89,5,0)</f>
        <v>475.67956800000047</v>
      </c>
      <c r="FG161" s="14">
        <f t="shared" si="182"/>
        <v>106.96141874577063</v>
      </c>
      <c r="FH161" s="22">
        <f t="shared" si="183"/>
        <v>1014.7663852488846</v>
      </c>
      <c r="FI161" s="62">
        <f t="shared" si="131"/>
        <v>1308.099718582218</v>
      </c>
      <c r="FJ161" s="62">
        <f ca="1">AVERAGE(OFFSET($FI$3,0,0,'Données projet'!$E$16+1,1))-AVERAGE(OFFSET($H$3,0,0,'Données projet'!$E$16+1,1))</f>
        <v>646.50767193970182</v>
      </c>
      <c r="FK161" s="62">
        <f t="shared" si="156"/>
        <v>297.06786598620607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75.087984408526808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75.087984408526808</v>
      </c>
      <c r="FU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8.4429999999999943</v>
      </c>
      <c r="FZ161" s="13">
        <f>IF('Données projet'!$A$244&gt;35,FZ160+FY161-GH160,IF(A161&lt;'Données projet'!$A$244,$FW$205^A161,IF(A161='Données projet'!$A$244,'Données projet'!$B$244,FZ160+FY161-GH160)))</f>
        <v>469.11200000000042</v>
      </c>
      <c r="GA161" s="18">
        <f>FZ161*VLOOKUP('Données projet'!$B$17,Paramètres!$A$1:$I$89,3,0)*VLOOKUP('Données projet'!$B$17,Paramètres!$A$1:$I$89,5,0)</f>
        <v>314.68032960000028</v>
      </c>
      <c r="GB161" s="14">
        <f t="shared" si="185"/>
        <v>74.245415191793683</v>
      </c>
      <c r="GC161" s="22">
        <f t="shared" si="186"/>
        <v>677.37900551237442</v>
      </c>
      <c r="GD161" s="62">
        <f t="shared" si="134"/>
        <v>970.71233884570779</v>
      </c>
      <c r="GE161" s="62">
        <f ca="1">AVERAGE(OFFSET($GD$3,0,0,'Données projet'!$E$17+1,1))-AVERAGE(OFFSET($H$3,0,0,'Données projet'!$E$17+1,1))</f>
        <v>442.85175349826028</v>
      </c>
      <c r="GF161" s="62">
        <f t="shared" si="158"/>
        <v>210.70697808232501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61.225587286952603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61.225587286952603</v>
      </c>
      <c r="GP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-3.4106051316484809E-13</v>
      </c>
      <c r="GV161" s="18">
        <f>GU161*VLOOKUP('Données projet'!$B$18,Paramètres!$A$1:$I$89,3,0)*VLOOKUP('Données projet'!$B$18,Paramètres!$A$1:$I$89,5,0)</f>
        <v>-3.2455318432766944E-13</v>
      </c>
      <c r="GW161" s="14" t="e">
        <f t="shared" si="188"/>
        <v>#NUM!</v>
      </c>
      <c r="GX161" s="22" t="e">
        <f t="shared" si="189"/>
        <v>#NUM!</v>
      </c>
      <c r="GY161" s="62" t="e">
        <f t="shared" si="137"/>
        <v>#NUM!</v>
      </c>
      <c r="GZ161" s="62">
        <f ca="1">AVERAGE(OFFSET($GY$3,0,0,'Données projet'!$E$18+1,1))-AVERAGE(OFFSET($H$3,0,0,'Données projet'!$E$18+1,1))</f>
        <v>420.2510366318939</v>
      </c>
      <c r="HA161" s="62">
        <f t="shared" si="160"/>
        <v>220.59884411514116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83.826807546401355</v>
      </c>
      <c r="HH161" s="23">
        <f>EXP(-LN(2)/25)*HH160+(1-EXP(-LN(2)/25))/(LN(2)/25)*Calculateur!HC161*Calculateur!HE161*VLOOKUP('Données projet'!$B$18,Paramètres!$A$1:$I$89,3,0)*0.475*44/12</f>
        <v>0</v>
      </c>
      <c r="HI161" s="23">
        <f>EXP(-LN(2)/2)*HI160+(1-EXP(-LN(2)/2))/(LN(2)/2)*HC161*HF161*VLOOKUP('Données projet'!$B$18,Paramètres!$A$1:$I$89,3,0)*0.475*44/12</f>
        <v>0</v>
      </c>
      <c r="HJ161" s="24">
        <f t="shared" si="190"/>
        <v>83.826807546401355</v>
      </c>
    </row>
    <row r="162" spans="1:218" x14ac:dyDescent="0.2">
      <c r="A162" s="11">
        <f t="shared" si="161"/>
        <v>159</v>
      </c>
      <c r="B162" s="74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-4.5474735088646412E-13</v>
      </c>
      <c r="O162" s="14">
        <f>N162*VLOOKUP('Données projet'!$B$9,Paramètres!$A$1:$I$89,3,0)*VLOOKUP('Données projet'!$B$9,Paramètres!$A$1:$I$89,5,0)</f>
        <v>-3.9017322706058626E-13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623.31285537237943</v>
      </c>
      <c r="T162" s="62">
        <f t="shared" si="142"/>
        <v>462.33909258902241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87.456123747471082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87.456123747471082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4.9658410716801891E-14</v>
      </c>
      <c r="AK162" s="14">
        <f t="shared" si="164"/>
        <v>8.0934058173791862E-13</v>
      </c>
      <c r="AL162" s="22">
        <f t="shared" si="165"/>
        <v>1.4960899118586383E-12</v>
      </c>
      <c r="AM162" s="62">
        <f t="shared" si="113"/>
        <v>293.33333333333479</v>
      </c>
      <c r="AN162" s="62">
        <f ca="1">AVERAGE(OFFSET($AM$3,0,0,'Données projet'!$E$10+1,1))-AVERAGE(OFFSET($H$3,0,0,'Données projet'!$E$10+1,1))</f>
        <v>390.70479111593545</v>
      </c>
      <c r="AO162" s="62">
        <f t="shared" si="144"/>
        <v>374.99493809709708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34.450011303511538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34.450011303511538</v>
      </c>
      <c r="AY162" s="7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5.6843418860808015E-14</v>
      </c>
      <c r="BE162" s="14">
        <f>BD162*VLOOKUP('Données projet'!$B$11,Paramètres!$A$1:$I$89,3,0)*VLOOKUP('Données projet'!$B$11,Paramètres!$A$1:$I$89,5,0)</f>
        <v>4.5224624045658861E-14</v>
      </c>
      <c r="BF162" s="14">
        <f t="shared" si="167"/>
        <v>7.4514601661523691E-13</v>
      </c>
      <c r="BG162" s="22">
        <f t="shared" si="168"/>
        <v>1.3765621991510601E-12</v>
      </c>
      <c r="BH162" s="62">
        <f t="shared" si="116"/>
        <v>293.33333333333468</v>
      </c>
      <c r="BI162" s="62">
        <f ca="1">AVERAGE(OFFSET($BH$3,0,0,'Données projet'!$E$11+1,1))-AVERAGE(OFFSET($H$3,0,0,'Données projet'!$E$11+1,1))</f>
        <v>359.18294335011535</v>
      </c>
      <c r="BJ162" s="62">
        <f t="shared" si="146"/>
        <v>345.47508134331241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31.374117437126571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31.374117437126571</v>
      </c>
      <c r="BT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5.6843418860808015E-14</v>
      </c>
      <c r="BZ162" s="14">
        <f>BY162*VLOOKUP('Données projet'!$B$12,Paramètres!$A$1:$I$89,3,0)*VLOOKUP('Données projet'!$B$12,Paramètres!$A$1:$I$89,5,0)</f>
        <v>4.1677594708744434E-14</v>
      </c>
      <c r="CA162" s="14">
        <f t="shared" si="170"/>
        <v>6.9326303456159188E-13</v>
      </c>
      <c r="CB162" s="22">
        <f t="shared" si="171"/>
        <v>1.2800215959791691E-12</v>
      </c>
      <c r="CC162" s="62">
        <f t="shared" si="119"/>
        <v>293.33333333333462</v>
      </c>
      <c r="CD162" s="62">
        <f ca="1">AVERAGE(OFFSET($CC$3,0,0,'Données projet'!$E$12+1,1))-AVERAGE(OFFSET($H$3,0,0,'Données projet'!$E$12+1,1))</f>
        <v>333.9187211440219</v>
      </c>
      <c r="CE162" s="62">
        <f t="shared" si="148"/>
        <v>321.81422611044997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23.458043411184896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23.458043411184896</v>
      </c>
      <c r="CO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5.6843418860808015E-14</v>
      </c>
      <c r="CU162" s="18">
        <f>CT162*VLOOKUP('Données projet'!$B$13,Paramètres!$A$1:$I$89,3,0)*VLOOKUP('Données projet'!$B$13,Paramètres!$A$1:$I$89,5,0)</f>
        <v>4.6111381379887463E-14</v>
      </c>
      <c r="CV162" s="14">
        <f t="shared" si="173"/>
        <v>7.5804141040779151E-13</v>
      </c>
      <c r="CW162" s="22">
        <f t="shared" si="174"/>
        <v>1.4005661123635408E-12</v>
      </c>
      <c r="CX162" s="62">
        <f t="shared" si="122"/>
        <v>293.33333333333474</v>
      </c>
      <c r="CY162" s="62">
        <f ca="1">AVERAGE(OFFSET($CX$3,0,0,'Données projet'!$E$13+1,1))-AVERAGE(OFFSET($H$3,0,0,'Données projet'!$E$13+1,1))</f>
        <v>365.492319515595</v>
      </c>
      <c r="CZ162" s="62">
        <f t="shared" si="150"/>
        <v>351.38386928091433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25.953579944289665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25.953579944289665</v>
      </c>
      <c r="DJ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8.4429999999999943</v>
      </c>
      <c r="DO162" s="13">
        <f>IF('Données projet'!$A$166&gt;35,DO161+DN162-DW161,IF(A162&lt;'Données projet'!$A$166,$DL$205^A162,IF(A162='Données projet'!$A$166,'Données projet'!$B$166,DO161+DN162-DW161)))</f>
        <v>477.5550000000004</v>
      </c>
      <c r="DP162" s="18">
        <f>DO162*VLOOKUP('Données projet'!$B$14,Paramètres!$A$1:$I$89,3,0)*VLOOKUP('Données projet'!$B$14,Paramètres!$A$1:$I$89,5,0)</f>
        <v>402.29233200000039</v>
      </c>
      <c r="DQ162" s="14">
        <f t="shared" si="176"/>
        <v>92.241245679372398</v>
      </c>
      <c r="DR162" s="22">
        <f t="shared" si="177"/>
        <v>861.31264779157425</v>
      </c>
      <c r="DS162" s="62">
        <f t="shared" si="125"/>
        <v>1154.6459811249076</v>
      </c>
      <c r="DT162" s="62">
        <f ca="1">AVERAGE(OFFSET($DS$3,0,0,'Données projet'!$E$14+1,1))-AVERAGE(OFFSET($H$3,0,0,'Données projet'!$E$14+1,1))</f>
        <v>544.89250424794909</v>
      </c>
      <c r="DU162" s="62">
        <f t="shared" si="152"/>
        <v>253.98688498110715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61.157537861613591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61.157537861613591</v>
      </c>
      <c r="EE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8.4429999999999943</v>
      </c>
      <c r="EJ162" s="13">
        <f>IF('Données projet'!$A$192&gt;35,EJ161+EI162-ER161,IF(A162&lt;'Données projet'!$A$192,$EG$205^A162,IF(A162='Données projet'!$A$192,'Données projet'!$B$192,EJ161+EI162-ER161)))</f>
        <v>477.5550000000004</v>
      </c>
      <c r="EK162" s="18">
        <f>EJ162*VLOOKUP('Données projet'!$B$15,Paramètres!$A$1:$I$89,3,0)*VLOOKUP('Données projet'!$B$15,Paramètres!$A$1:$I$89,5,0)</f>
        <v>432.09176400000035</v>
      </c>
      <c r="EL162" s="14">
        <f t="shared" si="179"/>
        <v>98.253268876899142</v>
      </c>
      <c r="EM162" s="22">
        <f t="shared" si="180"/>
        <v>923.68426559393322</v>
      </c>
      <c r="EN162" s="62">
        <f t="shared" si="128"/>
        <v>1217.0175989272666</v>
      </c>
      <c r="EO162" s="62">
        <f ca="1">AVERAGE(OFFSET($EN$3,0,0,'Données projet'!$E$15+1,1))-AVERAGE(OFFSET($H$3,0,0,'Données projet'!$E$15+1,1))</f>
        <v>581.88778927327667</v>
      </c>
      <c r="EP162" s="62">
        <f t="shared" si="154"/>
        <v>269.67340993773422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65.687725851362757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65.687725851362757</v>
      </c>
      <c r="EZ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8.4429999999999943</v>
      </c>
      <c r="FE162" s="13">
        <f>IF('Données projet'!$A$218&gt;35,FE161+FD162-FM161,IF(A162&lt;'Données projet'!$A$218,$FB$205^A162,IF(A162='Données projet'!$A$218,'Données projet'!$B$218,FE161+FD162-FM161)))</f>
        <v>477.5550000000004</v>
      </c>
      <c r="FF162" s="18">
        <f>FE162*VLOOKUP('Données projet'!$B$16,Paramètres!$A$1:$I$89,3,0)*VLOOKUP('Données projet'!$B$16,Paramètres!$A$1:$I$89,5,0)</f>
        <v>484.24077000000045</v>
      </c>
      <c r="FG162" s="14">
        <f t="shared" si="182"/>
        <v>108.66064409983538</v>
      </c>
      <c r="FH162" s="22">
        <f t="shared" si="183"/>
        <v>1032.6366295572141</v>
      </c>
      <c r="FI162" s="62">
        <f t="shared" si="131"/>
        <v>1325.9699628905473</v>
      </c>
      <c r="FJ162" s="62">
        <f ca="1">AVERAGE(OFFSET($FI$3,0,0,'Données projet'!$E$16+1,1))-AVERAGE(OFFSET($H$3,0,0,'Données projet'!$E$16+1,1))</f>
        <v>646.50767193970182</v>
      </c>
      <c r="FK162" s="62">
        <f t="shared" si="156"/>
        <v>297.06786598620607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73.615554833423801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73.615554833423801</v>
      </c>
      <c r="FU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8.4429999999999943</v>
      </c>
      <c r="FZ162" s="13">
        <f>IF('Données projet'!$A$244&gt;35,FZ161+FY162-GH161,IF(A162&lt;'Données projet'!$A$244,$FW$205^A162,IF(A162='Données projet'!$A$244,'Données projet'!$B$244,FZ161+FY162-GH161)))</f>
        <v>477.5550000000004</v>
      </c>
      <c r="GA162" s="18">
        <f>FZ162*VLOOKUP('Données projet'!$B$17,Paramètres!$A$1:$I$89,3,0)*VLOOKUP('Données projet'!$B$17,Paramètres!$A$1:$I$89,5,0)</f>
        <v>320.34389400000026</v>
      </c>
      <c r="GB162" s="14">
        <f t="shared" si="185"/>
        <v>75.424903023914041</v>
      </c>
      <c r="GC162" s="22">
        <f t="shared" si="186"/>
        <v>689.29732148331743</v>
      </c>
      <c r="GD162" s="62">
        <f t="shared" si="134"/>
        <v>982.6306548166508</v>
      </c>
      <c r="GE162" s="62">
        <f ca="1">AVERAGE(OFFSET($GD$3,0,0,'Données projet'!$E$17+1,1))-AVERAGE(OFFSET($H$3,0,0,'Données projet'!$E$17+1,1))</f>
        <v>442.85175349826028</v>
      </c>
      <c r="GF162" s="62">
        <f t="shared" si="158"/>
        <v>210.70697808232501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60.024990864176303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60.024990864176303</v>
      </c>
      <c r="GP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-3.4106051316484809E-13</v>
      </c>
      <c r="GV162" s="18">
        <f>GU162*VLOOKUP('Données projet'!$B$18,Paramètres!$A$1:$I$89,3,0)*VLOOKUP('Données projet'!$B$18,Paramètres!$A$1:$I$89,5,0)</f>
        <v>-3.2455318432766944E-13</v>
      </c>
      <c r="GW162" s="14" t="e">
        <f t="shared" si="188"/>
        <v>#NUM!</v>
      </c>
      <c r="GX162" s="22" t="e">
        <f t="shared" si="189"/>
        <v>#NUM!</v>
      </c>
      <c r="GY162" s="62" t="e">
        <f t="shared" si="137"/>
        <v>#NUM!</v>
      </c>
      <c r="GZ162" s="62">
        <f ca="1">AVERAGE(OFFSET($GY$3,0,0,'Données projet'!$E$18+1,1))-AVERAGE(OFFSET($H$3,0,0,'Données projet'!$E$18+1,1))</f>
        <v>420.2510366318939</v>
      </c>
      <c r="HA162" s="62">
        <f t="shared" si="160"/>
        <v>220.59884411514116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82.183014979720426</v>
      </c>
      <c r="HH162" s="23">
        <f>EXP(-LN(2)/25)*HH161+(1-EXP(-LN(2)/25))/(LN(2)/25)*Calculateur!HC162*Calculateur!HE162*VLOOKUP('Données projet'!$B$18,Paramètres!$A$1:$I$89,3,0)*0.475*44/12</f>
        <v>0</v>
      </c>
      <c r="HI162" s="23">
        <f>EXP(-LN(2)/2)*HI161+(1-EXP(-LN(2)/2))/(LN(2)/2)*HC162*HF162*VLOOKUP('Données projet'!$B$18,Paramètres!$A$1:$I$89,3,0)*0.475*44/12</f>
        <v>0</v>
      </c>
      <c r="HJ162" s="24">
        <f t="shared" si="190"/>
        <v>82.183014979720426</v>
      </c>
    </row>
    <row r="163" spans="1:218" x14ac:dyDescent="0.2">
      <c r="A163" s="11">
        <f t="shared" si="161"/>
        <v>160</v>
      </c>
      <c r="B163" s="74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-4.5474735088646412E-13</v>
      </c>
      <c r="O163" s="14">
        <f>N163*VLOOKUP('Données projet'!$B$9,Paramètres!$A$1:$I$89,3,0)*VLOOKUP('Données projet'!$B$9,Paramètres!$A$1:$I$89,5,0)</f>
        <v>-3.9017322706058626E-13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623.31285537237943</v>
      </c>
      <c r="T163" s="62">
        <f t="shared" si="142"/>
        <v>462.33909258902241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85.741162503751482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85.741162503751482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4.9658410716801891E-14</v>
      </c>
      <c r="AK163" s="14">
        <f t="shared" si="164"/>
        <v>8.0934058173791862E-13</v>
      </c>
      <c r="AL163" s="22">
        <f t="shared" si="165"/>
        <v>1.4960899118586383E-12</v>
      </c>
      <c r="AM163" s="62">
        <f t="shared" si="113"/>
        <v>293.33333333333479</v>
      </c>
      <c r="AN163" s="62">
        <f ca="1">AVERAGE(OFFSET($AM$3,0,0,'Données projet'!$E$10+1,1))-AVERAGE(OFFSET($H$3,0,0,'Données projet'!$E$10+1,1))</f>
        <v>390.70479111593545</v>
      </c>
      <c r="AO163" s="62">
        <f t="shared" si="144"/>
        <v>374.99493809709708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33.774467594281766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33.774467594281766</v>
      </c>
      <c r="AY163" s="7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5.6843418860808015E-14</v>
      </c>
      <c r="BE163" s="14">
        <f>BD163*VLOOKUP('Données projet'!$B$11,Paramètres!$A$1:$I$89,3,0)*VLOOKUP('Données projet'!$B$11,Paramètres!$A$1:$I$89,5,0)</f>
        <v>4.5224624045658861E-14</v>
      </c>
      <c r="BF163" s="14">
        <f t="shared" si="167"/>
        <v>7.4514601661523691E-13</v>
      </c>
      <c r="BG163" s="22">
        <f t="shared" si="168"/>
        <v>1.3765621991510601E-12</v>
      </c>
      <c r="BH163" s="62">
        <f t="shared" si="116"/>
        <v>293.33333333333468</v>
      </c>
      <c r="BI163" s="62">
        <f ca="1">AVERAGE(OFFSET($BH$3,0,0,'Données projet'!$E$11+1,1))-AVERAGE(OFFSET($H$3,0,0,'Données projet'!$E$11+1,1))</f>
        <v>359.18294335011535</v>
      </c>
      <c r="BJ163" s="62">
        <f t="shared" si="146"/>
        <v>345.47508134331241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30.7588901305066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30.7588901305066</v>
      </c>
      <c r="BT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5.6843418860808015E-14</v>
      </c>
      <c r="BZ163" s="14">
        <f>BY163*VLOOKUP('Données projet'!$B$12,Paramètres!$A$1:$I$89,3,0)*VLOOKUP('Données projet'!$B$12,Paramètres!$A$1:$I$89,5,0)</f>
        <v>4.1677594708744434E-14</v>
      </c>
      <c r="CA163" s="14">
        <f t="shared" si="170"/>
        <v>6.9326303456159188E-13</v>
      </c>
      <c r="CB163" s="22">
        <f t="shared" si="171"/>
        <v>1.2800215959791691E-12</v>
      </c>
      <c r="CC163" s="62">
        <f t="shared" si="119"/>
        <v>293.33333333333462</v>
      </c>
      <c r="CD163" s="62">
        <f ca="1">AVERAGE(OFFSET($CC$3,0,0,'Données projet'!$E$12+1,1))-AVERAGE(OFFSET($H$3,0,0,'Données projet'!$E$12+1,1))</f>
        <v>333.9187211440219</v>
      </c>
      <c r="CE163" s="62">
        <f t="shared" si="148"/>
        <v>321.81422611044997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22.998045487885243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22.998045487885243</v>
      </c>
      <c r="CO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5.6843418860808015E-14</v>
      </c>
      <c r="CU163" s="18">
        <f>CT163*VLOOKUP('Données projet'!$B$13,Paramètres!$A$1:$I$89,3,0)*VLOOKUP('Données projet'!$B$13,Paramètres!$A$1:$I$89,5,0)</f>
        <v>4.6111381379887463E-14</v>
      </c>
      <c r="CV163" s="14">
        <f t="shared" si="173"/>
        <v>7.5804141040779151E-13</v>
      </c>
      <c r="CW163" s="22">
        <f t="shared" si="174"/>
        <v>1.4005661123635408E-12</v>
      </c>
      <c r="CX163" s="62">
        <f t="shared" si="122"/>
        <v>293.33333333333474</v>
      </c>
      <c r="CY163" s="62">
        <f ca="1">AVERAGE(OFFSET($CX$3,0,0,'Données projet'!$E$13+1,1))-AVERAGE(OFFSET($H$3,0,0,'Données projet'!$E$13+1,1))</f>
        <v>365.492319515595</v>
      </c>
      <c r="CZ163" s="62">
        <f t="shared" si="150"/>
        <v>351.38386928091433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25.444646071702817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25.444646071702817</v>
      </c>
      <c r="DJ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8.4429999999999943</v>
      </c>
      <c r="DO163" s="13">
        <f>IF('Données projet'!$A$166&gt;35,DO162+DN163-DW162,IF(A163&lt;'Données projet'!$A$166,$DL$205^A163,IF(A163='Données projet'!$A$166,'Données projet'!$B$166,DO162+DN163-DW162)))</f>
        <v>485.99800000000039</v>
      </c>
      <c r="DP163" s="18">
        <f>DO163*VLOOKUP('Données projet'!$B$14,Paramètres!$A$1:$I$89,3,0)*VLOOKUP('Données projet'!$B$14,Paramètres!$A$1:$I$89,5,0)</f>
        <v>409.40471520000034</v>
      </c>
      <c r="DQ163" s="14">
        <f t="shared" si="176"/>
        <v>93.680740397116637</v>
      </c>
      <c r="DR163" s="22">
        <f t="shared" si="177"/>
        <v>876.20716849831194</v>
      </c>
      <c r="DS163" s="62">
        <f t="shared" si="125"/>
        <v>1169.5405018316453</v>
      </c>
      <c r="DT163" s="62">
        <f ca="1">AVERAGE(OFFSET($DS$3,0,0,'Données projet'!$E$14+1,1))-AVERAGE(OFFSET($H$3,0,0,'Données projet'!$E$14+1,1))</f>
        <v>544.89250424794909</v>
      </c>
      <c r="DU163" s="62">
        <f t="shared" si="152"/>
        <v>253.98688498110715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59.958275846562138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59.958275846562138</v>
      </c>
      <c r="EE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8.4429999999999943</v>
      </c>
      <c r="EJ163" s="13">
        <f>IF('Données projet'!$A$192&gt;35,EJ162+EI163-ER162,IF(A163&lt;'Données projet'!$A$192,$EG$205^A163,IF(A163='Données projet'!$A$192,'Données projet'!$B$192,EJ162+EI163-ER162)))</f>
        <v>485.99800000000039</v>
      </c>
      <c r="EK163" s="18">
        <f>EJ163*VLOOKUP('Données projet'!$B$15,Paramètres!$A$1:$I$89,3,0)*VLOOKUP('Données projet'!$B$15,Paramètres!$A$1:$I$89,5,0)</f>
        <v>439.73099040000034</v>
      </c>
      <c r="EL163" s="14">
        <f t="shared" si="179"/>
        <v>99.786585784186272</v>
      </c>
      <c r="EM163" s="22">
        <f t="shared" si="180"/>
        <v>939.65977852079175</v>
      </c>
      <c r="EN163" s="62">
        <f t="shared" si="128"/>
        <v>1232.9931118541251</v>
      </c>
      <c r="EO163" s="62">
        <f ca="1">AVERAGE(OFFSET($EN$3,0,0,'Données projet'!$E$15+1,1))-AVERAGE(OFFSET($H$3,0,0,'Données projet'!$E$15+1,1))</f>
        <v>581.88778927327667</v>
      </c>
      <c r="EP163" s="62">
        <f t="shared" si="154"/>
        <v>269.67340993773422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64.399629612974152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64.399629612974152</v>
      </c>
      <c r="EZ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8.4429999999999943</v>
      </c>
      <c r="FE163" s="13">
        <f>IF('Données projet'!$A$218&gt;35,FE162+FD163-FM162,IF(A163&lt;'Données projet'!$A$218,$FB$205^A163,IF(A163='Données projet'!$A$218,'Données projet'!$B$218,FE162+FD163-FM162)))</f>
        <v>485.99800000000039</v>
      </c>
      <c r="FF163" s="18">
        <f>FE163*VLOOKUP('Données projet'!$B$16,Paramètres!$A$1:$I$89,3,0)*VLOOKUP('Données projet'!$B$16,Paramètres!$A$1:$I$89,5,0)</f>
        <v>492.80197200000038</v>
      </c>
      <c r="FG163" s="14">
        <f t="shared" si="182"/>
        <v>110.35637600432534</v>
      </c>
      <c r="FH163" s="22">
        <f t="shared" si="183"/>
        <v>1050.5007894408673</v>
      </c>
      <c r="FI163" s="62">
        <f t="shared" si="131"/>
        <v>1343.8341227742005</v>
      </c>
      <c r="FJ163" s="62">
        <f ca="1">AVERAGE(OFFSET($FI$3,0,0,'Données projet'!$E$16+1,1))-AVERAGE(OFFSET($H$3,0,0,'Données projet'!$E$16+1,1))</f>
        <v>646.50767193970182</v>
      </c>
      <c r="FK163" s="62">
        <f t="shared" si="156"/>
        <v>297.06786598620607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72.171998704195204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72.171998704195204</v>
      </c>
      <c r="FU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8.4429999999999943</v>
      </c>
      <c r="FZ163" s="13">
        <f>IF('Données projet'!$A$244&gt;35,FZ162+FY163-GH162,IF(A163&lt;'Données projet'!$A$244,$FW$205^A163,IF(A163='Données projet'!$A$244,'Données projet'!$B$244,FZ162+FY163-GH162)))</f>
        <v>485.99800000000039</v>
      </c>
      <c r="GA163" s="18">
        <f>FZ163*VLOOKUP('Données projet'!$B$17,Paramètres!$A$1:$I$89,3,0)*VLOOKUP('Données projet'!$B$17,Paramètres!$A$1:$I$89,5,0)</f>
        <v>326.0074584000003</v>
      </c>
      <c r="GB163" s="14">
        <f t="shared" si="185"/>
        <v>76.601965938553121</v>
      </c>
      <c r="GC163" s="22">
        <f t="shared" si="186"/>
        <v>701.21141405631386</v>
      </c>
      <c r="GD163" s="62">
        <f t="shared" si="134"/>
        <v>994.54474738964723</v>
      </c>
      <c r="GE163" s="62">
        <f ca="1">AVERAGE(OFFSET($GD$3,0,0,'Données projet'!$E$17+1,1))-AVERAGE(OFFSET($H$3,0,0,'Données projet'!$E$17+1,1))</f>
        <v>442.85175349826028</v>
      </c>
      <c r="GF163" s="62">
        <f t="shared" si="158"/>
        <v>210.70697808232501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58.847937404959133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58.847937404959133</v>
      </c>
      <c r="GP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-3.4106051316484809E-13</v>
      </c>
      <c r="GV163" s="18">
        <f>GU163*VLOOKUP('Données projet'!$B$18,Paramètres!$A$1:$I$89,3,0)*VLOOKUP('Données projet'!$B$18,Paramètres!$A$1:$I$89,5,0)</f>
        <v>-3.2455318432766944E-13</v>
      </c>
      <c r="GW163" s="14" t="e">
        <f t="shared" si="188"/>
        <v>#NUM!</v>
      </c>
      <c r="GX163" s="22" t="e">
        <f t="shared" si="189"/>
        <v>#NUM!</v>
      </c>
      <c r="GY163" s="62" t="e">
        <f t="shared" si="137"/>
        <v>#NUM!</v>
      </c>
      <c r="GZ163" s="62">
        <f ca="1">AVERAGE(OFFSET($GY$3,0,0,'Données projet'!$E$18+1,1))-AVERAGE(OFFSET($H$3,0,0,'Données projet'!$E$18+1,1))</f>
        <v>420.2510366318939</v>
      </c>
      <c r="HA163" s="62">
        <f t="shared" si="160"/>
        <v>220.59884411514116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80.571456182657641</v>
      </c>
      <c r="HH163" s="23">
        <f>EXP(-LN(2)/25)*HH162+(1-EXP(-LN(2)/25))/(LN(2)/25)*Calculateur!HC163*Calculateur!HE163*VLOOKUP('Données projet'!$B$18,Paramètres!$A$1:$I$89,3,0)*0.475*44/12</f>
        <v>0</v>
      </c>
      <c r="HI163" s="23">
        <f>EXP(-LN(2)/2)*HI162+(1-EXP(-LN(2)/2))/(LN(2)/2)*HC163*HF163*VLOOKUP('Données projet'!$B$18,Paramètres!$A$1:$I$89,3,0)*0.475*44/12</f>
        <v>0</v>
      </c>
      <c r="HJ163" s="24">
        <f t="shared" si="190"/>
        <v>80.571456182657641</v>
      </c>
    </row>
    <row r="164" spans="1:218" x14ac:dyDescent="0.2">
      <c r="A164" s="11">
        <f t="shared" si="161"/>
        <v>161</v>
      </c>
      <c r="B164" s="74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-4.5474735088646412E-13</v>
      </c>
      <c r="O164" s="14">
        <f>N164*VLOOKUP('Données projet'!$B$9,Paramètres!$A$1:$I$89,3,0)*VLOOKUP('Données projet'!$B$9,Paramètres!$A$1:$I$89,5,0)</f>
        <v>-3.9017322706058626E-13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623.31285537237943</v>
      </c>
      <c r="T164" s="62">
        <f t="shared" si="142"/>
        <v>462.33909258902241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84.059830603998151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84.059830603998151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4.9658410716801891E-14</v>
      </c>
      <c r="AK164" s="14">
        <f t="shared" si="164"/>
        <v>8.0934058173791862E-13</v>
      </c>
      <c r="AL164" s="22">
        <f t="shared" si="165"/>
        <v>1.4960899118586383E-12</v>
      </c>
      <c r="AM164" s="62">
        <f t="shared" si="113"/>
        <v>293.33333333333479</v>
      </c>
      <c r="AN164" s="62">
        <f ca="1">AVERAGE(OFFSET($AM$3,0,0,'Données projet'!$E$10+1,1))-AVERAGE(OFFSET($H$3,0,0,'Données projet'!$E$10+1,1))</f>
        <v>390.70479111593545</v>
      </c>
      <c r="AO164" s="62">
        <f t="shared" si="144"/>
        <v>374.99493809709708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33.112170885149013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33.112170885149013</v>
      </c>
      <c r="AY164" s="7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5.6843418860808015E-14</v>
      </c>
      <c r="BE164" s="14">
        <f>BD164*VLOOKUP('Données projet'!$B$11,Paramètres!$A$1:$I$89,3,0)*VLOOKUP('Données projet'!$B$11,Paramètres!$A$1:$I$89,5,0)</f>
        <v>4.5224624045658861E-14</v>
      </c>
      <c r="BF164" s="14">
        <f t="shared" si="167"/>
        <v>7.4514601661523691E-13</v>
      </c>
      <c r="BG164" s="22">
        <f t="shared" si="168"/>
        <v>1.3765621991510601E-12</v>
      </c>
      <c r="BH164" s="62">
        <f t="shared" si="116"/>
        <v>293.33333333333468</v>
      </c>
      <c r="BI164" s="62">
        <f ca="1">AVERAGE(OFFSET($BH$3,0,0,'Données projet'!$E$11+1,1))-AVERAGE(OFFSET($H$3,0,0,'Données projet'!$E$11+1,1))</f>
        <v>359.18294335011535</v>
      </c>
      <c r="BJ164" s="62">
        <f t="shared" si="146"/>
        <v>345.47508134331241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30.155727056117843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30.155727056117843</v>
      </c>
      <c r="BT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5.6843418860808015E-14</v>
      </c>
      <c r="BZ164" s="14">
        <f>BY164*VLOOKUP('Données projet'!$B$12,Paramètres!$A$1:$I$89,3,0)*VLOOKUP('Données projet'!$B$12,Paramètres!$A$1:$I$89,5,0)</f>
        <v>4.1677594708744434E-14</v>
      </c>
      <c r="CA164" s="14">
        <f t="shared" si="170"/>
        <v>6.9326303456159188E-13</v>
      </c>
      <c r="CB164" s="22">
        <f t="shared" si="171"/>
        <v>1.2800215959791691E-12</v>
      </c>
      <c r="CC164" s="62">
        <f t="shared" si="119"/>
        <v>293.33333333333462</v>
      </c>
      <c r="CD164" s="62">
        <f ca="1">AVERAGE(OFFSET($CC$3,0,0,'Données projet'!$E$12+1,1))-AVERAGE(OFFSET($H$3,0,0,'Données projet'!$E$12+1,1))</f>
        <v>333.9187211440219</v>
      </c>
      <c r="CE164" s="62">
        <f t="shared" si="148"/>
        <v>321.81422611044997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22.547067843290467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22.547067843290467</v>
      </c>
      <c r="CO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5.6843418860808015E-14</v>
      </c>
      <c r="CU164" s="18">
        <f>CT164*VLOOKUP('Données projet'!$B$13,Paramètres!$A$1:$I$89,3,0)*VLOOKUP('Données projet'!$B$13,Paramètres!$A$1:$I$89,5,0)</f>
        <v>4.6111381379887463E-14</v>
      </c>
      <c r="CV164" s="14">
        <f t="shared" si="173"/>
        <v>7.5804141040779151E-13</v>
      </c>
      <c r="CW164" s="22">
        <f t="shared" si="174"/>
        <v>1.4005661123635408E-12</v>
      </c>
      <c r="CX164" s="62">
        <f t="shared" si="122"/>
        <v>293.33333333333474</v>
      </c>
      <c r="CY164" s="62">
        <f ca="1">AVERAGE(OFFSET($CX$3,0,0,'Données projet'!$E$13+1,1))-AVERAGE(OFFSET($H$3,0,0,'Données projet'!$E$13+1,1))</f>
        <v>365.492319515595</v>
      </c>
      <c r="CZ164" s="62">
        <f t="shared" si="150"/>
        <v>351.38386928091433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24.945692081938386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24.945692081938386</v>
      </c>
      <c r="DJ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8.4429999999999943</v>
      </c>
      <c r="DO164" s="13">
        <f>IF('Données projet'!$A$166&gt;35,DO163+DN164-DW163,IF(A164&lt;'Données projet'!$A$166,$DL$205^A164,IF(A164='Données projet'!$A$166,'Données projet'!$B$166,DO163+DN164-DW163)))</f>
        <v>494.44100000000037</v>
      </c>
      <c r="DP164" s="18">
        <f>DO164*VLOOKUP('Données projet'!$B$14,Paramètres!$A$1:$I$89,3,0)*VLOOKUP('Données projet'!$B$14,Paramètres!$A$1:$I$89,5,0)</f>
        <v>416.51709840000035</v>
      </c>
      <c r="DQ164" s="14">
        <f t="shared" si="176"/>
        <v>95.117327014257796</v>
      </c>
      <c r="DR164" s="22">
        <f t="shared" si="177"/>
        <v>891.09662426316618</v>
      </c>
      <c r="DS164" s="62">
        <f t="shared" si="125"/>
        <v>1184.4299575964994</v>
      </c>
      <c r="DT164" s="62">
        <f ca="1">AVERAGE(OFFSET($DS$3,0,0,'Données projet'!$E$14+1,1))-AVERAGE(OFFSET($H$3,0,0,'Données projet'!$E$14+1,1))</f>
        <v>544.89250424794909</v>
      </c>
      <c r="DU164" s="62">
        <f t="shared" si="152"/>
        <v>253.98688498110715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58.782530628148244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58.782530628148244</v>
      </c>
      <c r="EE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8.4429999999999943</v>
      </c>
      <c r="EJ164" s="13">
        <f>IF('Données projet'!$A$192&gt;35,EJ163+EI164-ER163,IF(A164&lt;'Données projet'!$A$192,$EG$205^A164,IF(A164='Données projet'!$A$192,'Données projet'!$B$192,EJ163+EI164-ER163)))</f>
        <v>494.44100000000037</v>
      </c>
      <c r="EK164" s="18">
        <f>EJ164*VLOOKUP('Données projet'!$B$15,Paramètres!$A$1:$I$89,3,0)*VLOOKUP('Données projet'!$B$15,Paramètres!$A$1:$I$89,5,0)</f>
        <v>447.37021680000026</v>
      </c>
      <c r="EL164" s="14">
        <f t="shared" si="179"/>
        <v>101.3168050491076</v>
      </c>
      <c r="EM164" s="22">
        <f t="shared" si="180"/>
        <v>955.62989638719603</v>
      </c>
      <c r="EN164" s="62">
        <f t="shared" si="128"/>
        <v>1248.9632297205294</v>
      </c>
      <c r="EO164" s="62">
        <f ca="1">AVERAGE(OFFSET($EN$3,0,0,'Données projet'!$E$15+1,1))-AVERAGE(OFFSET($H$3,0,0,'Données projet'!$E$15+1,1))</f>
        <v>581.88778927327667</v>
      </c>
      <c r="EP164" s="62">
        <f t="shared" si="154"/>
        <v>269.67340993773422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63.136792156159224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63.136792156159224</v>
      </c>
      <c r="EZ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8.4429999999999943</v>
      </c>
      <c r="FE164" s="13">
        <f>IF('Données projet'!$A$218&gt;35,FE163+FD164-FM163,IF(A164&lt;'Données projet'!$A$218,$FB$205^A164,IF(A164='Données projet'!$A$218,'Données projet'!$B$218,FE163+FD164-FM163)))</f>
        <v>494.44100000000037</v>
      </c>
      <c r="FF164" s="18">
        <f>FE164*VLOOKUP('Données projet'!$B$16,Paramètres!$A$1:$I$89,3,0)*VLOOKUP('Données projet'!$B$16,Paramètres!$A$1:$I$89,5,0)</f>
        <v>501.36317400000041</v>
      </c>
      <c r="FG164" s="14">
        <f t="shared" si="182"/>
        <v>112.04868215190658</v>
      </c>
      <c r="FH164" s="22">
        <f t="shared" si="183"/>
        <v>1068.3589827979044</v>
      </c>
      <c r="FI164" s="62">
        <f t="shared" si="131"/>
        <v>1361.6923161312377</v>
      </c>
      <c r="FJ164" s="62">
        <f ca="1">AVERAGE(OFFSET($FI$3,0,0,'Données projet'!$E$16+1,1))-AVERAGE(OFFSET($H$3,0,0,'Données projet'!$E$16+1,1))</f>
        <v>646.50767193970182</v>
      </c>
      <c r="FK164" s="62">
        <f t="shared" si="156"/>
        <v>297.06786598620607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70.756749830178478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70.756749830178478</v>
      </c>
      <c r="FU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8.4429999999999943</v>
      </c>
      <c r="FZ164" s="13">
        <f>IF('Données projet'!$A$244&gt;35,FZ163+FY164-GH163,IF(A164&lt;'Données projet'!$A$244,$FW$205^A164,IF(A164='Données projet'!$A$244,'Données projet'!$B$244,FZ163+FY164-GH163)))</f>
        <v>494.44100000000037</v>
      </c>
      <c r="GA164" s="18">
        <f>FZ164*VLOOKUP('Données projet'!$B$17,Paramètres!$A$1:$I$89,3,0)*VLOOKUP('Données projet'!$B$17,Paramètres!$A$1:$I$89,5,0)</f>
        <v>331.67102280000023</v>
      </c>
      <c r="GB164" s="14">
        <f t="shared" si="185"/>
        <v>77.776650923401959</v>
      </c>
      <c r="GC164" s="22">
        <f t="shared" si="186"/>
        <v>713.1213650682588</v>
      </c>
      <c r="GD164" s="62">
        <f t="shared" si="134"/>
        <v>1006.4546984015922</v>
      </c>
      <c r="GE164" s="62">
        <f ca="1">AVERAGE(OFFSET($GD$3,0,0,'Données projet'!$E$17+1,1))-AVERAGE(OFFSET($H$3,0,0,'Données projet'!$E$17+1,1))</f>
        <v>442.85175349826028</v>
      </c>
      <c r="GF164" s="62">
        <f t="shared" si="158"/>
        <v>210.70697808232501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57.693965246145495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57.693965246145495</v>
      </c>
      <c r="GP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-3.4106051316484809E-13</v>
      </c>
      <c r="GV164" s="18">
        <f>GU164*VLOOKUP('Données projet'!$B$18,Paramètres!$A$1:$I$89,3,0)*VLOOKUP('Données projet'!$B$18,Paramètres!$A$1:$I$89,5,0)</f>
        <v>-3.2455318432766944E-13</v>
      </c>
      <c r="GW164" s="14" t="e">
        <f t="shared" si="188"/>
        <v>#NUM!</v>
      </c>
      <c r="GX164" s="22" t="e">
        <f t="shared" si="189"/>
        <v>#NUM!</v>
      </c>
      <c r="GY164" s="62" t="e">
        <f t="shared" si="137"/>
        <v>#NUM!</v>
      </c>
      <c r="GZ164" s="62">
        <f ca="1">AVERAGE(OFFSET($GY$3,0,0,'Données projet'!$E$18+1,1))-AVERAGE(OFFSET($H$3,0,0,'Données projet'!$E$18+1,1))</f>
        <v>420.2510366318939</v>
      </c>
      <c r="HA164" s="62">
        <f t="shared" si="160"/>
        <v>220.59884411514116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78.991499070651457</v>
      </c>
      <c r="HH164" s="23">
        <f>EXP(-LN(2)/25)*HH163+(1-EXP(-LN(2)/25))/(LN(2)/25)*Calculateur!HC164*Calculateur!HE164*VLOOKUP('Données projet'!$B$18,Paramètres!$A$1:$I$89,3,0)*0.475*44/12</f>
        <v>0</v>
      </c>
      <c r="HI164" s="23">
        <f>EXP(-LN(2)/2)*HI163+(1-EXP(-LN(2)/2))/(LN(2)/2)*HC164*HF164*VLOOKUP('Données projet'!$B$18,Paramètres!$A$1:$I$89,3,0)*0.475*44/12</f>
        <v>0</v>
      </c>
      <c r="HJ164" s="24">
        <f t="shared" si="190"/>
        <v>78.991499070651457</v>
      </c>
    </row>
    <row r="165" spans="1:218" x14ac:dyDescent="0.2">
      <c r="A165" s="11">
        <f t="shared" si="161"/>
        <v>162</v>
      </c>
      <c r="B165" s="74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-4.5474735088646412E-13</v>
      </c>
      <c r="O165" s="14">
        <f>N165*VLOOKUP('Données projet'!$B$9,Paramètres!$A$1:$I$89,3,0)*VLOOKUP('Données projet'!$B$9,Paramètres!$A$1:$I$89,5,0)</f>
        <v>-3.9017322706058626E-13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623.31285537237943</v>
      </c>
      <c r="T165" s="62">
        <f t="shared" si="142"/>
        <v>462.33909258902241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82.411468597287779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82.411468597287779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4.9658410716801891E-14</v>
      </c>
      <c r="AK165" s="14">
        <f t="shared" si="164"/>
        <v>8.0934058173791862E-13</v>
      </c>
      <c r="AL165" s="22">
        <f t="shared" si="165"/>
        <v>1.4960899118586383E-12</v>
      </c>
      <c r="AM165" s="62">
        <f t="shared" si="113"/>
        <v>293.33333333333479</v>
      </c>
      <c r="AN165" s="62">
        <f ca="1">AVERAGE(OFFSET($AM$3,0,0,'Données projet'!$E$10+1,1))-AVERAGE(OFFSET($H$3,0,0,'Données projet'!$E$10+1,1))</f>
        <v>390.70479111593545</v>
      </c>
      <c r="AO165" s="62">
        <f t="shared" si="144"/>
        <v>374.99493809709708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32.462861410521249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32.462861410521249</v>
      </c>
      <c r="AY165" s="7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5.6843418860808015E-14</v>
      </c>
      <c r="BE165" s="14">
        <f>BD165*VLOOKUP('Données projet'!$B$11,Paramètres!$A$1:$I$89,3,0)*VLOOKUP('Données projet'!$B$11,Paramètres!$A$1:$I$89,5,0)</f>
        <v>4.5224624045658861E-14</v>
      </c>
      <c r="BF165" s="14">
        <f t="shared" si="167"/>
        <v>7.4514601661523691E-13</v>
      </c>
      <c r="BG165" s="22">
        <f t="shared" si="168"/>
        <v>1.3765621991510601E-12</v>
      </c>
      <c r="BH165" s="62">
        <f t="shared" si="116"/>
        <v>293.33333333333468</v>
      </c>
      <c r="BI165" s="62">
        <f ca="1">AVERAGE(OFFSET($BH$3,0,0,'Données projet'!$E$11+1,1))-AVERAGE(OFFSET($H$3,0,0,'Données projet'!$E$11+1,1))</f>
        <v>359.18294335011535</v>
      </c>
      <c r="BJ165" s="62">
        <f t="shared" si="146"/>
        <v>345.47508134331241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29.564391641724701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29.564391641724701</v>
      </c>
      <c r="BT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5.6843418860808015E-14</v>
      </c>
      <c r="BZ165" s="14">
        <f>BY165*VLOOKUP('Données projet'!$B$12,Paramètres!$A$1:$I$89,3,0)*VLOOKUP('Données projet'!$B$12,Paramètres!$A$1:$I$89,5,0)</f>
        <v>4.1677594708744434E-14</v>
      </c>
      <c r="CA165" s="14">
        <f t="shared" si="170"/>
        <v>6.9326303456159188E-13</v>
      </c>
      <c r="CB165" s="22">
        <f t="shared" si="171"/>
        <v>1.2800215959791691E-12</v>
      </c>
      <c r="CC165" s="62">
        <f t="shared" si="119"/>
        <v>293.33333333333462</v>
      </c>
      <c r="CD165" s="62">
        <f ca="1">AVERAGE(OFFSET($CC$3,0,0,'Données projet'!$E$12+1,1))-AVERAGE(OFFSET($H$3,0,0,'Données projet'!$E$12+1,1))</f>
        <v>333.9187211440219</v>
      </c>
      <c r="CE165" s="62">
        <f t="shared" si="148"/>
        <v>321.81422611044997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22.104933595236993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22.104933595236993</v>
      </c>
      <c r="CO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5.6843418860808015E-14</v>
      </c>
      <c r="CU165" s="18">
        <f>CT165*VLOOKUP('Données projet'!$B$13,Paramètres!$A$1:$I$89,3,0)*VLOOKUP('Données projet'!$B$13,Paramètres!$A$1:$I$89,5,0)</f>
        <v>4.6111381379887463E-14</v>
      </c>
      <c r="CV165" s="14">
        <f t="shared" si="173"/>
        <v>7.5804141040779151E-13</v>
      </c>
      <c r="CW165" s="22">
        <f t="shared" si="174"/>
        <v>1.4005661123635408E-12</v>
      </c>
      <c r="CX165" s="62">
        <f t="shared" si="122"/>
        <v>293.33333333333474</v>
      </c>
      <c r="CY165" s="62">
        <f ca="1">AVERAGE(OFFSET($CX$3,0,0,'Données projet'!$E$13+1,1))-AVERAGE(OFFSET($H$3,0,0,'Données projet'!$E$13+1,1))</f>
        <v>365.492319515595</v>
      </c>
      <c r="CZ165" s="62">
        <f t="shared" si="150"/>
        <v>351.38386928091433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24.456522275581353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24.456522275581353</v>
      </c>
      <c r="DJ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8.4429999999999943</v>
      </c>
      <c r="DO165" s="13">
        <f>IF('Données projet'!$A$166&gt;35,DO164+DN165-DW164,IF(A165&lt;'Données projet'!$A$166,$DL$205^A165,IF(A165='Données projet'!$A$166,'Données projet'!$B$166,DO164+DN165-DW164)))</f>
        <v>502.88400000000036</v>
      </c>
      <c r="DP165" s="18">
        <f>DO165*VLOOKUP('Données projet'!$B$14,Paramètres!$A$1:$I$89,3,0)*VLOOKUP('Données projet'!$B$14,Paramètres!$A$1:$I$89,5,0)</f>
        <v>423.6294816000003</v>
      </c>
      <c r="DQ165" s="14">
        <f t="shared" si="176"/>
        <v>96.551060919674001</v>
      </c>
      <c r="DR165" s="22">
        <f t="shared" si="177"/>
        <v>905.98111155509935</v>
      </c>
      <c r="DS165" s="62">
        <f t="shared" si="125"/>
        <v>1199.3144448884327</v>
      </c>
      <c r="DT165" s="62">
        <f ca="1">AVERAGE(OFFSET($DS$3,0,0,'Données projet'!$E$14+1,1))-AVERAGE(OFFSET($H$3,0,0,'Données projet'!$E$14+1,1))</f>
        <v>544.89250424794909</v>
      </c>
      <c r="DU165" s="62">
        <f t="shared" si="152"/>
        <v>253.98688498110715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57.629841056333674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57.629841056333674</v>
      </c>
      <c r="EE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8.4429999999999943</v>
      </c>
      <c r="EJ165" s="13">
        <f>IF('Données projet'!$A$192&gt;35,EJ164+EI165-ER164,IF(A165&lt;'Données projet'!$A$192,$EG$205^A165,IF(A165='Données projet'!$A$192,'Données projet'!$B$192,EJ164+EI165-ER164)))</f>
        <v>502.88400000000036</v>
      </c>
      <c r="EK165" s="18">
        <f>EJ165*VLOOKUP('Données projet'!$B$15,Paramètres!$A$1:$I$89,3,0)*VLOOKUP('Données projet'!$B$15,Paramètres!$A$1:$I$89,5,0)</f>
        <v>455.00944320000031</v>
      </c>
      <c r="EL165" s="14">
        <f t="shared" si="179"/>
        <v>102.84398567063174</v>
      </c>
      <c r="EM165" s="22">
        <f t="shared" si="180"/>
        <v>971.59472194968396</v>
      </c>
      <c r="EN165" s="62">
        <f t="shared" si="128"/>
        <v>1264.9280552830173</v>
      </c>
      <c r="EO165" s="62">
        <f ca="1">AVERAGE(OFFSET($EN$3,0,0,'Données projet'!$E$15+1,1))-AVERAGE(OFFSET($H$3,0,0,'Données projet'!$E$15+1,1))</f>
        <v>581.88778927327667</v>
      </c>
      <c r="EP165" s="62">
        <f t="shared" si="154"/>
        <v>269.67340993773422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61.898718171617645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61.898718171617645</v>
      </c>
      <c r="EZ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8.4429999999999943</v>
      </c>
      <c r="FE165" s="13">
        <f>IF('Données projet'!$A$218&gt;35,FE164+FD165-FM164,IF(A165&lt;'Données projet'!$A$218,$FB$205^A165,IF(A165='Données projet'!$A$218,'Données projet'!$B$218,FE164+FD165-FM164)))</f>
        <v>502.88400000000036</v>
      </c>
      <c r="FF165" s="18">
        <f>FE165*VLOOKUP('Données projet'!$B$16,Paramètres!$A$1:$I$89,3,0)*VLOOKUP('Données projet'!$B$16,Paramètres!$A$1:$I$89,5,0)</f>
        <v>509.92437600000034</v>
      </c>
      <c r="FG165" s="14">
        <f t="shared" si="182"/>
        <v>113.73762779095213</v>
      </c>
      <c r="FH165" s="22">
        <f t="shared" si="183"/>
        <v>1086.211323269242</v>
      </c>
      <c r="FI165" s="62">
        <f t="shared" si="131"/>
        <v>1379.5446566025753</v>
      </c>
      <c r="FJ165" s="62">
        <f ca="1">AVERAGE(OFFSET($FI$3,0,0,'Données projet'!$E$16+1,1))-AVERAGE(OFFSET($H$3,0,0,'Données projet'!$E$16+1,1))</f>
        <v>646.50767193970182</v>
      </c>
      <c r="FK165" s="62">
        <f t="shared" si="156"/>
        <v>297.06786598620607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69.369253123364643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69.369253123364643</v>
      </c>
      <c r="FU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8.4429999999999943</v>
      </c>
      <c r="FZ165" s="13">
        <f>IF('Données projet'!$A$244&gt;35,FZ164+FY165-GH164,IF(A165&lt;'Données projet'!$A$244,$FW$205^A165,IF(A165='Données projet'!$A$244,'Données projet'!$B$244,FZ164+FY165-GH164)))</f>
        <v>502.88400000000036</v>
      </c>
      <c r="GA165" s="18">
        <f>FZ165*VLOOKUP('Données projet'!$B$17,Paramètres!$A$1:$I$89,3,0)*VLOOKUP('Données projet'!$B$17,Paramètres!$A$1:$I$89,5,0)</f>
        <v>337.33458720000027</v>
      </c>
      <c r="GB165" s="14">
        <f t="shared" si="185"/>
        <v>78.949003269488188</v>
      </c>
      <c r="GC165" s="22">
        <f t="shared" si="186"/>
        <v>725.02725340102563</v>
      </c>
      <c r="GD165" s="62">
        <f t="shared" si="134"/>
        <v>1018.360586734359</v>
      </c>
      <c r="GE165" s="62">
        <f ca="1">AVERAGE(OFFSET($GD$3,0,0,'Données projet'!$E$17+1,1))-AVERAGE(OFFSET($H$3,0,0,'Données projet'!$E$17+1,1))</f>
        <v>442.85175349826028</v>
      </c>
      <c r="GF165" s="62">
        <f t="shared" si="158"/>
        <v>210.70697808232501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56.562621777512675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56.562621777512675</v>
      </c>
      <c r="GP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-3.4106051316484809E-13</v>
      </c>
      <c r="GV165" s="18">
        <f>GU165*VLOOKUP('Données projet'!$B$18,Paramètres!$A$1:$I$89,3,0)*VLOOKUP('Données projet'!$B$18,Paramètres!$A$1:$I$89,5,0)</f>
        <v>-3.2455318432766944E-13</v>
      </c>
      <c r="GW165" s="14" t="e">
        <f t="shared" si="188"/>
        <v>#NUM!</v>
      </c>
      <c r="GX165" s="22" t="e">
        <f t="shared" si="189"/>
        <v>#NUM!</v>
      </c>
      <c r="GY165" s="62" t="e">
        <f t="shared" si="137"/>
        <v>#NUM!</v>
      </c>
      <c r="GZ165" s="62">
        <f ca="1">AVERAGE(OFFSET($GY$3,0,0,'Données projet'!$E$18+1,1))-AVERAGE(OFFSET($H$3,0,0,'Données projet'!$E$18+1,1))</f>
        <v>420.2510366318939</v>
      </c>
      <c r="HA165" s="62">
        <f t="shared" si="160"/>
        <v>220.59884411514116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77.442523953933033</v>
      </c>
      <c r="HH165" s="23">
        <f>EXP(-LN(2)/25)*HH164+(1-EXP(-LN(2)/25))/(LN(2)/25)*Calculateur!HC165*Calculateur!HE165*VLOOKUP('Données projet'!$B$18,Paramètres!$A$1:$I$89,3,0)*0.475*44/12</f>
        <v>0</v>
      </c>
      <c r="HI165" s="23">
        <f>EXP(-LN(2)/2)*HI164+(1-EXP(-LN(2)/2))/(LN(2)/2)*HC165*HF165*VLOOKUP('Données projet'!$B$18,Paramètres!$A$1:$I$89,3,0)*0.475*44/12</f>
        <v>0</v>
      </c>
      <c r="HJ165" s="24">
        <f t="shared" si="190"/>
        <v>77.442523953933033</v>
      </c>
    </row>
    <row r="166" spans="1:218" x14ac:dyDescent="0.2">
      <c r="A166" s="11">
        <f t="shared" si="161"/>
        <v>163</v>
      </c>
      <c r="B166" s="74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-4.5474735088646412E-13</v>
      </c>
      <c r="O166" s="14">
        <f>N166*VLOOKUP('Données projet'!$B$9,Paramètres!$A$1:$I$89,3,0)*VLOOKUP('Données projet'!$B$9,Paramètres!$A$1:$I$89,5,0)</f>
        <v>-3.9017322706058626E-13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623.31285537237943</v>
      </c>
      <c r="T166" s="62">
        <f t="shared" si="142"/>
        <v>462.33909258902241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80.79542996412745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80.79542996412745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4.9658410716801891E-14</v>
      </c>
      <c r="AK166" s="14">
        <f t="shared" si="164"/>
        <v>8.0934058173791862E-13</v>
      </c>
      <c r="AL166" s="22">
        <f t="shared" si="165"/>
        <v>1.4960899118586383E-12</v>
      </c>
      <c r="AM166" s="62">
        <f t="shared" si="113"/>
        <v>293.33333333333479</v>
      </c>
      <c r="AN166" s="62">
        <f ca="1">AVERAGE(OFFSET($AM$3,0,0,'Données projet'!$E$10+1,1))-AVERAGE(OFFSET($H$3,0,0,'Données projet'!$E$10+1,1))</f>
        <v>390.70479111593545</v>
      </c>
      <c r="AO166" s="62">
        <f t="shared" si="144"/>
        <v>374.99493809709708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31.826284498651262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31.826284498651262</v>
      </c>
      <c r="AY166" s="7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5.6843418860808015E-14</v>
      </c>
      <c r="BE166" s="14">
        <f>BD166*VLOOKUP('Données projet'!$B$11,Paramètres!$A$1:$I$89,3,0)*VLOOKUP('Données projet'!$B$11,Paramètres!$A$1:$I$89,5,0)</f>
        <v>4.5224624045658861E-14</v>
      </c>
      <c r="BF166" s="14">
        <f t="shared" si="167"/>
        <v>7.4514601661523691E-13</v>
      </c>
      <c r="BG166" s="22">
        <f t="shared" si="168"/>
        <v>1.3765621991510601E-12</v>
      </c>
      <c r="BH166" s="62">
        <f t="shared" si="116"/>
        <v>293.33333333333468</v>
      </c>
      <c r="BI166" s="62">
        <f ca="1">AVERAGE(OFFSET($BH$3,0,0,'Données projet'!$E$11+1,1))-AVERAGE(OFFSET($H$3,0,0,'Données projet'!$E$11+1,1))</f>
        <v>359.18294335011535</v>
      </c>
      <c r="BJ166" s="62">
        <f t="shared" si="146"/>
        <v>345.47508134331241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28.984651954128818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28.984651954128818</v>
      </c>
      <c r="BT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5.6843418860808015E-14</v>
      </c>
      <c r="BZ166" s="14">
        <f>BY166*VLOOKUP('Données projet'!$B$12,Paramètres!$A$1:$I$89,3,0)*VLOOKUP('Données projet'!$B$12,Paramètres!$A$1:$I$89,5,0)</f>
        <v>4.1677594708744434E-14</v>
      </c>
      <c r="CA166" s="14">
        <f t="shared" si="170"/>
        <v>6.9326303456159188E-13</v>
      </c>
      <c r="CB166" s="22">
        <f t="shared" si="171"/>
        <v>1.2800215959791691E-12</v>
      </c>
      <c r="CC166" s="62">
        <f t="shared" si="119"/>
        <v>293.33333333333462</v>
      </c>
      <c r="CD166" s="62">
        <f ca="1">AVERAGE(OFFSET($CC$3,0,0,'Données projet'!$E$12+1,1))-AVERAGE(OFFSET($H$3,0,0,'Données projet'!$E$12+1,1))</f>
        <v>333.9187211440219</v>
      </c>
      <c r="CE166" s="62">
        <f t="shared" si="148"/>
        <v>321.81422611044997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21.671469330112586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21.671469330112586</v>
      </c>
      <c r="CO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5.6843418860808015E-14</v>
      </c>
      <c r="CU166" s="18">
        <f>CT166*VLOOKUP('Données projet'!$B$13,Paramètres!$A$1:$I$89,3,0)*VLOOKUP('Données projet'!$B$13,Paramètres!$A$1:$I$89,5,0)</f>
        <v>4.6111381379887463E-14</v>
      </c>
      <c r="CV166" s="14">
        <f t="shared" si="173"/>
        <v>7.5804141040779151E-13</v>
      </c>
      <c r="CW166" s="22">
        <f t="shared" si="174"/>
        <v>1.4005661123635408E-12</v>
      </c>
      <c r="CX166" s="62">
        <f t="shared" si="122"/>
        <v>293.33333333333474</v>
      </c>
      <c r="CY166" s="62">
        <f ca="1">AVERAGE(OFFSET($CX$3,0,0,'Données projet'!$E$13+1,1))-AVERAGE(OFFSET($H$3,0,0,'Données projet'!$E$13+1,1))</f>
        <v>365.492319515595</v>
      </c>
      <c r="CZ166" s="62">
        <f t="shared" si="150"/>
        <v>351.38386928091433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23.976944790762857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23.976944790762857</v>
      </c>
      <c r="DJ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8.4429999999999943</v>
      </c>
      <c r="DO166" s="13">
        <f>IF('Données projet'!$A$166&gt;35,DO165+DN166-DW165,IF(A166&lt;'Données projet'!$A$166,$DL$205^A166,IF(A166='Données projet'!$A$166,'Données projet'!$B$166,DO165+DN166-DW165)))</f>
        <v>511.32700000000034</v>
      </c>
      <c r="DP166" s="18">
        <f>DO166*VLOOKUP('Données projet'!$B$14,Paramètres!$A$1:$I$89,3,0)*VLOOKUP('Données projet'!$B$14,Paramètres!$A$1:$I$89,5,0)</f>
        <v>430.74186480000037</v>
      </c>
      <c r="DQ166" s="14">
        <f t="shared" si="176"/>
        <v>97.981995535779873</v>
      </c>
      <c r="DR166" s="22">
        <f t="shared" si="177"/>
        <v>920.86072341815054</v>
      </c>
      <c r="DS166" s="62">
        <f t="shared" si="125"/>
        <v>1214.1940567514839</v>
      </c>
      <c r="DT166" s="62">
        <f ca="1">AVERAGE(OFFSET($DS$3,0,0,'Données projet'!$E$14+1,1))-AVERAGE(OFFSET($H$3,0,0,'Données projet'!$E$14+1,1))</f>
        <v>544.89250424794909</v>
      </c>
      <c r="DU166" s="62">
        <f t="shared" si="152"/>
        <v>253.98688498110715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56.499755023951167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56.499755023951167</v>
      </c>
      <c r="EE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8.4429999999999943</v>
      </c>
      <c r="EJ166" s="13">
        <f>IF('Données projet'!$A$192&gt;35,EJ165+EI166-ER165,IF(A166&lt;'Données projet'!$A$192,$EG$205^A166,IF(A166='Données projet'!$A$192,'Données projet'!$B$192,EJ165+EI166-ER165)))</f>
        <v>511.32700000000034</v>
      </c>
      <c r="EK166" s="18">
        <f>EJ166*VLOOKUP('Données projet'!$B$15,Paramètres!$A$1:$I$89,3,0)*VLOOKUP('Données projet'!$B$15,Paramètres!$A$1:$I$89,5,0)</f>
        <v>462.64866960000029</v>
      </c>
      <c r="EL166" s="14">
        <f t="shared" si="179"/>
        <v>104.36818455309495</v>
      </c>
      <c r="EM166" s="22">
        <f t="shared" si="180"/>
        <v>987.5543543166408</v>
      </c>
      <c r="EN166" s="62">
        <f t="shared" si="128"/>
        <v>1280.8876876499742</v>
      </c>
      <c r="EO166" s="62">
        <f ca="1">AVERAGE(OFFSET($EN$3,0,0,'Données projet'!$E$15+1,1))-AVERAGE(OFFSET($H$3,0,0,'Données projet'!$E$15+1,1))</f>
        <v>581.88778927327667</v>
      </c>
      <c r="EP166" s="62">
        <f t="shared" si="154"/>
        <v>269.67340993773422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60.684922062762361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60.684922062762361</v>
      </c>
      <c r="EZ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8.4429999999999943</v>
      </c>
      <c r="FE166" s="13">
        <f>IF('Données projet'!$A$218&gt;35,FE165+FD166-FM165,IF(A166&lt;'Données projet'!$A$218,$FB$205^A166,IF(A166='Données projet'!$A$218,'Données projet'!$B$218,FE165+FD166-FM165)))</f>
        <v>511.32700000000034</v>
      </c>
      <c r="FF166" s="18">
        <f>FE166*VLOOKUP('Données projet'!$B$16,Paramètres!$A$1:$I$89,3,0)*VLOOKUP('Données projet'!$B$16,Paramètres!$A$1:$I$89,5,0)</f>
        <v>518.48557800000037</v>
      </c>
      <c r="FG166" s="14">
        <f t="shared" si="182"/>
        <v>115.42327585333055</v>
      </c>
      <c r="FH166" s="22">
        <f t="shared" si="183"/>
        <v>1104.0579204612179</v>
      </c>
      <c r="FI166" s="62">
        <f t="shared" si="131"/>
        <v>1397.3912537945512</v>
      </c>
      <c r="FJ166" s="62">
        <f ca="1">AVERAGE(OFFSET($FI$3,0,0,'Données projet'!$E$16+1,1))-AVERAGE(OFFSET($H$3,0,0,'Données projet'!$E$16+1,1))</f>
        <v>646.50767193970182</v>
      </c>
      <c r="FK166" s="62">
        <f t="shared" si="156"/>
        <v>297.06786598620607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68.008964380682002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68.008964380682002</v>
      </c>
      <c r="FU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8.4429999999999943</v>
      </c>
      <c r="FZ166" s="13">
        <f>IF('Données projet'!$A$244&gt;35,FZ165+FY166-GH165,IF(A166&lt;'Données projet'!$A$244,$FW$205^A166,IF(A166='Données projet'!$A$244,'Données projet'!$B$244,FZ165+FY166-GH165)))</f>
        <v>511.32700000000034</v>
      </c>
      <c r="GA166" s="18">
        <f>FZ166*VLOOKUP('Données projet'!$B$17,Paramètres!$A$1:$I$89,3,0)*VLOOKUP('Données projet'!$B$17,Paramètres!$A$1:$I$89,5,0)</f>
        <v>342.99815160000026</v>
      </c>
      <c r="GB166" s="14">
        <f t="shared" si="185"/>
        <v>80.119066659877575</v>
      </c>
      <c r="GC166" s="22">
        <f t="shared" si="186"/>
        <v>736.92915513595392</v>
      </c>
      <c r="GD166" s="62">
        <f t="shared" si="134"/>
        <v>1030.2624884692873</v>
      </c>
      <c r="GE166" s="62">
        <f ca="1">AVERAGE(OFFSET($GD$3,0,0,'Données projet'!$E$17+1,1))-AVERAGE(OFFSET($H$3,0,0,'Données projet'!$E$17+1,1))</f>
        <v>442.85175349826028</v>
      </c>
      <c r="GF166" s="62">
        <f t="shared" si="158"/>
        <v>210.70697808232501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55.453463264248363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55.453463264248363</v>
      </c>
      <c r="GP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-3.4106051316484809E-13</v>
      </c>
      <c r="GV166" s="18">
        <f>GU166*VLOOKUP('Données projet'!$B$18,Paramètres!$A$1:$I$89,3,0)*VLOOKUP('Données projet'!$B$18,Paramètres!$A$1:$I$89,5,0)</f>
        <v>-3.2455318432766944E-13</v>
      </c>
      <c r="GW166" s="14" t="e">
        <f t="shared" si="188"/>
        <v>#NUM!</v>
      </c>
      <c r="GX166" s="22" t="e">
        <f t="shared" si="189"/>
        <v>#NUM!</v>
      </c>
      <c r="GY166" s="62" t="e">
        <f t="shared" si="137"/>
        <v>#NUM!</v>
      </c>
      <c r="GZ166" s="62">
        <f ca="1">AVERAGE(OFFSET($GY$3,0,0,'Données projet'!$E$18+1,1))-AVERAGE(OFFSET($H$3,0,0,'Données projet'!$E$18+1,1))</f>
        <v>420.2510366318939</v>
      </c>
      <c r="HA166" s="62">
        <f t="shared" si="160"/>
        <v>220.59884411514116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75.923923294471919</v>
      </c>
      <c r="HH166" s="23">
        <f>EXP(-LN(2)/25)*HH165+(1-EXP(-LN(2)/25))/(LN(2)/25)*Calculateur!HC166*Calculateur!HE166*VLOOKUP('Données projet'!$B$18,Paramètres!$A$1:$I$89,3,0)*0.475*44/12</f>
        <v>0</v>
      </c>
      <c r="HI166" s="23">
        <f>EXP(-LN(2)/2)*HI165+(1-EXP(-LN(2)/2))/(LN(2)/2)*HC166*HF166*VLOOKUP('Données projet'!$B$18,Paramètres!$A$1:$I$89,3,0)*0.475*44/12</f>
        <v>0</v>
      </c>
      <c r="HJ166" s="24">
        <f t="shared" si="190"/>
        <v>75.923923294471919</v>
      </c>
    </row>
    <row r="167" spans="1:218" x14ac:dyDescent="0.2">
      <c r="A167" s="11">
        <f t="shared" si="161"/>
        <v>164</v>
      </c>
      <c r="B167" s="74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-4.5474735088646412E-13</v>
      </c>
      <c r="O167" s="14">
        <f>N167*VLOOKUP('Données projet'!$B$9,Paramètres!$A$1:$I$89,3,0)*VLOOKUP('Données projet'!$B$9,Paramètres!$A$1:$I$89,5,0)</f>
        <v>-3.9017322706058626E-13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623.31285537237943</v>
      </c>
      <c r="T167" s="62">
        <f t="shared" si="142"/>
        <v>462.33909258902241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79.211080862877154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79.211080862877154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4.9658410716801891E-14</v>
      </c>
      <c r="AK167" s="14">
        <f t="shared" si="164"/>
        <v>8.0934058173791862E-13</v>
      </c>
      <c r="AL167" s="22">
        <f t="shared" si="165"/>
        <v>1.4960899118586383E-12</v>
      </c>
      <c r="AM167" s="62">
        <f t="shared" si="113"/>
        <v>293.33333333333479</v>
      </c>
      <c r="AN167" s="62">
        <f ca="1">AVERAGE(OFFSET($AM$3,0,0,'Données projet'!$E$10+1,1))-AVERAGE(OFFSET($H$3,0,0,'Données projet'!$E$10+1,1))</f>
        <v>390.70479111593545</v>
      </c>
      <c r="AO167" s="62">
        <f t="shared" si="144"/>
        <v>374.99493809709708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31.202190471749468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31.202190471749468</v>
      </c>
      <c r="AY167" s="7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5.6843418860808015E-14</v>
      </c>
      <c r="BE167" s="14">
        <f>BD167*VLOOKUP('Données projet'!$B$11,Paramètres!$A$1:$I$89,3,0)*VLOOKUP('Données projet'!$B$11,Paramètres!$A$1:$I$89,5,0)</f>
        <v>4.5224624045658861E-14</v>
      </c>
      <c r="BF167" s="14">
        <f t="shared" si="167"/>
        <v>7.4514601661523691E-13</v>
      </c>
      <c r="BG167" s="22">
        <f t="shared" si="168"/>
        <v>1.3765621991510601E-12</v>
      </c>
      <c r="BH167" s="62">
        <f t="shared" si="116"/>
        <v>293.33333333333468</v>
      </c>
      <c r="BI167" s="62">
        <f ca="1">AVERAGE(OFFSET($BH$3,0,0,'Données projet'!$E$11+1,1))-AVERAGE(OFFSET($H$3,0,0,'Données projet'!$E$11+1,1))</f>
        <v>359.18294335011535</v>
      </c>
      <c r="BJ167" s="62">
        <f t="shared" si="146"/>
        <v>345.47508134331241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28.416280608200399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28.416280608200399</v>
      </c>
      <c r="BT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5.6843418860808015E-14</v>
      </c>
      <c r="BZ167" s="14">
        <f>BY167*VLOOKUP('Données projet'!$B$12,Paramètres!$A$1:$I$89,3,0)*VLOOKUP('Données projet'!$B$12,Paramètres!$A$1:$I$89,5,0)</f>
        <v>4.1677594708744434E-14</v>
      </c>
      <c r="CA167" s="14">
        <f t="shared" si="170"/>
        <v>6.9326303456159188E-13</v>
      </c>
      <c r="CB167" s="22">
        <f t="shared" si="171"/>
        <v>1.2800215959791691E-12</v>
      </c>
      <c r="CC167" s="62">
        <f t="shared" si="119"/>
        <v>293.33333333333462</v>
      </c>
      <c r="CD167" s="62">
        <f ca="1">AVERAGE(OFFSET($CC$3,0,0,'Données projet'!$E$12+1,1))-AVERAGE(OFFSET($H$3,0,0,'Données projet'!$E$12+1,1))</f>
        <v>333.9187211440219</v>
      </c>
      <c r="CE167" s="62">
        <f t="shared" si="148"/>
        <v>321.81422611044997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21.246505034840172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21.246505034840172</v>
      </c>
      <c r="CO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5.6843418860808015E-14</v>
      </c>
      <c r="CU167" s="18">
        <f>CT167*VLOOKUP('Données projet'!$B$13,Paramètres!$A$1:$I$89,3,0)*VLOOKUP('Données projet'!$B$13,Paramètres!$A$1:$I$89,5,0)</f>
        <v>4.6111381379887463E-14</v>
      </c>
      <c r="CV167" s="14">
        <f t="shared" si="173"/>
        <v>7.5804141040779151E-13</v>
      </c>
      <c r="CW167" s="22">
        <f t="shared" si="174"/>
        <v>1.4005661123635408E-12</v>
      </c>
      <c r="CX167" s="62">
        <f t="shared" si="122"/>
        <v>293.33333333333474</v>
      </c>
      <c r="CY167" s="62">
        <f ca="1">AVERAGE(OFFSET($CX$3,0,0,'Données projet'!$E$13+1,1))-AVERAGE(OFFSET($H$3,0,0,'Données projet'!$E$13+1,1))</f>
        <v>365.492319515595</v>
      </c>
      <c r="CZ167" s="62">
        <f t="shared" si="150"/>
        <v>351.38386928091433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23.506771527908271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23.506771527908271</v>
      </c>
      <c r="DJ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>
        <f>VLOOKUP(A167,'Données projet'!$A$165:$I$185,2,0)</f>
        <v>519.77</v>
      </c>
      <c r="DM167" s="13">
        <f>VLOOKUP(A167,'Données projet'!$A$165:$I$185,9,0)</f>
        <v>8.4429999999999943</v>
      </c>
      <c r="DN167" s="13">
        <f t="array" ref="DN167">INDEX(DM:DM,MIN(IF(ISNUMBER(DM167:DM363),ROW(DM167:DM363),"")))</f>
        <v>8.4429999999999943</v>
      </c>
      <c r="DO167" s="13">
        <f>IF('Données projet'!$A$166&gt;35,DO166+DN167-DW166,IF(A167&lt;'Données projet'!$A$166,$DL$205^A167,IF(A167='Données projet'!$A$166,'Données projet'!$B$166,DO166+DN167-DW166)))</f>
        <v>519.77000000000032</v>
      </c>
      <c r="DP167" s="18">
        <f>DO167*VLOOKUP('Données projet'!$B$14,Paramètres!$A$1:$I$89,3,0)*VLOOKUP('Données projet'!$B$14,Paramètres!$A$1:$I$89,5,0)</f>
        <v>437.85424800000033</v>
      </c>
      <c r="DQ167" s="14">
        <f t="shared" si="176"/>
        <v>99.410182419636698</v>
      </c>
      <c r="DR167" s="22">
        <f t="shared" si="177"/>
        <v>935.73554964753441</v>
      </c>
      <c r="DS167" s="62">
        <f t="shared" si="125"/>
        <v>1229.0688829808678</v>
      </c>
      <c r="DT167" s="62">
        <f ca="1">AVERAGE(OFFSET($DS$3,0,0,'Données projet'!$E$14+1,1))-AVERAGE(OFFSET($H$3,0,0,'Données projet'!$E$14+1,1))</f>
        <v>544.89250424794909</v>
      </c>
      <c r="DU167" s="62">
        <f t="shared" si="152"/>
        <v>253.98688498110715</v>
      </c>
      <c r="DV167" s="16">
        <f>IF(ISNA(VLOOKUP(A167,'Données projet'!$A$165:$I$185,3,0)),0,VLOOKUP(A167,'Données projet'!$A$165:$I$185,3,0))</f>
        <v>14</v>
      </c>
      <c r="DW167" s="16">
        <f>IF(ISNA(VLOOKUP(A167,'Données projet'!$A$165:$I$185,4,0)),0,VLOOKUP(A167,'Données projet'!$A$165:$I$185,4,0))</f>
        <v>59.58</v>
      </c>
      <c r="DX167" s="17">
        <f>IF(ISNA(VLOOKUP(A167,'Données projet'!$A$165:$I$185,5,0)),0%,VLOOKUP(A167,'Données projet'!$A$165:$I$185,5,0)*VLOOKUP('Données projet'!$B$14,Paramètres!$A$1:$I$89,7,0))</f>
        <v>0.34400000000000003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74.478246375459918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74.478246375459918</v>
      </c>
      <c r="EE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>
        <f>VLOOKUP(A167,'Données projet'!$A$191:$I$211,2,0)</f>
        <v>519.77</v>
      </c>
      <c r="EH167" s="13">
        <f>VLOOKUP(A167,'Données projet'!$A$191:$I$211,9,0)</f>
        <v>8.4429999999999943</v>
      </c>
      <c r="EI167" s="13">
        <f t="array" ref="EI167">INDEX(EH:EH,MIN(IF(ISNUMBER(EH167:EH363),ROW(EH167:EH363),"")))</f>
        <v>8.4429999999999943</v>
      </c>
      <c r="EJ167" s="13">
        <f>IF('Données projet'!$A$192&gt;35,EJ166+EI167-ER166,IF(A167&lt;'Données projet'!$A$192,$EG$205^A167,IF(A167='Données projet'!$A$192,'Données projet'!$B$192,EJ166+EI167-ER166)))</f>
        <v>519.77000000000032</v>
      </c>
      <c r="EK167" s="18">
        <f>EJ167*VLOOKUP('Données projet'!$B$15,Paramètres!$A$1:$I$89,3,0)*VLOOKUP('Données projet'!$B$15,Paramètres!$A$1:$I$89,5,0)</f>
        <v>470.28789600000022</v>
      </c>
      <c r="EL167" s="14">
        <f t="shared" si="179"/>
        <v>105.88945661390174</v>
      </c>
      <c r="EM167" s="22">
        <f t="shared" si="180"/>
        <v>1003.5088891358791</v>
      </c>
      <c r="EN167" s="62">
        <f t="shared" si="128"/>
        <v>1296.8422224692124</v>
      </c>
      <c r="EO167" s="62">
        <f ca="1">AVERAGE(OFFSET($EN$3,0,0,'Données projet'!$E$15+1,1))-AVERAGE(OFFSET($H$3,0,0,'Données projet'!$E$15+1,1))</f>
        <v>581.88778927327667</v>
      </c>
      <c r="EP167" s="62">
        <f t="shared" si="154"/>
        <v>269.67340993773422</v>
      </c>
      <c r="EQ167" s="16">
        <f>IF(ISNA(VLOOKUP(A167,'Données projet'!$A$191:$I$211,3,0)),0,VLOOKUP(A167,'Données projet'!$A$191:$I$211,3,0))</f>
        <v>14</v>
      </c>
      <c r="ER167" s="16">
        <f>IF(ISNA(VLOOKUP(A167,'Données projet'!$A$191:$I$211,4,0)),0,VLOOKUP(A167,'Données projet'!$A$191:$I$211,4,0))</f>
        <v>59.58</v>
      </c>
      <c r="ES167" s="17">
        <f>IF(ISNA(VLOOKUP(A167,'Données projet'!$A$191:$I$211,5,0)),0%,VLOOKUP(A167,'Données projet'!$A$191:$I$211,5,0)*VLOOKUP('Données projet'!$B$15,Paramètres!$A$1:$I$89,7,0))</f>
        <v>0.34400000000000003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79.995153514382864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79.995153514382864</v>
      </c>
      <c r="EZ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>
        <f>VLOOKUP(A167,'Données projet'!$A$217:$I$237,2,0)</f>
        <v>519.77</v>
      </c>
      <c r="FC167" s="13">
        <f>VLOOKUP(A167,'Données projet'!$A$217:$I$237,9,0)</f>
        <v>8.4429999999999943</v>
      </c>
      <c r="FD167" s="13">
        <f t="array" ref="FD167">INDEX(FC:FC,MIN(IF(ISNUMBER(FC167:FC363),ROW(FC167:FC363),"")))</f>
        <v>8.4429999999999943</v>
      </c>
      <c r="FE167" s="13">
        <f>IF('Données projet'!$A$218&gt;35,FE166+FD167-FM166,IF(A167&lt;'Données projet'!$A$218,$FB$205^A167,IF(A167='Données projet'!$A$218,'Données projet'!$B$218,FE166+FD167-FM166)))</f>
        <v>519.77000000000032</v>
      </c>
      <c r="FF167" s="18">
        <f>FE167*VLOOKUP('Données projet'!$B$16,Paramètres!$A$1:$I$89,3,0)*VLOOKUP('Données projet'!$B$16,Paramètres!$A$1:$I$89,5,0)</f>
        <v>527.04678000000035</v>
      </c>
      <c r="FG167" s="14">
        <f t="shared" si="182"/>
        <v>117.10568707351568</v>
      </c>
      <c r="FH167" s="22">
        <f t="shared" si="183"/>
        <v>1121.8988801530404</v>
      </c>
      <c r="FI167" s="62">
        <f t="shared" si="131"/>
        <v>1415.2322134863737</v>
      </c>
      <c r="FJ167" s="62">
        <f ca="1">AVERAGE(OFFSET($FI$3,0,0,'Données projet'!$E$16+1,1))-AVERAGE(OFFSET($H$3,0,0,'Données projet'!$E$16+1,1))</f>
        <v>646.50767193970182</v>
      </c>
      <c r="FK167" s="62">
        <f t="shared" si="156"/>
        <v>297.06786598620607</v>
      </c>
      <c r="FL167" s="16">
        <f>IF(ISNA(VLOOKUP(A167,'Données projet'!$A$217:$I$237,3,0)),0,VLOOKUP(A167,'Données projet'!$A$217:$I$237,3,0))</f>
        <v>14</v>
      </c>
      <c r="FM167" s="16">
        <f>IF(ISNA(VLOOKUP(A167,'Données projet'!$A$217:$I$237,4,0)),0,VLOOKUP(A167,'Données projet'!$A$217:$I$237,4,0))</f>
        <v>59.58</v>
      </c>
      <c r="FN167" s="17">
        <f>IF(ISNA(VLOOKUP(A167,'Données projet'!$A$217:$I$237,5,0)),0%,VLOOKUP(A167,'Données projet'!$A$217:$I$237,5,0)*VLOOKUP('Données projet'!$B$16,Paramètres!$A$1:$I$89,7,0))</f>
        <v>0.34400000000000003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89.649741007498079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89.649741007498079</v>
      </c>
      <c r="FU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>
        <f>VLOOKUP(A167,'Données projet'!$A$243:$I$263,2,0)</f>
        <v>519.77</v>
      </c>
      <c r="FX167" s="13">
        <f>VLOOKUP(A167,'Données projet'!$A$243:$I$263,9,0)</f>
        <v>8.4429999999999943</v>
      </c>
      <c r="FY167" s="13">
        <f t="array" ref="FY167">INDEX(FX:FX,MIN(IF(ISNUMBER(FX167:FX363),ROW(FX167:FX363),"")))</f>
        <v>8.4429999999999943</v>
      </c>
      <c r="FZ167" s="13">
        <f>IF('Données projet'!$A$244&gt;35,FZ166+FY167-GH166,IF(A167&lt;'Données projet'!$A$244,$FW$205^A167,IF(A167='Données projet'!$A$244,'Données projet'!$B$244,FZ166+FY167-GH166)))</f>
        <v>519.77000000000032</v>
      </c>
      <c r="GA167" s="18">
        <f>FZ167*VLOOKUP('Données projet'!$B$17,Paramètres!$A$1:$I$89,3,0)*VLOOKUP('Données projet'!$B$17,Paramètres!$A$1:$I$89,5,0)</f>
        <v>348.66171600000018</v>
      </c>
      <c r="GB167" s="14">
        <f t="shared" si="185"/>
        <v>81.286883252352425</v>
      </c>
      <c r="GC167" s="22">
        <f t="shared" si="186"/>
        <v>748.82714369784742</v>
      </c>
      <c r="GD167" s="62">
        <f t="shared" si="134"/>
        <v>1042.1604770311808</v>
      </c>
      <c r="GE167" s="62">
        <f ca="1">AVERAGE(OFFSET($GD$3,0,0,'Données projet'!$E$17+1,1))-AVERAGE(OFFSET($H$3,0,0,'Données projet'!$E$17+1,1))</f>
        <v>442.85175349826028</v>
      </c>
      <c r="GF167" s="62">
        <f t="shared" si="158"/>
        <v>210.70697808232501</v>
      </c>
      <c r="GG167" s="16">
        <f>IF(ISNA(VLOOKUP(A167,'Données projet'!$A$243:$I$263,3,0)),0,VLOOKUP(A167,'Données projet'!$A$243:$I$263,3,0))</f>
        <v>14</v>
      </c>
      <c r="GH167" s="16">
        <f>IF(ISNA(VLOOKUP(A167,'Données projet'!$A$243:$I$263,4,0)),0,VLOOKUP(A167,'Données projet'!$A$243:$I$263,4,0))</f>
        <v>59.58</v>
      </c>
      <c r="GI167" s="17">
        <f>IF(ISNA(VLOOKUP(A167,'Données projet'!$A$243:$I$263,5,0)),0%,VLOOKUP(A167,'Données projet'!$A$243:$I$263,5,0)*VLOOKUP('Données projet'!$B$17,Paramètres!$A$1:$I$89,7,0))</f>
        <v>0.42400000000000004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73.099019590729171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73.099019590729171</v>
      </c>
      <c r="GP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-3.4106051316484809E-13</v>
      </c>
      <c r="GV167" s="18">
        <f>GU167*VLOOKUP('Données projet'!$B$18,Paramètres!$A$1:$I$89,3,0)*VLOOKUP('Données projet'!$B$18,Paramètres!$A$1:$I$89,5,0)</f>
        <v>-3.2455318432766944E-13</v>
      </c>
      <c r="GW167" s="14" t="e">
        <f t="shared" si="188"/>
        <v>#NUM!</v>
      </c>
      <c r="GX167" s="22" t="e">
        <f t="shared" si="189"/>
        <v>#NUM!</v>
      </c>
      <c r="GY167" s="62" t="e">
        <f t="shared" si="137"/>
        <v>#NUM!</v>
      </c>
      <c r="GZ167" s="62">
        <f ca="1">AVERAGE(OFFSET($GY$3,0,0,'Données projet'!$E$18+1,1))-AVERAGE(OFFSET($H$3,0,0,'Données projet'!$E$18+1,1))</f>
        <v>420.2510366318939</v>
      </c>
      <c r="HA167" s="62">
        <f t="shared" si="160"/>
        <v>220.59884411514116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74.4351014676879</v>
      </c>
      <c r="HH167" s="23">
        <f>EXP(-LN(2)/25)*HH166+(1-EXP(-LN(2)/25))/(LN(2)/25)*Calculateur!HC167*Calculateur!HE167*VLOOKUP('Données projet'!$B$18,Paramètres!$A$1:$I$89,3,0)*0.475*44/12</f>
        <v>0</v>
      </c>
      <c r="HI167" s="23">
        <f>EXP(-LN(2)/2)*HI166+(1-EXP(-LN(2)/2))/(LN(2)/2)*HC167*HF167*VLOOKUP('Données projet'!$B$18,Paramètres!$A$1:$I$89,3,0)*0.475*44/12</f>
        <v>0</v>
      </c>
      <c r="HJ167" s="24">
        <f t="shared" si="190"/>
        <v>74.4351014676879</v>
      </c>
    </row>
    <row r="168" spans="1:218" x14ac:dyDescent="0.2">
      <c r="A168" s="11">
        <f t="shared" si="161"/>
        <v>165</v>
      </c>
      <c r="B168" s="74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-4.5474735088646412E-13</v>
      </c>
      <c r="O168" s="14">
        <f>N168*VLOOKUP('Données projet'!$B$9,Paramètres!$A$1:$I$89,3,0)*VLOOKUP('Données projet'!$B$9,Paramètres!$A$1:$I$89,5,0)</f>
        <v>-3.9017322706058626E-13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623.31285537237943</v>
      </c>
      <c r="T168" s="62">
        <f t="shared" si="142"/>
        <v>462.33909258902241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77.657799881144854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77.657799881144854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4.9658410716801891E-14</v>
      </c>
      <c r="AK168" s="14">
        <f t="shared" si="164"/>
        <v>8.0934058173791862E-13</v>
      </c>
      <c r="AL168" s="22">
        <f t="shared" si="165"/>
        <v>1.4960899118586383E-12</v>
      </c>
      <c r="AM168" s="62">
        <f t="shared" si="113"/>
        <v>293.33333333333479</v>
      </c>
      <c r="AN168" s="62">
        <f ca="1">AVERAGE(OFFSET($AM$3,0,0,'Données projet'!$E$10+1,1))-AVERAGE(OFFSET($H$3,0,0,'Données projet'!$E$10+1,1))</f>
        <v>390.70479111593545</v>
      </c>
      <c r="AO168" s="62">
        <f t="shared" si="144"/>
        <v>374.99493809709708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30.590334548055448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30.590334548055448</v>
      </c>
      <c r="AY168" s="7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5.6843418860808015E-14</v>
      </c>
      <c r="BE168" s="14">
        <f>BD168*VLOOKUP('Données projet'!$B$11,Paramètres!$A$1:$I$89,3,0)*VLOOKUP('Données projet'!$B$11,Paramètres!$A$1:$I$89,5,0)</f>
        <v>4.5224624045658861E-14</v>
      </c>
      <c r="BF168" s="14">
        <f t="shared" si="167"/>
        <v>7.4514601661523691E-13</v>
      </c>
      <c r="BG168" s="22">
        <f t="shared" si="168"/>
        <v>1.3765621991510601E-12</v>
      </c>
      <c r="BH168" s="62">
        <f t="shared" si="116"/>
        <v>293.33333333333468</v>
      </c>
      <c r="BI168" s="62">
        <f ca="1">AVERAGE(OFFSET($BH$3,0,0,'Données projet'!$E$11+1,1))-AVERAGE(OFFSET($H$3,0,0,'Données projet'!$E$11+1,1))</f>
        <v>359.18294335011535</v>
      </c>
      <c r="BJ168" s="62">
        <f t="shared" si="146"/>
        <v>345.47508134331241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27.859054677693347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27.859054677693347</v>
      </c>
      <c r="BT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5.6843418860808015E-14</v>
      </c>
      <c r="BZ168" s="14">
        <f>BY168*VLOOKUP('Données projet'!$B$12,Paramètres!$A$1:$I$89,3,0)*VLOOKUP('Données projet'!$B$12,Paramètres!$A$1:$I$89,5,0)</f>
        <v>4.1677594708744434E-14</v>
      </c>
      <c r="CA168" s="14">
        <f t="shared" si="170"/>
        <v>6.9326303456159188E-13</v>
      </c>
      <c r="CB168" s="22">
        <f t="shared" si="171"/>
        <v>1.2800215959791691E-12</v>
      </c>
      <c r="CC168" s="62">
        <f t="shared" si="119"/>
        <v>293.33333333333462</v>
      </c>
      <c r="CD168" s="62">
        <f ca="1">AVERAGE(OFFSET($CC$3,0,0,'Données projet'!$E$12+1,1))-AVERAGE(OFFSET($H$3,0,0,'Données projet'!$E$12+1,1))</f>
        <v>333.9187211440219</v>
      </c>
      <c r="CE168" s="62">
        <f t="shared" si="148"/>
        <v>321.81422611044997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20.829874030195423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20.829874030195423</v>
      </c>
      <c r="CO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5.6843418860808015E-14</v>
      </c>
      <c r="CU168" s="18">
        <f>CT168*VLOOKUP('Données projet'!$B$13,Paramètres!$A$1:$I$89,3,0)*VLOOKUP('Données projet'!$B$13,Paramètres!$A$1:$I$89,5,0)</f>
        <v>4.6111381379887463E-14</v>
      </c>
      <c r="CV168" s="14">
        <f t="shared" si="173"/>
        <v>7.5804141040779151E-13</v>
      </c>
      <c r="CW168" s="22">
        <f t="shared" si="174"/>
        <v>1.4005661123635408E-12</v>
      </c>
      <c r="CX168" s="62">
        <f t="shared" si="122"/>
        <v>293.33333333333474</v>
      </c>
      <c r="CY168" s="62">
        <f ca="1">AVERAGE(OFFSET($CX$3,0,0,'Données projet'!$E$13+1,1))-AVERAGE(OFFSET($H$3,0,0,'Données projet'!$E$13+1,1))</f>
        <v>365.492319515595</v>
      </c>
      <c r="CZ168" s="62">
        <f t="shared" si="150"/>
        <v>351.38386928091433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23.045818075960888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23.045818075960888</v>
      </c>
      <c r="DJ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8.5459999999999976</v>
      </c>
      <c r="DO168" s="13">
        <f>IF('Données projet'!$A$166&gt;35,DO167+DN168-DW167,IF(A168&lt;'Données projet'!$A$166,$DL$205^A168,IF(A168='Données projet'!$A$166,'Données projet'!$B$166,DO167+DN168-DW167)))</f>
        <v>468.73600000000039</v>
      </c>
      <c r="DP168" s="18">
        <f>DO168*VLOOKUP('Données projet'!$B$14,Paramètres!$A$1:$I$89,3,0)*VLOOKUP('Données projet'!$B$14,Paramètres!$A$1:$I$89,5,0)</f>
        <v>394.86320640000037</v>
      </c>
      <c r="DQ168" s="14">
        <f t="shared" si="176"/>
        <v>90.734477055113089</v>
      </c>
      <c r="DR168" s="22">
        <f t="shared" si="177"/>
        <v>845.74929868432253</v>
      </c>
      <c r="DS168" s="62">
        <f t="shared" si="125"/>
        <v>1139.0826320176559</v>
      </c>
      <c r="DT168" s="62">
        <f ca="1">AVERAGE(OFFSET($DS$3,0,0,'Données projet'!$E$14+1,1))-AVERAGE(OFFSET($H$3,0,0,'Données projet'!$E$14+1,1))</f>
        <v>544.89250424794909</v>
      </c>
      <c r="DU168" s="62">
        <f t="shared" si="152"/>
        <v>253.98688498110715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73.017773391281864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73.017773391281864</v>
      </c>
      <c r="EE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8.5459999999999976</v>
      </c>
      <c r="EJ168" s="13">
        <f>IF('Données projet'!$A$192&gt;35,EJ167+EI168-ER167,IF(A168&lt;'Données projet'!$A$192,$EG$205^A168,IF(A168='Données projet'!$A$192,'Données projet'!$B$192,EJ167+EI168-ER167)))</f>
        <v>468.73600000000039</v>
      </c>
      <c r="EK168" s="18">
        <f>EJ168*VLOOKUP('Données projet'!$B$15,Paramètres!$A$1:$I$89,3,0)*VLOOKUP('Données projet'!$B$15,Paramètres!$A$1:$I$89,5,0)</f>
        <v>424.11233280000033</v>
      </c>
      <c r="EL168" s="14">
        <f t="shared" si="179"/>
        <v>96.648293340367189</v>
      </c>
      <c r="EM168" s="22">
        <f t="shared" si="180"/>
        <v>906.99142386114011</v>
      </c>
      <c r="EN168" s="62">
        <f t="shared" si="128"/>
        <v>1200.3247571944735</v>
      </c>
      <c r="EO168" s="62">
        <f ca="1">AVERAGE(OFFSET($EN$3,0,0,'Données projet'!$E$15+1,1))-AVERAGE(OFFSET($H$3,0,0,'Données projet'!$E$15+1,1))</f>
        <v>581.88778927327667</v>
      </c>
      <c r="EP168" s="62">
        <f t="shared" si="154"/>
        <v>269.67340993773422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78.426497346191624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78.426497346191624</v>
      </c>
      <c r="EZ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8.5459999999999976</v>
      </c>
      <c r="FE168" s="13">
        <f>IF('Données projet'!$A$218&gt;35,FE167+FD168-FM167,IF(A168&lt;'Données projet'!$A$218,$FB$205^A168,IF(A168='Données projet'!$A$218,'Données projet'!$B$218,FE167+FD168-FM167)))</f>
        <v>468.73600000000039</v>
      </c>
      <c r="FF168" s="18">
        <f>FE168*VLOOKUP('Données projet'!$B$16,Paramètres!$A$1:$I$89,3,0)*VLOOKUP('Données projet'!$B$16,Paramètres!$A$1:$I$89,5,0)</f>
        <v>475.29830400000037</v>
      </c>
      <c r="FG168" s="14">
        <f t="shared" si="182"/>
        <v>106.88566320039537</v>
      </c>
      <c r="FH168" s="22">
        <f t="shared" si="183"/>
        <v>1013.9704095406892</v>
      </c>
      <c r="FI168" s="62">
        <f t="shared" si="131"/>
        <v>1307.3037428740224</v>
      </c>
      <c r="FJ168" s="62">
        <f ca="1">AVERAGE(OFFSET($FI$3,0,0,'Données projet'!$E$16+1,1))-AVERAGE(OFFSET($H$3,0,0,'Données projet'!$E$16+1,1))</f>
        <v>646.50767193970182</v>
      </c>
      <c r="FK168" s="62">
        <f t="shared" si="156"/>
        <v>297.06786598620607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87.891764267283762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87.891764267283762</v>
      </c>
      <c r="FU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8.5459999999999976</v>
      </c>
      <c r="FZ168" s="13">
        <f>IF('Données projet'!$A$244&gt;35,FZ167+FY168-GH167,IF(A168&lt;'Données projet'!$A$244,$FW$205^A168,IF(A168='Données projet'!$A$244,'Données projet'!$B$244,FZ167+FY168-GH167)))</f>
        <v>468.73600000000039</v>
      </c>
      <c r="GA168" s="18">
        <f>FZ168*VLOOKUP('Données projet'!$B$17,Paramètres!$A$1:$I$89,3,0)*VLOOKUP('Données projet'!$B$17,Paramètres!$A$1:$I$89,5,0)</f>
        <v>314.42810880000025</v>
      </c>
      <c r="GB168" s="14">
        <f t="shared" si="185"/>
        <v>74.192830792807456</v>
      </c>
      <c r="GC168" s="22">
        <f t="shared" si="186"/>
        <v>676.84813645747329</v>
      </c>
      <c r="GD168" s="62">
        <f t="shared" si="134"/>
        <v>970.18146979080666</v>
      </c>
      <c r="GE168" s="62">
        <f ca="1">AVERAGE(OFFSET($GD$3,0,0,'Données projet'!$E$17+1,1))-AVERAGE(OFFSET($H$3,0,0,'Données projet'!$E$17+1,1))</f>
        <v>442.85175349826028</v>
      </c>
      <c r="GF168" s="62">
        <f t="shared" si="158"/>
        <v>210.70697808232501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71.665592402554424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71.665592402554424</v>
      </c>
      <c r="GP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-3.4106051316484809E-13</v>
      </c>
      <c r="GV168" s="18">
        <f>GU168*VLOOKUP('Données projet'!$B$18,Paramètres!$A$1:$I$89,3,0)*VLOOKUP('Données projet'!$B$18,Paramètres!$A$1:$I$89,5,0)</f>
        <v>-3.2455318432766944E-13</v>
      </c>
      <c r="GW168" s="14" t="e">
        <f t="shared" si="188"/>
        <v>#NUM!</v>
      </c>
      <c r="GX168" s="22" t="e">
        <f t="shared" si="189"/>
        <v>#NUM!</v>
      </c>
      <c r="GY168" s="62" t="e">
        <f t="shared" si="137"/>
        <v>#NUM!</v>
      </c>
      <c r="GZ168" s="62">
        <f ca="1">AVERAGE(OFFSET($GY$3,0,0,'Données projet'!$E$18+1,1))-AVERAGE(OFFSET($H$3,0,0,'Données projet'!$E$18+1,1))</f>
        <v>420.2510366318939</v>
      </c>
      <c r="HA168" s="62">
        <f t="shared" si="160"/>
        <v>220.59884411514116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72.975474528835463</v>
      </c>
      <c r="HH168" s="23">
        <f>EXP(-LN(2)/25)*HH167+(1-EXP(-LN(2)/25))/(LN(2)/25)*Calculateur!HC168*Calculateur!HE168*VLOOKUP('Données projet'!$B$18,Paramètres!$A$1:$I$89,3,0)*0.475*44/12</f>
        <v>0</v>
      </c>
      <c r="HI168" s="23">
        <f>EXP(-LN(2)/2)*HI167+(1-EXP(-LN(2)/2))/(LN(2)/2)*HC168*HF168*VLOOKUP('Données projet'!$B$18,Paramètres!$A$1:$I$89,3,0)*0.475*44/12</f>
        <v>0</v>
      </c>
      <c r="HJ168" s="24">
        <f t="shared" si="190"/>
        <v>72.975474528835463</v>
      </c>
    </row>
    <row r="169" spans="1:218" x14ac:dyDescent="0.2">
      <c r="A169" s="11">
        <f t="shared" si="161"/>
        <v>166</v>
      </c>
      <c r="B169" s="74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-4.5474735088646412E-13</v>
      </c>
      <c r="O169" s="14">
        <f>N169*VLOOKUP('Données projet'!$B$9,Paramètres!$A$1:$I$89,3,0)*VLOOKUP('Données projet'!$B$9,Paramètres!$A$1:$I$89,5,0)</f>
        <v>-3.9017322706058626E-13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623.31285537237943</v>
      </c>
      <c r="T169" s="62">
        <f t="shared" si="142"/>
        <v>462.33909258902241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76.134977792056475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76.134977792056475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4.9658410716801891E-14</v>
      </c>
      <c r="AK169" s="14">
        <f t="shared" si="164"/>
        <v>8.0934058173791862E-13</v>
      </c>
      <c r="AL169" s="22">
        <f t="shared" si="165"/>
        <v>1.4960899118586383E-12</v>
      </c>
      <c r="AM169" s="62">
        <f t="shared" si="113"/>
        <v>293.33333333333479</v>
      </c>
      <c r="AN169" s="62">
        <f ca="1">AVERAGE(OFFSET($AM$3,0,0,'Données projet'!$E$10+1,1))-AVERAGE(OFFSET($H$3,0,0,'Données projet'!$E$10+1,1))</f>
        <v>390.70479111593545</v>
      </c>
      <c r="AO169" s="62">
        <f t="shared" si="144"/>
        <v>374.99493809709708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29.990476745829806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29.990476745829806</v>
      </c>
      <c r="AY169" s="7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5.6843418860808015E-14</v>
      </c>
      <c r="BE169" s="14">
        <f>BD169*VLOOKUP('Données projet'!$B$11,Paramètres!$A$1:$I$89,3,0)*VLOOKUP('Données projet'!$B$11,Paramètres!$A$1:$I$89,5,0)</f>
        <v>4.5224624045658861E-14</v>
      </c>
      <c r="BF169" s="14">
        <f t="shared" si="167"/>
        <v>7.4514601661523691E-13</v>
      </c>
      <c r="BG169" s="22">
        <f t="shared" si="168"/>
        <v>1.3765621991510601E-12</v>
      </c>
      <c r="BH169" s="62">
        <f t="shared" si="116"/>
        <v>293.33333333333468</v>
      </c>
      <c r="BI169" s="62">
        <f ca="1">AVERAGE(OFFSET($BH$3,0,0,'Données projet'!$E$11+1,1))-AVERAGE(OFFSET($H$3,0,0,'Données projet'!$E$11+1,1))</f>
        <v>359.18294335011535</v>
      </c>
      <c r="BJ169" s="62">
        <f t="shared" si="146"/>
        <v>345.47508134331241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27.312755607809279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27.312755607809279</v>
      </c>
      <c r="BT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5.6843418860808015E-14</v>
      </c>
      <c r="BZ169" s="14">
        <f>BY169*VLOOKUP('Données projet'!$B$12,Paramètres!$A$1:$I$89,3,0)*VLOOKUP('Données projet'!$B$12,Paramètres!$A$1:$I$89,5,0)</f>
        <v>4.1677594708744434E-14</v>
      </c>
      <c r="CA169" s="14">
        <f t="shared" si="170"/>
        <v>6.9326303456159188E-13</v>
      </c>
      <c r="CB169" s="22">
        <f t="shared" si="171"/>
        <v>1.2800215959791691E-12</v>
      </c>
      <c r="CC169" s="62">
        <f t="shared" si="119"/>
        <v>293.33333333333462</v>
      </c>
      <c r="CD169" s="62">
        <f ca="1">AVERAGE(OFFSET($CC$3,0,0,'Données projet'!$E$12+1,1))-AVERAGE(OFFSET($H$3,0,0,'Données projet'!$E$12+1,1))</f>
        <v>333.9187211440219</v>
      </c>
      <c r="CE169" s="62">
        <f t="shared" si="148"/>
        <v>321.81422611044997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20.421412905431939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20.421412905431939</v>
      </c>
      <c r="CO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5.6843418860808015E-14</v>
      </c>
      <c r="CU169" s="18">
        <f>CT169*VLOOKUP('Données projet'!$B$13,Paramètres!$A$1:$I$89,3,0)*VLOOKUP('Données projet'!$B$13,Paramètres!$A$1:$I$89,5,0)</f>
        <v>4.6111381379887463E-14</v>
      </c>
      <c r="CV169" s="14">
        <f t="shared" si="173"/>
        <v>7.5804141040779151E-13</v>
      </c>
      <c r="CW169" s="22">
        <f t="shared" si="174"/>
        <v>1.4005661123635408E-12</v>
      </c>
      <c r="CX169" s="62">
        <f t="shared" si="122"/>
        <v>293.33333333333474</v>
      </c>
      <c r="CY169" s="62">
        <f ca="1">AVERAGE(OFFSET($CX$3,0,0,'Données projet'!$E$13+1,1))-AVERAGE(OFFSET($H$3,0,0,'Données projet'!$E$13+1,1))</f>
        <v>365.492319515595</v>
      </c>
      <c r="CZ169" s="62">
        <f t="shared" si="150"/>
        <v>351.38386928091433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22.59390364005235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22.59390364005235</v>
      </c>
      <c r="DJ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8.5459999999999976</v>
      </c>
      <c r="DO169" s="13">
        <f>IF('Données projet'!$A$166&gt;35,DO168+DN169-DW168,IF(A169&lt;'Données projet'!$A$166,$DL$205^A169,IF(A169='Données projet'!$A$166,'Données projet'!$B$166,DO168+DN169-DW168)))</f>
        <v>477.28200000000038</v>
      </c>
      <c r="DP169" s="18">
        <f>DO169*VLOOKUP('Données projet'!$B$14,Paramètres!$A$1:$I$89,3,0)*VLOOKUP('Données projet'!$B$14,Paramètres!$A$1:$I$89,5,0)</f>
        <v>402.06235680000037</v>
      </c>
      <c r="DQ169" s="14">
        <f t="shared" si="176"/>
        <v>92.194651188659506</v>
      </c>
      <c r="DR169" s="22">
        <f t="shared" si="177"/>
        <v>860.83095558024922</v>
      </c>
      <c r="DS169" s="62">
        <f t="shared" si="125"/>
        <v>1154.1642889135826</v>
      </c>
      <c r="DT169" s="62">
        <f ca="1">AVERAGE(OFFSET($DS$3,0,0,'Données projet'!$E$14+1,1))-AVERAGE(OFFSET($H$3,0,0,'Données projet'!$E$14+1,1))</f>
        <v>544.89250424794909</v>
      </c>
      <c r="DU169" s="62">
        <f t="shared" si="152"/>
        <v>253.98688498110715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71.585939391522984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71.585939391522984</v>
      </c>
      <c r="EE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8.5459999999999976</v>
      </c>
      <c r="EJ169" s="13">
        <f>IF('Données projet'!$A$192&gt;35,EJ168+EI169-ER168,IF(A169&lt;'Données projet'!$A$192,$EG$205^A169,IF(A169='Données projet'!$A$192,'Données projet'!$B$192,EJ168+EI169-ER168)))</f>
        <v>477.28200000000038</v>
      </c>
      <c r="EK169" s="18">
        <f>EJ169*VLOOKUP('Données projet'!$B$15,Paramètres!$A$1:$I$89,3,0)*VLOOKUP('Données projet'!$B$15,Paramètres!$A$1:$I$89,5,0)</f>
        <v>431.84475360000033</v>
      </c>
      <c r="EL169" s="14">
        <f t="shared" si="179"/>
        <v>98.203637489221336</v>
      </c>
      <c r="EM169" s="22">
        <f t="shared" si="180"/>
        <v>923.16761448039449</v>
      </c>
      <c r="EN169" s="62">
        <f t="shared" si="128"/>
        <v>1216.5009478137279</v>
      </c>
      <c r="EO169" s="62">
        <f ca="1">AVERAGE(OFFSET($EN$3,0,0,'Données projet'!$E$15+1,1))-AVERAGE(OFFSET($H$3,0,0,'Données projet'!$E$15+1,1))</f>
        <v>581.88778927327667</v>
      </c>
      <c r="EP169" s="62">
        <f t="shared" si="154"/>
        <v>269.67340993773422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76.888601568672826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76.888601568672826</v>
      </c>
      <c r="EZ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8.5459999999999976</v>
      </c>
      <c r="FE169" s="13">
        <f>IF('Données projet'!$A$218&gt;35,FE168+FD169-FM168,IF(A169&lt;'Données projet'!$A$218,$FB$205^A169,IF(A169='Données projet'!$A$218,'Données projet'!$B$218,FE168+FD169-FM168)))</f>
        <v>477.28200000000038</v>
      </c>
      <c r="FF169" s="18">
        <f>FE169*VLOOKUP('Données projet'!$B$16,Paramètres!$A$1:$I$89,3,0)*VLOOKUP('Données projet'!$B$16,Paramètres!$A$1:$I$89,5,0)</f>
        <v>483.96394800000041</v>
      </c>
      <c r="FG169" s="14">
        <f t="shared" si="182"/>
        <v>108.6057555590847</v>
      </c>
      <c r="FH169" s="22">
        <f t="shared" si="183"/>
        <v>1032.0589003654065</v>
      </c>
      <c r="FI169" s="62">
        <f t="shared" si="131"/>
        <v>1325.3922336987398</v>
      </c>
      <c r="FJ169" s="62">
        <f ca="1">AVERAGE(OFFSET($FI$3,0,0,'Données projet'!$E$16+1,1))-AVERAGE(OFFSET($H$3,0,0,'Données projet'!$E$16+1,1))</f>
        <v>646.50767193970182</v>
      </c>
      <c r="FK169" s="62">
        <f t="shared" si="156"/>
        <v>297.06786598620607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86.168260378685119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86.168260378685119</v>
      </c>
      <c r="FU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8.5459999999999976</v>
      </c>
      <c r="FZ169" s="13">
        <f>IF('Données projet'!$A$244&gt;35,FZ168+FY169-GH168,IF(A169&lt;'Données projet'!$A$244,$FW$205^A169,IF(A169='Données projet'!$A$244,'Données projet'!$B$244,FZ168+FY169-GH168)))</f>
        <v>477.28200000000038</v>
      </c>
      <c r="GA169" s="18">
        <f>FZ169*VLOOKUP('Données projet'!$B$17,Paramètres!$A$1:$I$89,3,0)*VLOOKUP('Données projet'!$B$17,Paramètres!$A$1:$I$89,5,0)</f>
        <v>320.16076560000027</v>
      </c>
      <c r="GB169" s="14">
        <f t="shared" si="185"/>
        <v>75.386803094564755</v>
      </c>
      <c r="GC169" s="22">
        <f t="shared" si="186"/>
        <v>688.91201547636729</v>
      </c>
      <c r="GD169" s="62">
        <f t="shared" si="134"/>
        <v>982.24534880970054</v>
      </c>
      <c r="GE169" s="62">
        <f ca="1">AVERAGE(OFFSET($GD$3,0,0,'Données projet'!$E$17+1,1))-AVERAGE(OFFSET($H$3,0,0,'Données projet'!$E$17+1,1))</f>
        <v>442.85175349826028</v>
      </c>
      <c r="GF169" s="62">
        <f t="shared" si="158"/>
        <v>210.70697808232501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70.260273847235524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70.260273847235524</v>
      </c>
      <c r="GP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-3.4106051316484809E-13</v>
      </c>
      <c r="GV169" s="18">
        <f>GU169*VLOOKUP('Données projet'!$B$18,Paramètres!$A$1:$I$89,3,0)*VLOOKUP('Données projet'!$B$18,Paramètres!$A$1:$I$89,5,0)</f>
        <v>-3.2455318432766944E-13</v>
      </c>
      <c r="GW169" s="14" t="e">
        <f t="shared" si="188"/>
        <v>#NUM!</v>
      </c>
      <c r="GX169" s="22" t="e">
        <f t="shared" si="189"/>
        <v>#NUM!</v>
      </c>
      <c r="GY169" s="62" t="e">
        <f t="shared" si="137"/>
        <v>#NUM!</v>
      </c>
      <c r="GZ169" s="62">
        <f ca="1">AVERAGE(OFFSET($GY$3,0,0,'Données projet'!$E$18+1,1))-AVERAGE(OFFSET($H$3,0,0,'Données projet'!$E$18+1,1))</f>
        <v>420.2510366318939</v>
      </c>
      <c r="HA169" s="62">
        <f t="shared" si="160"/>
        <v>220.59884411514116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71.544469983969407</v>
      </c>
      <c r="HH169" s="23">
        <f>EXP(-LN(2)/25)*HH168+(1-EXP(-LN(2)/25))/(LN(2)/25)*Calculateur!HC169*Calculateur!HE169*VLOOKUP('Données projet'!$B$18,Paramètres!$A$1:$I$89,3,0)*0.475*44/12</f>
        <v>0</v>
      </c>
      <c r="HI169" s="23">
        <f>EXP(-LN(2)/2)*HI168+(1-EXP(-LN(2)/2))/(LN(2)/2)*HC169*HF169*VLOOKUP('Données projet'!$B$18,Paramètres!$A$1:$I$89,3,0)*0.475*44/12</f>
        <v>0</v>
      </c>
      <c r="HJ169" s="24">
        <f t="shared" si="190"/>
        <v>71.544469983969407</v>
      </c>
    </row>
    <row r="170" spans="1:218" x14ac:dyDescent="0.2">
      <c r="A170" s="11">
        <f t="shared" si="161"/>
        <v>167</v>
      </c>
      <c r="B170" s="74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-4.5474735088646412E-13</v>
      </c>
      <c r="O170" s="14">
        <f>N170*VLOOKUP('Données projet'!$B$9,Paramètres!$A$1:$I$89,3,0)*VLOOKUP('Données projet'!$B$9,Paramètres!$A$1:$I$89,5,0)</f>
        <v>-3.9017322706058626E-13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623.31285537237943</v>
      </c>
      <c r="T170" s="62">
        <f t="shared" si="142"/>
        <v>462.33909258902241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74.642017315305353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74.642017315305353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4.9658410716801891E-14</v>
      </c>
      <c r="AK170" s="14">
        <f t="shared" si="164"/>
        <v>8.0934058173791862E-13</v>
      </c>
      <c r="AL170" s="22">
        <f t="shared" si="165"/>
        <v>1.4960899118586383E-12</v>
      </c>
      <c r="AM170" s="62">
        <f t="shared" si="113"/>
        <v>293.33333333333479</v>
      </c>
      <c r="AN170" s="62">
        <f ca="1">AVERAGE(OFFSET($AM$3,0,0,'Données projet'!$E$10+1,1))-AVERAGE(OFFSET($H$3,0,0,'Données projet'!$E$10+1,1))</f>
        <v>390.70479111593545</v>
      </c>
      <c r="AO170" s="62">
        <f t="shared" si="144"/>
        <v>374.99493809709708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29.402381789228677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29.402381789228677</v>
      </c>
      <c r="AY170" s="7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5.6843418860808015E-14</v>
      </c>
      <c r="BE170" s="14">
        <f>BD170*VLOOKUP('Données projet'!$B$11,Paramètres!$A$1:$I$89,3,0)*VLOOKUP('Données projet'!$B$11,Paramètres!$A$1:$I$89,5,0)</f>
        <v>4.5224624045658861E-14</v>
      </c>
      <c r="BF170" s="14">
        <f t="shared" si="167"/>
        <v>7.4514601661523691E-13</v>
      </c>
      <c r="BG170" s="22">
        <f t="shared" si="168"/>
        <v>1.3765621991510601E-12</v>
      </c>
      <c r="BH170" s="62">
        <f t="shared" si="116"/>
        <v>293.33333333333468</v>
      </c>
      <c r="BI170" s="62">
        <f ca="1">AVERAGE(OFFSET($BH$3,0,0,'Données projet'!$E$11+1,1))-AVERAGE(OFFSET($H$3,0,0,'Données projet'!$E$11+1,1))</f>
        <v>359.18294335011535</v>
      </c>
      <c r="BJ170" s="62">
        <f t="shared" si="146"/>
        <v>345.47508134331241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26.777169129476107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26.777169129476107</v>
      </c>
      <c r="BT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5.6843418860808015E-14</v>
      </c>
      <c r="BZ170" s="14">
        <f>BY170*VLOOKUP('Données projet'!$B$12,Paramètres!$A$1:$I$89,3,0)*VLOOKUP('Données projet'!$B$12,Paramètres!$A$1:$I$89,5,0)</f>
        <v>4.1677594708744434E-14</v>
      </c>
      <c r="CA170" s="14">
        <f t="shared" si="170"/>
        <v>6.9326303456159188E-13</v>
      </c>
      <c r="CB170" s="22">
        <f t="shared" si="171"/>
        <v>1.2800215959791691E-12</v>
      </c>
      <c r="CC170" s="62">
        <f t="shared" si="119"/>
        <v>293.33333333333462</v>
      </c>
      <c r="CD170" s="62">
        <f ca="1">AVERAGE(OFFSET($CC$3,0,0,'Données projet'!$E$12+1,1))-AVERAGE(OFFSET($H$3,0,0,'Données projet'!$E$12+1,1))</f>
        <v>333.9187211440219</v>
      </c>
      <c r="CE170" s="62">
        <f t="shared" si="148"/>
        <v>321.81422611044997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20.020961454188381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20.020961454188381</v>
      </c>
      <c r="CO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5.6843418860808015E-14</v>
      </c>
      <c r="CU170" s="18">
        <f>CT170*VLOOKUP('Données projet'!$B$13,Paramètres!$A$1:$I$89,3,0)*VLOOKUP('Données projet'!$B$13,Paramètres!$A$1:$I$89,5,0)</f>
        <v>4.6111381379887463E-14</v>
      </c>
      <c r="CV170" s="14">
        <f t="shared" si="173"/>
        <v>7.5804141040779151E-13</v>
      </c>
      <c r="CW170" s="22">
        <f t="shared" si="174"/>
        <v>1.4005661123635408E-12</v>
      </c>
      <c r="CX170" s="62">
        <f t="shared" si="122"/>
        <v>293.33333333333474</v>
      </c>
      <c r="CY170" s="62">
        <f ca="1">AVERAGE(OFFSET($CX$3,0,0,'Données projet'!$E$13+1,1))-AVERAGE(OFFSET($H$3,0,0,'Données projet'!$E$13+1,1))</f>
        <v>365.492319515595</v>
      </c>
      <c r="CZ170" s="62">
        <f t="shared" si="150"/>
        <v>351.38386928091433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22.150850970591392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22.150850970591392</v>
      </c>
      <c r="DJ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8.5459999999999976</v>
      </c>
      <c r="DO170" s="13">
        <f>IF('Données projet'!$A$166&gt;35,DO169+DN170-DW169,IF(A170&lt;'Données projet'!$A$166,$DL$205^A170,IF(A170='Données projet'!$A$166,'Données projet'!$B$166,DO169+DN170-DW169)))</f>
        <v>485.82800000000037</v>
      </c>
      <c r="DP170" s="18">
        <f>DO170*VLOOKUP('Données projet'!$B$14,Paramètres!$A$1:$I$89,3,0)*VLOOKUP('Données projet'!$B$14,Paramètres!$A$1:$I$89,5,0)</f>
        <v>409.26150720000038</v>
      </c>
      <c r="DQ170" s="14">
        <f t="shared" si="176"/>
        <v>93.651785014805284</v>
      </c>
      <c r="DR170" s="22">
        <f t="shared" si="177"/>
        <v>875.90731727411992</v>
      </c>
      <c r="DS170" s="62">
        <f t="shared" si="125"/>
        <v>1169.2406506074533</v>
      </c>
      <c r="DT170" s="62">
        <f ca="1">AVERAGE(OFFSET($DS$3,0,0,'Données projet'!$E$14+1,1))-AVERAGE(OFFSET($H$3,0,0,'Données projet'!$E$14+1,1))</f>
        <v>544.89250424794909</v>
      </c>
      <c r="DU170" s="62">
        <f t="shared" si="152"/>
        <v>253.98688498110715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70.18218278316688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70.18218278316688</v>
      </c>
      <c r="EE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8.5459999999999976</v>
      </c>
      <c r="EJ170" s="13">
        <f>IF('Données projet'!$A$192&gt;35,EJ169+EI170-ER169,IF(A170&lt;'Données projet'!$A$192,$EG$205^A170,IF(A170='Données projet'!$A$192,'Données projet'!$B$192,EJ169+EI170-ER169)))</f>
        <v>485.82800000000037</v>
      </c>
      <c r="EK170" s="18">
        <f>EJ170*VLOOKUP('Données projet'!$B$15,Paramètres!$A$1:$I$89,3,0)*VLOOKUP('Données projet'!$B$15,Paramètres!$A$1:$I$89,5,0)</f>
        <v>439.57717440000033</v>
      </c>
      <c r="EL170" s="14">
        <f t="shared" si="179"/>
        <v>99.755743172047673</v>
      </c>
      <c r="EM170" s="22">
        <f t="shared" si="180"/>
        <v>939.33816477131688</v>
      </c>
      <c r="EN170" s="62">
        <f t="shared" si="128"/>
        <v>1232.6714981046503</v>
      </c>
      <c r="EO170" s="62">
        <f ca="1">AVERAGE(OFFSET($EN$3,0,0,'Données projet'!$E$15+1,1))-AVERAGE(OFFSET($H$3,0,0,'Données projet'!$E$15+1,1))</f>
        <v>581.88778927327667</v>
      </c>
      <c r="EP170" s="62">
        <f t="shared" si="154"/>
        <v>269.67340993773422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75.380862989327369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75.380862989327369</v>
      </c>
      <c r="EZ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8.5459999999999976</v>
      </c>
      <c r="FE170" s="13">
        <f>IF('Données projet'!$A$218&gt;35,FE169+FD170-FM169,IF(A170&lt;'Données projet'!$A$218,$FB$205^A170,IF(A170='Données projet'!$A$218,'Données projet'!$B$218,FE169+FD170-FM169)))</f>
        <v>485.82800000000037</v>
      </c>
      <c r="FF170" s="18">
        <f>FE170*VLOOKUP('Données projet'!$B$16,Paramètres!$A$1:$I$89,3,0)*VLOOKUP('Données projet'!$B$16,Paramètres!$A$1:$I$89,5,0)</f>
        <v>492.6295920000004</v>
      </c>
      <c r="FG170" s="14">
        <f t="shared" si="182"/>
        <v>110.3222664206035</v>
      </c>
      <c r="FH170" s="22">
        <f t="shared" si="183"/>
        <v>1050.1411534158851</v>
      </c>
      <c r="FI170" s="62">
        <f t="shared" si="131"/>
        <v>1343.4744867492184</v>
      </c>
      <c r="FJ170" s="62">
        <f ca="1">AVERAGE(OFFSET($FI$3,0,0,'Données projet'!$E$16+1,1))-AVERAGE(OFFSET($H$3,0,0,'Données projet'!$E$16+1,1))</f>
        <v>646.50767193970182</v>
      </c>
      <c r="FK170" s="62">
        <f t="shared" si="156"/>
        <v>297.06786598620607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84.478553350108314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84.478553350108314</v>
      </c>
      <c r="FU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8.5459999999999976</v>
      </c>
      <c r="FZ170" s="13">
        <f>IF('Données projet'!$A$244&gt;35,FZ169+FY170-GH169,IF(A170&lt;'Données projet'!$A$244,$FW$205^A170,IF(A170='Données projet'!$A$244,'Données projet'!$B$244,FZ169+FY170-GH169)))</f>
        <v>485.82800000000037</v>
      </c>
      <c r="GA170" s="18">
        <f>FZ170*VLOOKUP('Données projet'!$B$17,Paramètres!$A$1:$I$89,3,0)*VLOOKUP('Données projet'!$B$17,Paramètres!$A$1:$I$89,5,0)</f>
        <v>325.89342240000025</v>
      </c>
      <c r="GB170" s="14">
        <f t="shared" si="185"/>
        <v>76.578289362128245</v>
      </c>
      <c r="GC170" s="22">
        <f t="shared" si="186"/>
        <v>700.97156465237379</v>
      </c>
      <c r="GD170" s="62">
        <f t="shared" si="134"/>
        <v>994.30489798570716</v>
      </c>
      <c r="GE170" s="62">
        <f ca="1">AVERAGE(OFFSET($GD$3,0,0,'Données projet'!$E$17+1,1))-AVERAGE(OFFSET($H$3,0,0,'Données projet'!$E$17+1,1))</f>
        <v>442.85175349826028</v>
      </c>
      <c r="GF170" s="62">
        <f t="shared" si="158"/>
        <v>210.70697808232501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68.882512731626747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68.882512731626747</v>
      </c>
      <c r="GP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-3.4106051316484809E-13</v>
      </c>
      <c r="GV170" s="18">
        <f>GU170*VLOOKUP('Données projet'!$B$18,Paramètres!$A$1:$I$89,3,0)*VLOOKUP('Données projet'!$B$18,Paramètres!$A$1:$I$89,5,0)</f>
        <v>-3.2455318432766944E-13</v>
      </c>
      <c r="GW170" s="14" t="e">
        <f t="shared" si="188"/>
        <v>#NUM!</v>
      </c>
      <c r="GX170" s="22" t="e">
        <f t="shared" si="189"/>
        <v>#NUM!</v>
      </c>
      <c r="GY170" s="62" t="e">
        <f t="shared" si="137"/>
        <v>#NUM!</v>
      </c>
      <c r="GZ170" s="62">
        <f ca="1">AVERAGE(OFFSET($GY$3,0,0,'Données projet'!$E$18+1,1))-AVERAGE(OFFSET($H$3,0,0,'Données projet'!$E$18+1,1))</f>
        <v>420.2510366318939</v>
      </c>
      <c r="HA170" s="62">
        <f t="shared" si="160"/>
        <v>220.59884411514116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70.141526565401577</v>
      </c>
      <c r="HH170" s="23">
        <f>EXP(-LN(2)/25)*HH169+(1-EXP(-LN(2)/25))/(LN(2)/25)*Calculateur!HC170*Calculateur!HE170*VLOOKUP('Données projet'!$B$18,Paramètres!$A$1:$I$89,3,0)*0.475*44/12</f>
        <v>0</v>
      </c>
      <c r="HI170" s="23">
        <f>EXP(-LN(2)/2)*HI169+(1-EXP(-LN(2)/2))/(LN(2)/2)*HC170*HF170*VLOOKUP('Données projet'!$B$18,Paramètres!$A$1:$I$89,3,0)*0.475*44/12</f>
        <v>0</v>
      </c>
      <c r="HJ170" s="24">
        <f t="shared" si="190"/>
        <v>70.141526565401577</v>
      </c>
    </row>
    <row r="171" spans="1:218" x14ac:dyDescent="0.2">
      <c r="A171" s="11">
        <f t="shared" si="161"/>
        <v>168</v>
      </c>
      <c r="B171" s="74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-4.5474735088646412E-13</v>
      </c>
      <c r="O171" s="14">
        <f>N171*VLOOKUP('Données projet'!$B$9,Paramètres!$A$1:$I$89,3,0)*VLOOKUP('Données projet'!$B$9,Paramètres!$A$1:$I$89,5,0)</f>
        <v>-3.9017322706058626E-13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623.31285537237943</v>
      </c>
      <c r="T171" s="62">
        <f t="shared" si="142"/>
        <v>462.33909258902241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73.178332882887346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73.178332882887346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4.9658410716801891E-14</v>
      </c>
      <c r="AK171" s="14">
        <f t="shared" si="164"/>
        <v>8.0934058173791862E-13</v>
      </c>
      <c r="AL171" s="22">
        <f t="shared" si="165"/>
        <v>1.4960899118586383E-12</v>
      </c>
      <c r="AM171" s="62">
        <f t="shared" si="113"/>
        <v>293.33333333333479</v>
      </c>
      <c r="AN171" s="62">
        <f ca="1">AVERAGE(OFFSET($AM$3,0,0,'Données projet'!$E$10+1,1))-AVERAGE(OFFSET($H$3,0,0,'Données projet'!$E$10+1,1))</f>
        <v>390.70479111593545</v>
      </c>
      <c r="AO171" s="62">
        <f t="shared" si="144"/>
        <v>374.99493809709708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28.825819016023992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28.825819016023992</v>
      </c>
      <c r="AY171" s="7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5.6843418860808015E-14</v>
      </c>
      <c r="BE171" s="14">
        <f>BD171*VLOOKUP('Données projet'!$B$11,Paramètres!$A$1:$I$89,3,0)*VLOOKUP('Données projet'!$B$11,Paramètres!$A$1:$I$89,5,0)</f>
        <v>4.5224624045658861E-14</v>
      </c>
      <c r="BF171" s="14">
        <f t="shared" si="167"/>
        <v>7.4514601661523691E-13</v>
      </c>
      <c r="BG171" s="22">
        <f t="shared" si="168"/>
        <v>1.3765621991510601E-12</v>
      </c>
      <c r="BH171" s="62">
        <f t="shared" si="116"/>
        <v>293.33333333333468</v>
      </c>
      <c r="BI171" s="62">
        <f ca="1">AVERAGE(OFFSET($BH$3,0,0,'Données projet'!$E$11+1,1))-AVERAGE(OFFSET($H$3,0,0,'Données projet'!$E$11+1,1))</f>
        <v>359.18294335011535</v>
      </c>
      <c r="BJ171" s="62">
        <f t="shared" si="146"/>
        <v>345.47508134331241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26.252085175307553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26.252085175307553</v>
      </c>
      <c r="BT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5.6843418860808015E-14</v>
      </c>
      <c r="BZ171" s="14">
        <f>BY171*VLOOKUP('Données projet'!$B$12,Paramètres!$A$1:$I$89,3,0)*VLOOKUP('Données projet'!$B$12,Paramètres!$A$1:$I$89,5,0)</f>
        <v>4.1677594708744434E-14</v>
      </c>
      <c r="CA171" s="14">
        <f t="shared" si="170"/>
        <v>6.9326303456159188E-13</v>
      </c>
      <c r="CB171" s="22">
        <f t="shared" si="171"/>
        <v>1.2800215959791691E-12</v>
      </c>
      <c r="CC171" s="62">
        <f t="shared" si="119"/>
        <v>293.33333333333462</v>
      </c>
      <c r="CD171" s="62">
        <f ca="1">AVERAGE(OFFSET($CC$3,0,0,'Données projet'!$E$12+1,1))-AVERAGE(OFFSET($H$3,0,0,'Données projet'!$E$12+1,1))</f>
        <v>333.9187211440219</v>
      </c>
      <c r="CE171" s="62">
        <f t="shared" si="148"/>
        <v>321.81422611044997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19.628362611652442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19.628362611652442</v>
      </c>
      <c r="CO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5.6843418860808015E-14</v>
      </c>
      <c r="CU171" s="18">
        <f>CT171*VLOOKUP('Données projet'!$B$13,Paramètres!$A$1:$I$89,3,0)*VLOOKUP('Données projet'!$B$13,Paramètres!$A$1:$I$89,5,0)</f>
        <v>4.6111381379887463E-14</v>
      </c>
      <c r="CV171" s="14">
        <f t="shared" si="173"/>
        <v>7.5804141040779151E-13</v>
      </c>
      <c r="CW171" s="22">
        <f t="shared" si="174"/>
        <v>1.4005661123635408E-12</v>
      </c>
      <c r="CX171" s="62">
        <f t="shared" si="122"/>
        <v>293.33333333333474</v>
      </c>
      <c r="CY171" s="62">
        <f ca="1">AVERAGE(OFFSET($CX$3,0,0,'Données projet'!$E$13+1,1))-AVERAGE(OFFSET($H$3,0,0,'Données projet'!$E$13+1,1))</f>
        <v>365.492319515595</v>
      </c>
      <c r="CZ171" s="62">
        <f t="shared" si="150"/>
        <v>351.38386928091433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21.716486293743117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21.716486293743117</v>
      </c>
      <c r="DJ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8.5459999999999976</v>
      </c>
      <c r="DO171" s="13">
        <f>IF('Données projet'!$A$166&gt;35,DO170+DN171-DW170,IF(A171&lt;'Données projet'!$A$166,$DL$205^A171,IF(A171='Données projet'!$A$166,'Données projet'!$B$166,DO170+DN171-DW170)))</f>
        <v>494.37400000000036</v>
      </c>
      <c r="DP171" s="18">
        <f>DO171*VLOOKUP('Données projet'!$B$14,Paramètres!$A$1:$I$89,3,0)*VLOOKUP('Données projet'!$B$14,Paramètres!$A$1:$I$89,5,0)</f>
        <v>416.46065760000033</v>
      </c>
      <c r="DQ171" s="14">
        <f t="shared" si="176"/>
        <v>95.105938184626822</v>
      </c>
      <c r="DR171" s="22">
        <f t="shared" si="177"/>
        <v>890.97848765822562</v>
      </c>
      <c r="DS171" s="62">
        <f t="shared" si="125"/>
        <v>1184.311820991559</v>
      </c>
      <c r="DT171" s="62">
        <f ca="1">AVERAGE(OFFSET($DS$3,0,0,'Données projet'!$E$14+1,1))-AVERAGE(OFFSET($H$3,0,0,'Données projet'!$E$14+1,1))</f>
        <v>544.89250424794909</v>
      </c>
      <c r="DU171" s="62">
        <f t="shared" si="152"/>
        <v>253.98688498110715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68.805952985693651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68.805952985693651</v>
      </c>
      <c r="EE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8.5459999999999976</v>
      </c>
      <c r="EJ171" s="13">
        <f>IF('Données projet'!$A$192&gt;35,EJ170+EI171-ER170,IF(A171&lt;'Données projet'!$A$192,$EG$205^A171,IF(A171='Données projet'!$A$192,'Données projet'!$B$192,EJ170+EI171-ER170)))</f>
        <v>494.37400000000036</v>
      </c>
      <c r="EK171" s="18">
        <f>EJ171*VLOOKUP('Données projet'!$B$15,Paramètres!$A$1:$I$89,3,0)*VLOOKUP('Données projet'!$B$15,Paramètres!$A$1:$I$89,5,0)</f>
        <v>447.30959520000027</v>
      </c>
      <c r="EL171" s="14">
        <f t="shared" si="179"/>
        <v>101.30467392781068</v>
      </c>
      <c r="EM171" s="22">
        <f t="shared" si="180"/>
        <v>955.50318539760417</v>
      </c>
      <c r="EN171" s="62">
        <f t="shared" si="128"/>
        <v>1248.8365187309375</v>
      </c>
      <c r="EO171" s="62">
        <f ca="1">AVERAGE(OFFSET($EN$3,0,0,'Données projet'!$E$15+1,1))-AVERAGE(OFFSET($H$3,0,0,'Données projet'!$E$15+1,1))</f>
        <v>581.88778927327667</v>
      </c>
      <c r="EP171" s="62">
        <f t="shared" si="154"/>
        <v>269.67340993773422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73.902690243893147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73.902690243893147</v>
      </c>
      <c r="EZ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8.5459999999999976</v>
      </c>
      <c r="FE171" s="13">
        <f>IF('Données projet'!$A$218&gt;35,FE170+FD171-FM170,IF(A171&lt;'Données projet'!$A$218,$FB$205^A171,IF(A171='Données projet'!$A$218,'Données projet'!$B$218,FE170+FD171-FM170)))</f>
        <v>494.37400000000036</v>
      </c>
      <c r="FF171" s="18">
        <f>FE171*VLOOKUP('Données projet'!$B$16,Paramètres!$A$1:$I$89,3,0)*VLOOKUP('Données projet'!$B$16,Paramètres!$A$1:$I$89,5,0)</f>
        <v>501.29523600000039</v>
      </c>
      <c r="FG171" s="14">
        <f t="shared" si="182"/>
        <v>112.03526605421492</v>
      </c>
      <c r="FH171" s="22">
        <f t="shared" si="183"/>
        <v>1068.2172910777583</v>
      </c>
      <c r="FI171" s="62">
        <f t="shared" si="131"/>
        <v>1361.5506244110916</v>
      </c>
      <c r="FJ171" s="62">
        <f ca="1">AVERAGE(OFFSET($FI$3,0,0,'Données projet'!$E$16+1,1))-AVERAGE(OFFSET($H$3,0,0,'Données projet'!$E$16+1,1))</f>
        <v>646.50767193970182</v>
      </c>
      <c r="FK171" s="62">
        <f t="shared" si="156"/>
        <v>297.06786598620607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82.821980445742383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82.821980445742383</v>
      </c>
      <c r="FU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8.5459999999999976</v>
      </c>
      <c r="FZ171" s="13">
        <f>IF('Données projet'!$A$244&gt;35,FZ170+FY171-GH170,IF(A171&lt;'Données projet'!$A$244,$FW$205^A171,IF(A171='Données projet'!$A$244,'Données projet'!$B$244,FZ170+FY171-GH170)))</f>
        <v>494.37400000000036</v>
      </c>
      <c r="GA171" s="18">
        <f>FZ171*VLOOKUP('Données projet'!$B$17,Paramètres!$A$1:$I$89,3,0)*VLOOKUP('Données projet'!$B$17,Paramètres!$A$1:$I$89,5,0)</f>
        <v>331.62607920000028</v>
      </c>
      <c r="GB171" s="14">
        <f t="shared" si="185"/>
        <v>77.767338371688979</v>
      </c>
      <c r="GC171" s="22">
        <f t="shared" si="186"/>
        <v>713.0268689373587</v>
      </c>
      <c r="GD171" s="62">
        <f t="shared" si="134"/>
        <v>1006.3602022706921</v>
      </c>
      <c r="GE171" s="62">
        <f ca="1">AVERAGE(OFFSET($GD$3,0,0,'Données projet'!$E$17+1,1))-AVERAGE(OFFSET($H$3,0,0,'Données projet'!$E$17+1,1))</f>
        <v>442.85175349826028</v>
      </c>
      <c r="GF171" s="62">
        <f t="shared" si="158"/>
        <v>210.70697808232501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67.531768671143752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67.531768671143752</v>
      </c>
      <c r="GP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-3.4106051316484809E-13</v>
      </c>
      <c r="GV171" s="18">
        <f>GU171*VLOOKUP('Données projet'!$B$18,Paramètres!$A$1:$I$89,3,0)*VLOOKUP('Données projet'!$B$18,Paramètres!$A$1:$I$89,5,0)</f>
        <v>-3.2455318432766944E-13</v>
      </c>
      <c r="GW171" s="14" t="e">
        <f t="shared" si="188"/>
        <v>#NUM!</v>
      </c>
      <c r="GX171" s="22" t="e">
        <f t="shared" si="189"/>
        <v>#NUM!</v>
      </c>
      <c r="GY171" s="62" t="e">
        <f t="shared" si="137"/>
        <v>#NUM!</v>
      </c>
      <c r="GZ171" s="62">
        <f ca="1">AVERAGE(OFFSET($GY$3,0,0,'Données projet'!$E$18+1,1))-AVERAGE(OFFSET($H$3,0,0,'Données projet'!$E$18+1,1))</f>
        <v>420.2510366318939</v>
      </c>
      <c r="HA171" s="62">
        <f t="shared" si="160"/>
        <v>220.59884411514116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68.766094011560881</v>
      </c>
      <c r="HH171" s="23">
        <f>EXP(-LN(2)/25)*HH170+(1-EXP(-LN(2)/25))/(LN(2)/25)*Calculateur!HC171*Calculateur!HE171*VLOOKUP('Données projet'!$B$18,Paramètres!$A$1:$I$89,3,0)*0.475*44/12</f>
        <v>0</v>
      </c>
      <c r="HI171" s="23">
        <f>EXP(-LN(2)/2)*HI170+(1-EXP(-LN(2)/2))/(LN(2)/2)*HC171*HF171*VLOOKUP('Données projet'!$B$18,Paramètres!$A$1:$I$89,3,0)*0.475*44/12</f>
        <v>0</v>
      </c>
      <c r="HJ171" s="24">
        <f t="shared" si="190"/>
        <v>68.766094011560881</v>
      </c>
    </row>
    <row r="172" spans="1:218" x14ac:dyDescent="0.2">
      <c r="A172" s="11">
        <f t="shared" si="161"/>
        <v>169</v>
      </c>
      <c r="B172" s="74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-4.5474735088646412E-13</v>
      </c>
      <c r="O172" s="14">
        <f>N172*VLOOKUP('Données projet'!$B$9,Paramètres!$A$1:$I$89,3,0)*VLOOKUP('Données projet'!$B$9,Paramètres!$A$1:$I$89,5,0)</f>
        <v>-3.9017322706058626E-13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623.31285537237943</v>
      </c>
      <c r="T172" s="62">
        <f t="shared" si="142"/>
        <v>462.33909258902241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71.743350409429709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71.743350409429709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4.9658410716801891E-14</v>
      </c>
      <c r="AK172" s="14">
        <f t="shared" si="164"/>
        <v>8.0934058173791862E-13</v>
      </c>
      <c r="AL172" s="22">
        <f t="shared" si="165"/>
        <v>1.4960899118586383E-12</v>
      </c>
      <c r="AM172" s="62">
        <f t="shared" si="113"/>
        <v>293.33333333333479</v>
      </c>
      <c r="AN172" s="62">
        <f ca="1">AVERAGE(OFFSET($AM$3,0,0,'Données projet'!$E$10+1,1))-AVERAGE(OFFSET($H$3,0,0,'Données projet'!$E$10+1,1))</f>
        <v>390.70479111593545</v>
      </c>
      <c r="AO172" s="62">
        <f t="shared" si="144"/>
        <v>374.99493809709708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28.260562287133283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28.260562287133283</v>
      </c>
      <c r="AY172" s="7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5.6843418860808015E-14</v>
      </c>
      <c r="BE172" s="14">
        <f>BD172*VLOOKUP('Données projet'!$B$11,Paramètres!$A$1:$I$89,3,0)*VLOOKUP('Données projet'!$B$11,Paramètres!$A$1:$I$89,5,0)</f>
        <v>4.5224624045658861E-14</v>
      </c>
      <c r="BF172" s="14">
        <f t="shared" si="167"/>
        <v>7.4514601661523691E-13</v>
      </c>
      <c r="BG172" s="22">
        <f t="shared" si="168"/>
        <v>1.3765621991510601E-12</v>
      </c>
      <c r="BH172" s="62">
        <f t="shared" si="116"/>
        <v>293.33333333333468</v>
      </c>
      <c r="BI172" s="62">
        <f ca="1">AVERAGE(OFFSET($BH$3,0,0,'Données projet'!$E$11+1,1))-AVERAGE(OFFSET($H$3,0,0,'Données projet'!$E$11+1,1))</f>
        <v>359.18294335011535</v>
      </c>
      <c r="BJ172" s="62">
        <f t="shared" si="146"/>
        <v>345.47508134331241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25.737297797210655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25.737297797210655</v>
      </c>
      <c r="BT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5.6843418860808015E-14</v>
      </c>
      <c r="BZ172" s="14">
        <f>BY172*VLOOKUP('Données projet'!$B$12,Paramètres!$A$1:$I$89,3,0)*VLOOKUP('Données projet'!$B$12,Paramètres!$A$1:$I$89,5,0)</f>
        <v>4.1677594708744434E-14</v>
      </c>
      <c r="CA172" s="14">
        <f t="shared" si="170"/>
        <v>6.9326303456159188E-13</v>
      </c>
      <c r="CB172" s="22">
        <f t="shared" si="171"/>
        <v>1.2800215959791691E-12</v>
      </c>
      <c r="CC172" s="62">
        <f t="shared" si="119"/>
        <v>293.33333333333462</v>
      </c>
      <c r="CD172" s="62">
        <f ca="1">AVERAGE(OFFSET($CC$3,0,0,'Données projet'!$E$12+1,1))-AVERAGE(OFFSET($H$3,0,0,'Données projet'!$E$12+1,1))</f>
        <v>333.9187211440219</v>
      </c>
      <c r="CE172" s="62">
        <f t="shared" si="148"/>
        <v>321.81422611044997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19.243462392956982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19.243462392956982</v>
      </c>
      <c r="CO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5.6843418860808015E-14</v>
      </c>
      <c r="CU172" s="18">
        <f>CT172*VLOOKUP('Données projet'!$B$13,Paramètres!$A$1:$I$89,3,0)*VLOOKUP('Données projet'!$B$13,Paramètres!$A$1:$I$89,5,0)</f>
        <v>4.6111381379887463E-14</v>
      </c>
      <c r="CV172" s="14">
        <f t="shared" si="173"/>
        <v>7.5804141040779151E-13</v>
      </c>
      <c r="CW172" s="22">
        <f t="shared" si="174"/>
        <v>1.4005661123635408E-12</v>
      </c>
      <c r="CX172" s="62">
        <f t="shared" si="122"/>
        <v>293.33333333333474</v>
      </c>
      <c r="CY172" s="62">
        <f ca="1">AVERAGE(OFFSET($CX$3,0,0,'Données projet'!$E$13+1,1))-AVERAGE(OFFSET($H$3,0,0,'Données projet'!$E$13+1,1))</f>
        <v>365.492319515595</v>
      </c>
      <c r="CZ172" s="62">
        <f t="shared" si="150"/>
        <v>351.38386928091433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21.290639243271546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21.290639243271546</v>
      </c>
      <c r="DJ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8.5459999999999976</v>
      </c>
      <c r="DO172" s="13">
        <f>IF('Données projet'!$A$166&gt;35,DO171+DN172-DW171,IF(A172&lt;'Données projet'!$A$166,$DL$205^A172,IF(A172='Données projet'!$A$166,'Données projet'!$B$166,DO171+DN172-DW171)))</f>
        <v>502.92000000000036</v>
      </c>
      <c r="DP172" s="18">
        <f>DO172*VLOOKUP('Données projet'!$B$14,Paramètres!$A$1:$I$89,3,0)*VLOOKUP('Données projet'!$B$14,Paramètres!$A$1:$I$89,5,0)</f>
        <v>423.65980800000034</v>
      </c>
      <c r="DQ172" s="14">
        <f t="shared" si="176"/>
        <v>96.557168168725084</v>
      </c>
      <c r="DR172" s="22">
        <f t="shared" si="177"/>
        <v>906.04456682719672</v>
      </c>
      <c r="DS172" s="62">
        <f t="shared" si="125"/>
        <v>1199.3779001605301</v>
      </c>
      <c r="DT172" s="62">
        <f ca="1">AVERAGE(OFFSET($DS$3,0,0,'Données projet'!$E$14+1,1))-AVERAGE(OFFSET($H$3,0,0,'Données projet'!$E$14+1,1))</f>
        <v>544.89250424794909</v>
      </c>
      <c r="DU172" s="62">
        <f t="shared" si="152"/>
        <v>253.98688498110715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67.456710215131579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67.456710215131579</v>
      </c>
      <c r="EE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8.5459999999999976</v>
      </c>
      <c r="EJ172" s="13">
        <f>IF('Données projet'!$A$192&gt;35,EJ171+EI172-ER171,IF(A172&lt;'Données projet'!$A$192,$EG$205^A172,IF(A172='Données projet'!$A$192,'Données projet'!$B$192,EJ171+EI172-ER171)))</f>
        <v>502.92000000000036</v>
      </c>
      <c r="EK172" s="18">
        <f>EJ172*VLOOKUP('Données projet'!$B$15,Paramètres!$A$1:$I$89,3,0)*VLOOKUP('Données projet'!$B$15,Paramètres!$A$1:$I$89,5,0)</f>
        <v>455.04201600000027</v>
      </c>
      <c r="EL172" s="14">
        <f t="shared" si="179"/>
        <v>102.85049097288233</v>
      </c>
      <c r="EM172" s="22">
        <f t="shared" si="180"/>
        <v>971.66278297777069</v>
      </c>
      <c r="EN172" s="62">
        <f t="shared" si="128"/>
        <v>1264.9961163111041</v>
      </c>
      <c r="EO172" s="62">
        <f ca="1">AVERAGE(OFFSET($EN$3,0,0,'Données projet'!$E$15+1,1))-AVERAGE(OFFSET($H$3,0,0,'Données projet'!$E$15+1,1))</f>
        <v>581.88778927327667</v>
      </c>
      <c r="EP172" s="62">
        <f t="shared" si="154"/>
        <v>269.67340993773422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72.453503564400549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72.453503564400549</v>
      </c>
      <c r="EZ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8.5459999999999976</v>
      </c>
      <c r="FE172" s="13">
        <f>IF('Données projet'!$A$218&gt;35,FE171+FD172-FM171,IF(A172&lt;'Données projet'!$A$218,$FB$205^A172,IF(A172='Données projet'!$A$218,'Données projet'!$B$218,FE171+FD172-FM171)))</f>
        <v>502.92000000000036</v>
      </c>
      <c r="FF172" s="18">
        <f>FE172*VLOOKUP('Données projet'!$B$16,Paramètres!$A$1:$I$89,3,0)*VLOOKUP('Données projet'!$B$16,Paramètres!$A$1:$I$89,5,0)</f>
        <v>509.96088000000043</v>
      </c>
      <c r="FG172" s="14">
        <f t="shared" si="182"/>
        <v>113.74482216057152</v>
      </c>
      <c r="FH172" s="22">
        <f t="shared" si="183"/>
        <v>1086.2874312629961</v>
      </c>
      <c r="FI172" s="62">
        <f t="shared" si="131"/>
        <v>1379.6207645963293</v>
      </c>
      <c r="FJ172" s="62">
        <f ca="1">AVERAGE(OFFSET($FI$3,0,0,'Données projet'!$E$16+1,1))-AVERAGE(OFFSET($H$3,0,0,'Données projet'!$E$16+1,1))</f>
        <v>646.50767193970182</v>
      </c>
      <c r="FK172" s="62">
        <f t="shared" si="156"/>
        <v>297.06786598620607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81.197891925621363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81.197891925621363</v>
      </c>
      <c r="FU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8.5459999999999976</v>
      </c>
      <c r="FZ172" s="13">
        <f>IF('Données projet'!$A$244&gt;35,FZ171+FY172-GH171,IF(A172&lt;'Données projet'!$A$244,$FW$205^A172,IF(A172='Données projet'!$A$244,'Données projet'!$B$244,FZ171+FY172-GH171)))</f>
        <v>502.92000000000036</v>
      </c>
      <c r="GA172" s="18">
        <f>FZ172*VLOOKUP('Données projet'!$B$17,Paramètres!$A$1:$I$89,3,0)*VLOOKUP('Données projet'!$B$17,Paramètres!$A$1:$I$89,5,0)</f>
        <v>337.35873600000025</v>
      </c>
      <c r="GB172" s="14">
        <f t="shared" si="185"/>
        <v>78.953997116481773</v>
      </c>
      <c r="GC172" s="22">
        <f t="shared" si="186"/>
        <v>725.0780101778729</v>
      </c>
      <c r="GD172" s="62">
        <f t="shared" si="134"/>
        <v>1018.4113435112063</v>
      </c>
      <c r="GE172" s="62">
        <f ca="1">AVERAGE(OFFSET($GD$3,0,0,'Données projet'!$E$17+1,1))-AVERAGE(OFFSET($H$3,0,0,'Données projet'!$E$17+1,1))</f>
        <v>442.85175349826028</v>
      </c>
      <c r="GF172" s="62">
        <f t="shared" si="158"/>
        <v>210.70697808232501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66.207511877814312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66.207511877814312</v>
      </c>
      <c r="GP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-3.4106051316484809E-13</v>
      </c>
      <c r="GV172" s="18">
        <f>GU172*VLOOKUP('Données projet'!$B$18,Paramètres!$A$1:$I$89,3,0)*VLOOKUP('Données projet'!$B$18,Paramètres!$A$1:$I$89,5,0)</f>
        <v>-3.2455318432766944E-13</v>
      </c>
      <c r="GW172" s="14" t="e">
        <f t="shared" si="188"/>
        <v>#NUM!</v>
      </c>
      <c r="GX172" s="22" t="e">
        <f t="shared" si="189"/>
        <v>#NUM!</v>
      </c>
      <c r="GY172" s="62" t="e">
        <f t="shared" si="137"/>
        <v>#NUM!</v>
      </c>
      <c r="GZ172" s="62">
        <f ca="1">AVERAGE(OFFSET($GY$3,0,0,'Données projet'!$E$18+1,1))-AVERAGE(OFFSET($H$3,0,0,'Données projet'!$E$18+1,1))</f>
        <v>420.2510366318939</v>
      </c>
      <c r="HA172" s="62">
        <f t="shared" si="160"/>
        <v>220.59884411514116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67.417632851169969</v>
      </c>
      <c r="HH172" s="23">
        <f>EXP(-LN(2)/25)*HH171+(1-EXP(-LN(2)/25))/(LN(2)/25)*Calculateur!HC172*Calculateur!HE172*VLOOKUP('Données projet'!$B$18,Paramètres!$A$1:$I$89,3,0)*0.475*44/12</f>
        <v>0</v>
      </c>
      <c r="HI172" s="23">
        <f>EXP(-LN(2)/2)*HI171+(1-EXP(-LN(2)/2))/(LN(2)/2)*HC172*HF172*VLOOKUP('Données projet'!$B$18,Paramètres!$A$1:$I$89,3,0)*0.475*44/12</f>
        <v>0</v>
      </c>
      <c r="HJ172" s="24">
        <f t="shared" si="190"/>
        <v>67.417632851169969</v>
      </c>
    </row>
    <row r="173" spans="1:218" x14ac:dyDescent="0.2">
      <c r="A173" s="11">
        <f t="shared" si="161"/>
        <v>170</v>
      </c>
      <c r="B173" s="74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-4.5474735088646412E-13</v>
      </c>
      <c r="O173" s="14">
        <f>N173*VLOOKUP('Données projet'!$B$9,Paramètres!$A$1:$I$89,3,0)*VLOOKUP('Données projet'!$B$9,Paramètres!$A$1:$I$89,5,0)</f>
        <v>-3.9017322706058626E-13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623.31285537237943</v>
      </c>
      <c r="T173" s="62">
        <f t="shared" si="142"/>
        <v>462.33909258902241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70.336507067023689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70.336507067023689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4.9658410716801891E-14</v>
      </c>
      <c r="AK173" s="14">
        <f t="shared" si="164"/>
        <v>8.0934058173791862E-13</v>
      </c>
      <c r="AL173" s="22">
        <f t="shared" si="165"/>
        <v>1.4960899118586383E-12</v>
      </c>
      <c r="AM173" s="62">
        <f t="shared" si="113"/>
        <v>293.33333333333479</v>
      </c>
      <c r="AN173" s="62">
        <f ca="1">AVERAGE(OFFSET($AM$3,0,0,'Données projet'!$E$10+1,1))-AVERAGE(OFFSET($H$3,0,0,'Données projet'!$E$10+1,1))</f>
        <v>390.70479111593545</v>
      </c>
      <c r="AO173" s="62">
        <f t="shared" si="144"/>
        <v>374.99493809709708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27.706389897923557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27.706389897923557</v>
      </c>
      <c r="AY173" s="7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5.6843418860808015E-14</v>
      </c>
      <c r="BE173" s="14">
        <f>BD173*VLOOKUP('Données projet'!$B$11,Paramètres!$A$1:$I$89,3,0)*VLOOKUP('Données projet'!$B$11,Paramètres!$A$1:$I$89,5,0)</f>
        <v>4.5224624045658861E-14</v>
      </c>
      <c r="BF173" s="14">
        <f t="shared" si="167"/>
        <v>7.4514601661523691E-13</v>
      </c>
      <c r="BG173" s="22">
        <f t="shared" si="168"/>
        <v>1.3765621991510601E-12</v>
      </c>
      <c r="BH173" s="62">
        <f t="shared" si="116"/>
        <v>293.33333333333468</v>
      </c>
      <c r="BI173" s="62">
        <f ca="1">AVERAGE(OFFSET($BH$3,0,0,'Données projet'!$E$11+1,1))-AVERAGE(OFFSET($H$3,0,0,'Données projet'!$E$11+1,1))</f>
        <v>359.18294335011535</v>
      </c>
      <c r="BJ173" s="62">
        <f t="shared" si="146"/>
        <v>345.47508134331241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25.232605085608942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25.232605085608942</v>
      </c>
      <c r="BT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5.6843418860808015E-14</v>
      </c>
      <c r="BZ173" s="14">
        <f>BY173*VLOOKUP('Données projet'!$B$12,Paramètres!$A$1:$I$89,3,0)*VLOOKUP('Données projet'!$B$12,Paramètres!$A$1:$I$89,5,0)</f>
        <v>4.1677594708744434E-14</v>
      </c>
      <c r="CA173" s="14">
        <f t="shared" si="170"/>
        <v>6.9326303456159188E-13</v>
      </c>
      <c r="CB173" s="22">
        <f t="shared" si="171"/>
        <v>1.2800215959791691E-12</v>
      </c>
      <c r="CC173" s="62">
        <f t="shared" si="119"/>
        <v>293.33333333333462</v>
      </c>
      <c r="CD173" s="62">
        <f ca="1">AVERAGE(OFFSET($CC$3,0,0,'Données projet'!$E$12+1,1))-AVERAGE(OFFSET($H$3,0,0,'Données projet'!$E$12+1,1))</f>
        <v>333.9187211440219</v>
      </c>
      <c r="CE173" s="62">
        <f t="shared" si="148"/>
        <v>321.81422611044997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18.866109832784186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18.866109832784186</v>
      </c>
      <c r="CO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5.6843418860808015E-14</v>
      </c>
      <c r="CU173" s="18">
        <f>CT173*VLOOKUP('Données projet'!$B$13,Paramètres!$A$1:$I$89,3,0)*VLOOKUP('Données projet'!$B$13,Paramètres!$A$1:$I$89,5,0)</f>
        <v>4.6111381379887463E-14</v>
      </c>
      <c r="CV173" s="14">
        <f t="shared" si="173"/>
        <v>7.5804141040779151E-13</v>
      </c>
      <c r="CW173" s="22">
        <f t="shared" si="174"/>
        <v>1.4005661123635408E-12</v>
      </c>
      <c r="CX173" s="62">
        <f t="shared" si="122"/>
        <v>293.33333333333474</v>
      </c>
      <c r="CY173" s="62">
        <f ca="1">AVERAGE(OFFSET($CX$3,0,0,'Données projet'!$E$13+1,1))-AVERAGE(OFFSET($H$3,0,0,'Données projet'!$E$13+1,1))</f>
        <v>365.492319515595</v>
      </c>
      <c r="CZ173" s="62">
        <f t="shared" si="150"/>
        <v>351.38386928091433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20.873142793718667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20.873142793718667</v>
      </c>
      <c r="DJ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8.5459999999999976</v>
      </c>
      <c r="DO173" s="13">
        <f>IF('Données projet'!$A$166&gt;35,DO172+DN173-DW172,IF(A173&lt;'Données projet'!$A$166,$DL$205^A173,IF(A173='Données projet'!$A$166,'Données projet'!$B$166,DO172+DN173-DW172)))</f>
        <v>511.46600000000035</v>
      </c>
      <c r="DP173" s="18">
        <f>DO173*VLOOKUP('Données projet'!$B$14,Paramètres!$A$1:$I$89,3,0)*VLOOKUP('Données projet'!$B$14,Paramètres!$A$1:$I$89,5,0)</f>
        <v>430.8589584000004</v>
      </c>
      <c r="DQ173" s="14">
        <f t="shared" si="176"/>
        <v>98.005530372603786</v>
      </c>
      <c r="DR173" s="22">
        <f t="shared" si="177"/>
        <v>921.10565127895234</v>
      </c>
      <c r="DS173" s="62">
        <f t="shared" si="125"/>
        <v>1214.4389846122856</v>
      </c>
      <c r="DT173" s="62">
        <f ca="1">AVERAGE(OFFSET($DS$3,0,0,'Données projet'!$E$14+1,1))-AVERAGE(OFFSET($H$3,0,0,'Données projet'!$E$14+1,1))</f>
        <v>544.89250424794909</v>
      </c>
      <c r="DU173" s="62">
        <f t="shared" si="152"/>
        <v>253.98688498110715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66.13392527234339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66.13392527234339</v>
      </c>
      <c r="EE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8.5459999999999976</v>
      </c>
      <c r="EJ173" s="13">
        <f>IF('Données projet'!$A$192&gt;35,EJ172+EI173-ER172,IF(A173&lt;'Données projet'!$A$192,$EG$205^A173,IF(A173='Données projet'!$A$192,'Données projet'!$B$192,EJ172+EI173-ER172)))</f>
        <v>511.46600000000035</v>
      </c>
      <c r="EK173" s="18">
        <f>EJ173*VLOOKUP('Données projet'!$B$15,Paramètres!$A$1:$I$89,3,0)*VLOOKUP('Données projet'!$B$15,Paramètres!$A$1:$I$89,5,0)</f>
        <v>462.77443680000027</v>
      </c>
      <c r="EL173" s="14">
        <f t="shared" si="179"/>
        <v>104.39325332394039</v>
      </c>
      <c r="EM173" s="22">
        <f t="shared" si="180"/>
        <v>987.81706029919678</v>
      </c>
      <c r="EN173" s="62">
        <f t="shared" si="128"/>
        <v>1281.15039363253</v>
      </c>
      <c r="EO173" s="62">
        <f ca="1">AVERAGE(OFFSET($EN$3,0,0,'Données projet'!$E$15+1,1))-AVERAGE(OFFSET($H$3,0,0,'Données projet'!$E$15+1,1))</f>
        <v>581.88778927327667</v>
      </c>
      <c r="EP173" s="62">
        <f t="shared" si="154"/>
        <v>269.67340993773422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71.032734551776201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71.032734551776201</v>
      </c>
      <c r="EZ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8.5459999999999976</v>
      </c>
      <c r="FE173" s="13">
        <f>IF('Données projet'!$A$218&gt;35,FE172+FD173-FM172,IF(A173&lt;'Données projet'!$A$218,$FB$205^A173,IF(A173='Données projet'!$A$218,'Données projet'!$B$218,FE172+FD173-FM172)))</f>
        <v>511.46600000000035</v>
      </c>
      <c r="FF173" s="18">
        <f>FE173*VLOOKUP('Données projet'!$B$16,Paramètres!$A$1:$I$89,3,0)*VLOOKUP('Données projet'!$B$16,Paramètres!$A$1:$I$89,5,0)</f>
        <v>518.62652400000036</v>
      </c>
      <c r="FG173" s="14">
        <f t="shared" si="182"/>
        <v>115.45100000763091</v>
      </c>
      <c r="FH173" s="22">
        <f t="shared" si="183"/>
        <v>1104.3516876466244</v>
      </c>
      <c r="FI173" s="62">
        <f t="shared" si="131"/>
        <v>1397.6850209799577</v>
      </c>
      <c r="FJ173" s="62">
        <f ca="1">AVERAGE(OFFSET($FI$3,0,0,'Données projet'!$E$16+1,1))-AVERAGE(OFFSET($H$3,0,0,'Données projet'!$E$16+1,1))</f>
        <v>646.50767193970182</v>
      </c>
      <c r="FK173" s="62">
        <f t="shared" si="156"/>
        <v>297.06786598620607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79.605650790783727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79.605650790783727</v>
      </c>
      <c r="FU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8.5459999999999976</v>
      </c>
      <c r="FZ173" s="13">
        <f>IF('Données projet'!$A$244&gt;35,FZ172+FY173-GH172,IF(A173&lt;'Données projet'!$A$244,$FW$205^A173,IF(A173='Données projet'!$A$244,'Données projet'!$B$244,FZ172+FY173-GH172)))</f>
        <v>511.46600000000035</v>
      </c>
      <c r="GA173" s="18">
        <f>FZ173*VLOOKUP('Données projet'!$B$17,Paramètres!$A$1:$I$89,3,0)*VLOOKUP('Données projet'!$B$17,Paramètres!$A$1:$I$89,5,0)</f>
        <v>343.09139280000028</v>
      </c>
      <c r="GB173" s="14">
        <f t="shared" si="185"/>
        <v>80.138310901128222</v>
      </c>
      <c r="GC173" s="22">
        <f t="shared" si="186"/>
        <v>737.1250672794655</v>
      </c>
      <c r="GD173" s="62">
        <f t="shared" si="134"/>
        <v>1030.4584006127989</v>
      </c>
      <c r="GE173" s="62">
        <f ca="1">AVERAGE(OFFSET($GD$3,0,0,'Données projet'!$E$17+1,1))-AVERAGE(OFFSET($H$3,0,0,'Données projet'!$E$17+1,1))</f>
        <v>442.85175349826028</v>
      </c>
      <c r="GF173" s="62">
        <f t="shared" si="158"/>
        <v>210.70697808232501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64.909222952485166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64.909222952485166</v>
      </c>
      <c r="GP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-3.4106051316484809E-13</v>
      </c>
      <c r="GV173" s="18">
        <f>GU173*VLOOKUP('Données projet'!$B$18,Paramètres!$A$1:$I$89,3,0)*VLOOKUP('Données projet'!$B$18,Paramètres!$A$1:$I$89,5,0)</f>
        <v>-3.2455318432766944E-13</v>
      </c>
      <c r="GW173" s="14" t="e">
        <f t="shared" si="188"/>
        <v>#NUM!</v>
      </c>
      <c r="GX173" s="22" t="e">
        <f t="shared" si="189"/>
        <v>#NUM!</v>
      </c>
      <c r="GY173" s="62" t="e">
        <f t="shared" si="137"/>
        <v>#NUM!</v>
      </c>
      <c r="GZ173" s="62">
        <f ca="1">AVERAGE(OFFSET($GY$3,0,0,'Données projet'!$E$18+1,1))-AVERAGE(OFFSET($H$3,0,0,'Données projet'!$E$18+1,1))</f>
        <v>420.2510366318939</v>
      </c>
      <c r="HA173" s="62">
        <f t="shared" si="160"/>
        <v>220.59884411514116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66.095614191654235</v>
      </c>
      <c r="HH173" s="23">
        <f>EXP(-LN(2)/25)*HH172+(1-EXP(-LN(2)/25))/(LN(2)/25)*Calculateur!HC173*Calculateur!HE173*VLOOKUP('Données projet'!$B$18,Paramètres!$A$1:$I$89,3,0)*0.475*44/12</f>
        <v>0</v>
      </c>
      <c r="HI173" s="23">
        <f>EXP(-LN(2)/2)*HI172+(1-EXP(-LN(2)/2))/(LN(2)/2)*HC173*HF173*VLOOKUP('Données projet'!$B$18,Paramètres!$A$1:$I$89,3,0)*0.475*44/12</f>
        <v>0</v>
      </c>
      <c r="HJ173" s="24">
        <f t="shared" si="190"/>
        <v>66.095614191654235</v>
      </c>
    </row>
    <row r="174" spans="1:218" x14ac:dyDescent="0.2">
      <c r="A174" s="11">
        <f t="shared" si="161"/>
        <v>171</v>
      </c>
      <c r="B174" s="74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-4.5474735088646412E-13</v>
      </c>
      <c r="O174" s="14">
        <f>N174*VLOOKUP('Données projet'!$B$9,Paramètres!$A$1:$I$89,3,0)*VLOOKUP('Données projet'!$B$9,Paramètres!$A$1:$I$89,5,0)</f>
        <v>-3.9017322706058626E-13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623.31285537237943</v>
      </c>
      <c r="T174" s="62">
        <f t="shared" si="142"/>
        <v>462.33909258902241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68.957251064472544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68.957251064472544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4.9658410716801891E-14</v>
      </c>
      <c r="AK174" s="14">
        <f t="shared" si="164"/>
        <v>8.0934058173791862E-13</v>
      </c>
      <c r="AL174" s="22">
        <f t="shared" si="165"/>
        <v>1.4960899118586383E-12</v>
      </c>
      <c r="AM174" s="62">
        <f t="shared" si="113"/>
        <v>293.33333333333479</v>
      </c>
      <c r="AN174" s="62">
        <f ca="1">AVERAGE(OFFSET($AM$3,0,0,'Données projet'!$E$10+1,1))-AVERAGE(OFFSET($H$3,0,0,'Données projet'!$E$10+1,1))</f>
        <v>390.70479111593545</v>
      </c>
      <c r="AO174" s="62">
        <f t="shared" si="144"/>
        <v>374.99493809709708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27.163084491254455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27.163084491254455</v>
      </c>
      <c r="AY174" s="7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5.6843418860808015E-14</v>
      </c>
      <c r="BE174" s="14">
        <f>BD174*VLOOKUP('Données projet'!$B$11,Paramètres!$A$1:$I$89,3,0)*VLOOKUP('Données projet'!$B$11,Paramètres!$A$1:$I$89,5,0)</f>
        <v>4.5224624045658861E-14</v>
      </c>
      <c r="BF174" s="14">
        <f t="shared" si="167"/>
        <v>7.4514601661523691E-13</v>
      </c>
      <c r="BG174" s="22">
        <f t="shared" si="168"/>
        <v>1.3765621991510601E-12</v>
      </c>
      <c r="BH174" s="62">
        <f t="shared" si="116"/>
        <v>293.33333333333468</v>
      </c>
      <c r="BI174" s="62">
        <f ca="1">AVERAGE(OFFSET($BH$3,0,0,'Données projet'!$E$11+1,1))-AVERAGE(OFFSET($H$3,0,0,'Données projet'!$E$11+1,1))</f>
        <v>359.18294335011535</v>
      </c>
      <c r="BJ174" s="62">
        <f t="shared" si="146"/>
        <v>345.47508134331241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24.737809090249581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24.737809090249581</v>
      </c>
      <c r="BT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5.6843418860808015E-14</v>
      </c>
      <c r="BZ174" s="14">
        <f>BY174*VLOOKUP('Données projet'!$B$12,Paramètres!$A$1:$I$89,3,0)*VLOOKUP('Données projet'!$B$12,Paramètres!$A$1:$I$89,5,0)</f>
        <v>4.1677594708744434E-14</v>
      </c>
      <c r="CA174" s="14">
        <f t="shared" si="170"/>
        <v>6.9326303456159188E-13</v>
      </c>
      <c r="CB174" s="22">
        <f t="shared" si="171"/>
        <v>1.2800215959791691E-12</v>
      </c>
      <c r="CC174" s="62">
        <f t="shared" si="119"/>
        <v>293.33333333333462</v>
      </c>
      <c r="CD174" s="62">
        <f ca="1">AVERAGE(OFFSET($CC$3,0,0,'Données projet'!$E$12+1,1))-AVERAGE(OFFSET($H$3,0,0,'Données projet'!$E$12+1,1))</f>
        <v>333.9187211440219</v>
      </c>
      <c r="CE174" s="62">
        <f t="shared" si="148"/>
        <v>321.81422611044997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18.496156926154047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18.496156926154047</v>
      </c>
      <c r="CO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5.6843418860808015E-14</v>
      </c>
      <c r="CU174" s="18">
        <f>CT174*VLOOKUP('Données projet'!$B$13,Paramètres!$A$1:$I$89,3,0)*VLOOKUP('Données projet'!$B$13,Paramètres!$A$1:$I$89,5,0)</f>
        <v>4.6111381379887463E-14</v>
      </c>
      <c r="CV174" s="14">
        <f t="shared" si="173"/>
        <v>7.5804141040779151E-13</v>
      </c>
      <c r="CW174" s="22">
        <f t="shared" si="174"/>
        <v>1.4005661123635408E-12</v>
      </c>
      <c r="CX174" s="62">
        <f t="shared" si="122"/>
        <v>293.33333333333474</v>
      </c>
      <c r="CY174" s="62">
        <f ca="1">AVERAGE(OFFSET($CX$3,0,0,'Données projet'!$E$13+1,1))-AVERAGE(OFFSET($H$3,0,0,'Données projet'!$E$13+1,1))</f>
        <v>365.492319515595</v>
      </c>
      <c r="CZ174" s="62">
        <f t="shared" si="150"/>
        <v>351.38386928091433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20.46383319489383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20.46383319489383</v>
      </c>
      <c r="DJ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8.5459999999999976</v>
      </c>
      <c r="DO174" s="13">
        <f>IF('Données projet'!$A$166&gt;35,DO173+DN174-DW173,IF(A174&lt;'Données projet'!$A$166,$DL$205^A174,IF(A174='Données projet'!$A$166,'Données projet'!$B$166,DO173+DN174-DW173)))</f>
        <v>520.0120000000004</v>
      </c>
      <c r="DP174" s="18">
        <f>DO174*VLOOKUP('Données projet'!$B$14,Paramètres!$A$1:$I$89,3,0)*VLOOKUP('Données projet'!$B$14,Paramètres!$A$1:$I$89,5,0)</f>
        <v>438.05810880000041</v>
      </c>
      <c r="DQ174" s="14">
        <f t="shared" si="176"/>
        <v>99.451078244116829</v>
      </c>
      <c r="DR174" s="22">
        <f t="shared" si="177"/>
        <v>936.16183410183737</v>
      </c>
      <c r="DS174" s="62">
        <f t="shared" si="125"/>
        <v>1229.4951674351707</v>
      </c>
      <c r="DT174" s="62">
        <f ca="1">AVERAGE(OFFSET($DS$3,0,0,'Données projet'!$E$14+1,1))-AVERAGE(OFFSET($H$3,0,0,'Données projet'!$E$14+1,1))</f>
        <v>544.89250424794909</v>
      </c>
      <c r="DU174" s="62">
        <f t="shared" si="152"/>
        <v>253.98688498110715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64.837079335464139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64.837079335464139</v>
      </c>
      <c r="EE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8.5459999999999976</v>
      </c>
      <c r="EJ174" s="13">
        <f>IF('Données projet'!$A$192&gt;35,EJ173+EI174-ER173,IF(A174&lt;'Données projet'!$A$192,$EG$205^A174,IF(A174='Données projet'!$A$192,'Données projet'!$B$192,EJ173+EI174-ER173)))</f>
        <v>520.0120000000004</v>
      </c>
      <c r="EK174" s="18">
        <f>EJ174*VLOOKUP('Données projet'!$B$15,Paramètres!$A$1:$I$89,3,0)*VLOOKUP('Données projet'!$B$15,Paramètres!$A$1:$I$89,5,0)</f>
        <v>470.50685760000033</v>
      </c>
      <c r="EL174" s="14">
        <f t="shared" si="179"/>
        <v>105.93301791241842</v>
      </c>
      <c r="EM174" s="22">
        <f t="shared" si="180"/>
        <v>1003.9661165174626</v>
      </c>
      <c r="EN174" s="62">
        <f t="shared" si="128"/>
        <v>1297.299449850796</v>
      </c>
      <c r="EO174" s="62">
        <f ca="1">AVERAGE(OFFSET($EN$3,0,0,'Données projet'!$E$15+1,1))-AVERAGE(OFFSET($H$3,0,0,'Données projet'!$E$15+1,1))</f>
        <v>581.88778927327667</v>
      </c>
      <c r="EP174" s="62">
        <f t="shared" si="154"/>
        <v>269.67340993773422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69.639825952905895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69.639825952905895</v>
      </c>
      <c r="EZ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8.5459999999999976</v>
      </c>
      <c r="FE174" s="13">
        <f>IF('Données projet'!$A$218&gt;35,FE173+FD174-FM173,IF(A174&lt;'Données projet'!$A$218,$FB$205^A174,IF(A174='Données projet'!$A$218,'Données projet'!$B$218,FE173+FD174-FM173)))</f>
        <v>520.0120000000004</v>
      </c>
      <c r="FF174" s="18">
        <f>FE174*VLOOKUP('Données projet'!$B$16,Paramètres!$A$1:$I$89,3,0)*VLOOKUP('Données projet'!$B$16,Paramètres!$A$1:$I$89,5,0)</f>
        <v>527.2921680000004</v>
      </c>
      <c r="FG174" s="14">
        <f t="shared" si="182"/>
        <v>117.15386255722979</v>
      </c>
      <c r="FH174" s="22">
        <f t="shared" si="183"/>
        <v>1122.4101698871759</v>
      </c>
      <c r="FI174" s="62">
        <f t="shared" si="131"/>
        <v>1415.7435032205092</v>
      </c>
      <c r="FJ174" s="62">
        <f ca="1">AVERAGE(OFFSET($FI$3,0,0,'Données projet'!$E$16+1,1))-AVERAGE(OFFSET($H$3,0,0,'Données projet'!$E$16+1,1))</f>
        <v>646.50767193970182</v>
      </c>
      <c r="FK174" s="62">
        <f t="shared" si="156"/>
        <v>297.06786598620607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78.044632533429066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78.044632533429066</v>
      </c>
      <c r="FU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8.5459999999999976</v>
      </c>
      <c r="FZ174" s="13">
        <f>IF('Données projet'!$A$244&gt;35,FZ173+FY174-GH173,IF(A174&lt;'Données projet'!$A$244,$FW$205^A174,IF(A174='Données projet'!$A$244,'Données projet'!$B$244,FZ173+FY174-GH173)))</f>
        <v>520.0120000000004</v>
      </c>
      <c r="GA174" s="18">
        <f>FZ174*VLOOKUP('Données projet'!$B$17,Paramètres!$A$1:$I$89,3,0)*VLOOKUP('Données projet'!$B$17,Paramètres!$A$1:$I$89,5,0)</f>
        <v>348.82404960000025</v>
      </c>
      <c r="GB174" s="14">
        <f t="shared" si="185"/>
        <v>81.320323429496455</v>
      </c>
      <c r="GC174" s="22">
        <f t="shared" si="186"/>
        <v>749.1681163597068</v>
      </c>
      <c r="GD174" s="62">
        <f t="shared" si="134"/>
        <v>1042.5014496930401</v>
      </c>
      <c r="GE174" s="62">
        <f ca="1">AVERAGE(OFFSET($GD$3,0,0,'Données projet'!$E$17+1,1))-AVERAGE(OFFSET($H$3,0,0,'Données projet'!$E$17+1,1))</f>
        <v>442.85175349826028</v>
      </c>
      <c r="GF174" s="62">
        <f t="shared" si="158"/>
        <v>210.70697808232501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63.636392681103672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63.636392681103672</v>
      </c>
      <c r="GP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-3.4106051316484809E-13</v>
      </c>
      <c r="GV174" s="18">
        <f>GU174*VLOOKUP('Données projet'!$B$18,Paramètres!$A$1:$I$89,3,0)*VLOOKUP('Données projet'!$B$18,Paramètres!$A$1:$I$89,5,0)</f>
        <v>-3.2455318432766944E-13</v>
      </c>
      <c r="GW174" s="14" t="e">
        <f t="shared" si="188"/>
        <v>#NUM!</v>
      </c>
      <c r="GX174" s="22" t="e">
        <f t="shared" si="189"/>
        <v>#NUM!</v>
      </c>
      <c r="GY174" s="62" t="e">
        <f t="shared" si="137"/>
        <v>#NUM!</v>
      </c>
      <c r="GZ174" s="62">
        <f ca="1">AVERAGE(OFFSET($GY$3,0,0,'Données projet'!$E$18+1,1))-AVERAGE(OFFSET($H$3,0,0,'Données projet'!$E$18+1,1))</f>
        <v>420.2510366318939</v>
      </c>
      <c r="HA174" s="62">
        <f t="shared" si="160"/>
        <v>220.59884411514116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64.799519511699842</v>
      </c>
      <c r="HH174" s="23">
        <f>EXP(-LN(2)/25)*HH173+(1-EXP(-LN(2)/25))/(LN(2)/25)*Calculateur!HC174*Calculateur!HE174*VLOOKUP('Données projet'!$B$18,Paramètres!$A$1:$I$89,3,0)*0.475*44/12</f>
        <v>0</v>
      </c>
      <c r="HI174" s="23">
        <f>EXP(-LN(2)/2)*HI173+(1-EXP(-LN(2)/2))/(LN(2)/2)*HC174*HF174*VLOOKUP('Données projet'!$B$18,Paramètres!$A$1:$I$89,3,0)*0.475*44/12</f>
        <v>0</v>
      </c>
      <c r="HJ174" s="24">
        <f t="shared" si="190"/>
        <v>64.799519511699842</v>
      </c>
    </row>
    <row r="175" spans="1:218" x14ac:dyDescent="0.2">
      <c r="A175" s="11">
        <f t="shared" si="161"/>
        <v>172</v>
      </c>
      <c r="B175" s="74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-4.5474735088646412E-13</v>
      </c>
      <c r="O175" s="14">
        <f>N175*VLOOKUP('Données projet'!$B$9,Paramètres!$A$1:$I$89,3,0)*VLOOKUP('Données projet'!$B$9,Paramètres!$A$1:$I$89,5,0)</f>
        <v>-3.9017322706058626E-13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623.31285537237943</v>
      </c>
      <c r="T175" s="62">
        <f t="shared" si="142"/>
        <v>462.33909258902241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67.605041430868326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67.605041430868326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4.9658410716801891E-14</v>
      </c>
      <c r="AK175" s="14">
        <f t="shared" si="164"/>
        <v>8.0934058173791862E-13</v>
      </c>
      <c r="AL175" s="22">
        <f t="shared" si="165"/>
        <v>1.4960899118586383E-12</v>
      </c>
      <c r="AM175" s="62">
        <f t="shared" si="113"/>
        <v>293.33333333333479</v>
      </c>
      <c r="AN175" s="62">
        <f ca="1">AVERAGE(OFFSET($AM$3,0,0,'Données projet'!$E$10+1,1))-AVERAGE(OFFSET($H$3,0,0,'Données projet'!$E$10+1,1))</f>
        <v>390.70479111593545</v>
      </c>
      <c r="AO175" s="62">
        <f t="shared" si="144"/>
        <v>374.99493809709708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26.630432972226558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26.630432972226558</v>
      </c>
      <c r="AY175" s="7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5.6843418860808015E-14</v>
      </c>
      <c r="BE175" s="14">
        <f>BD175*VLOOKUP('Données projet'!$B$11,Paramètres!$A$1:$I$89,3,0)*VLOOKUP('Données projet'!$B$11,Paramètres!$A$1:$I$89,5,0)</f>
        <v>4.5224624045658861E-14</v>
      </c>
      <c r="BF175" s="14">
        <f t="shared" si="167"/>
        <v>7.4514601661523691E-13</v>
      </c>
      <c r="BG175" s="22">
        <f t="shared" si="168"/>
        <v>1.3765621991510601E-12</v>
      </c>
      <c r="BH175" s="62">
        <f t="shared" si="116"/>
        <v>293.33333333333468</v>
      </c>
      <c r="BI175" s="62">
        <f ca="1">AVERAGE(OFFSET($BH$3,0,0,'Données projet'!$E$11+1,1))-AVERAGE(OFFSET($H$3,0,0,'Données projet'!$E$11+1,1))</f>
        <v>359.18294335011535</v>
      </c>
      <c r="BJ175" s="62">
        <f t="shared" si="146"/>
        <v>345.47508134331241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24.25271574256346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24.25271574256346</v>
      </c>
      <c r="BT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5.6843418860808015E-14</v>
      </c>
      <c r="BZ175" s="14">
        <f>BY175*VLOOKUP('Données projet'!$B$12,Paramètres!$A$1:$I$89,3,0)*VLOOKUP('Données projet'!$B$12,Paramètres!$A$1:$I$89,5,0)</f>
        <v>4.1677594708744434E-14</v>
      </c>
      <c r="CA175" s="14">
        <f t="shared" si="170"/>
        <v>6.9326303456159188E-13</v>
      </c>
      <c r="CB175" s="22">
        <f t="shared" si="171"/>
        <v>1.2800215959791691E-12</v>
      </c>
      <c r="CC175" s="62">
        <f t="shared" si="119"/>
        <v>293.33333333333462</v>
      </c>
      <c r="CD175" s="62">
        <f ca="1">AVERAGE(OFFSET($CC$3,0,0,'Données projet'!$E$12+1,1))-AVERAGE(OFFSET($H$3,0,0,'Données projet'!$E$12+1,1))</f>
        <v>333.9187211440219</v>
      </c>
      <c r="CE175" s="62">
        <f t="shared" si="148"/>
        <v>321.81422611044997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18.133458570373932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18.133458570373932</v>
      </c>
      <c r="CO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5.6843418860808015E-14</v>
      </c>
      <c r="CU175" s="18">
        <f>CT175*VLOOKUP('Données projet'!$B$13,Paramètres!$A$1:$I$89,3,0)*VLOOKUP('Données projet'!$B$13,Paramètres!$A$1:$I$89,5,0)</f>
        <v>4.6111381379887463E-14</v>
      </c>
      <c r="CV175" s="14">
        <f t="shared" si="173"/>
        <v>7.5804141040779151E-13</v>
      </c>
      <c r="CW175" s="22">
        <f t="shared" si="174"/>
        <v>1.4005661123635408E-12</v>
      </c>
      <c r="CX175" s="62">
        <f t="shared" si="122"/>
        <v>293.33333333333474</v>
      </c>
      <c r="CY175" s="62">
        <f ca="1">AVERAGE(OFFSET($CX$3,0,0,'Données projet'!$E$13+1,1))-AVERAGE(OFFSET($H$3,0,0,'Données projet'!$E$13+1,1))</f>
        <v>365.492319515595</v>
      </c>
      <c r="CZ175" s="62">
        <f t="shared" si="150"/>
        <v>351.38386928091433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20.062549907647746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20.062549907647746</v>
      </c>
      <c r="DJ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8.5459999999999976</v>
      </c>
      <c r="DO175" s="13">
        <f>IF('Données projet'!$A$166&gt;35,DO174+DN175-DW174,IF(A175&lt;'Données projet'!$A$166,$DL$205^A175,IF(A175='Données projet'!$A$166,'Données projet'!$B$166,DO174+DN175-DW174)))</f>
        <v>528.55800000000045</v>
      </c>
      <c r="DP175" s="18">
        <f>DO175*VLOOKUP('Données projet'!$B$14,Paramètres!$A$1:$I$89,3,0)*VLOOKUP('Données projet'!$B$14,Paramètres!$A$1:$I$89,5,0)</f>
        <v>445.25725920000042</v>
      </c>
      <c r="DQ175" s="14">
        <f t="shared" si="176"/>
        <v>100.89386337365342</v>
      </c>
      <c r="DR175" s="22">
        <f t="shared" si="177"/>
        <v>951.21320514911383</v>
      </c>
      <c r="DS175" s="62">
        <f t="shared" si="125"/>
        <v>1244.5465384824472</v>
      </c>
      <c r="DT175" s="62">
        <f ca="1">AVERAGE(OFFSET($DS$3,0,0,'Données projet'!$E$14+1,1))-AVERAGE(OFFSET($H$3,0,0,'Données projet'!$E$14+1,1))</f>
        <v>544.89250424794909</v>
      </c>
      <c r="DU175" s="62">
        <f t="shared" si="152"/>
        <v>253.98688498110715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63.565663756409165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63.565663756409165</v>
      </c>
      <c r="EE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8.5459999999999976</v>
      </c>
      <c r="EJ175" s="13">
        <f>IF('Données projet'!$A$192&gt;35,EJ174+EI175-ER174,IF(A175&lt;'Données projet'!$A$192,$EG$205^A175,IF(A175='Données projet'!$A$192,'Données projet'!$B$192,EJ174+EI175-ER174)))</f>
        <v>528.55800000000045</v>
      </c>
      <c r="EK175" s="18">
        <f>EJ175*VLOOKUP('Données projet'!$B$15,Paramètres!$A$1:$I$89,3,0)*VLOOKUP('Données projet'!$B$15,Paramètres!$A$1:$I$89,5,0)</f>
        <v>478.23927840000039</v>
      </c>
      <c r="EL175" s="14">
        <f t="shared" si="179"/>
        <v>107.46983969122122</v>
      </c>
      <c r="EM175" s="22">
        <f t="shared" si="180"/>
        <v>1020.110047342211</v>
      </c>
      <c r="EN175" s="62">
        <f t="shared" si="128"/>
        <v>1313.4433806755444</v>
      </c>
      <c r="EO175" s="62">
        <f ca="1">AVERAGE(OFFSET($EN$3,0,0,'Données projet'!$E$15+1,1))-AVERAGE(OFFSET($H$3,0,0,'Données projet'!$E$15+1,1))</f>
        <v>581.88778927327667</v>
      </c>
      <c r="EP175" s="62">
        <f t="shared" si="154"/>
        <v>269.67340993773422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68.27423144206908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68.27423144206908</v>
      </c>
      <c r="EZ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8.5459999999999976</v>
      </c>
      <c r="FE175" s="13">
        <f>IF('Données projet'!$A$218&gt;35,FE174+FD175-FM174,IF(A175&lt;'Données projet'!$A$218,$FB$205^A175,IF(A175='Données projet'!$A$218,'Données projet'!$B$218,FE174+FD175-FM174)))</f>
        <v>528.55800000000045</v>
      </c>
      <c r="FF175" s="18">
        <f>FE175*VLOOKUP('Données projet'!$B$16,Paramètres!$A$1:$I$89,3,0)*VLOOKUP('Données projet'!$B$16,Paramètres!$A$1:$I$89,5,0)</f>
        <v>535.95781200000044</v>
      </c>
      <c r="FG175" s="14">
        <f t="shared" si="182"/>
        <v>118.85347058310219</v>
      </c>
      <c r="FH175" s="22">
        <f t="shared" si="183"/>
        <v>1140.4629838322371</v>
      </c>
      <c r="FI175" s="62">
        <f t="shared" si="131"/>
        <v>1433.7963171655704</v>
      </c>
      <c r="FJ175" s="62">
        <f ca="1">AVERAGE(OFFSET($FI$3,0,0,'Données projet'!$E$16+1,1))-AVERAGE(OFFSET($H$3,0,0,'Données projet'!$E$16+1,1))</f>
        <v>646.50767193970182</v>
      </c>
      <c r="FK175" s="62">
        <f t="shared" si="156"/>
        <v>297.06786598620607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76.51422489197401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76.51422489197401</v>
      </c>
      <c r="FU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8.5459999999999976</v>
      </c>
      <c r="FZ175" s="13">
        <f>IF('Données projet'!$A$244&gt;35,FZ174+FY175-GH174,IF(A175&lt;'Données projet'!$A$244,$FW$205^A175,IF(A175='Données projet'!$A$244,'Données projet'!$B$244,FZ174+FY175-GH174)))</f>
        <v>528.55800000000045</v>
      </c>
      <c r="GA175" s="18">
        <f>FZ175*VLOOKUP('Données projet'!$B$17,Paramètres!$A$1:$I$89,3,0)*VLOOKUP('Données projet'!$B$17,Paramètres!$A$1:$I$89,5,0)</f>
        <v>354.55670640000028</v>
      </c>
      <c r="GB175" s="14">
        <f t="shared" si="185"/>
        <v>82.500076886620221</v>
      </c>
      <c r="GC175" s="22">
        <f t="shared" si="186"/>
        <v>761.20723089086403</v>
      </c>
      <c r="GD175" s="62">
        <f t="shared" si="134"/>
        <v>1054.5405642241974</v>
      </c>
      <c r="GE175" s="62">
        <f ca="1">AVERAGE(OFFSET($GD$3,0,0,'Données projet'!$E$17+1,1))-AVERAGE(OFFSET($H$3,0,0,'Données projet'!$E$17+1,1))</f>
        <v>442.85175349826028</v>
      </c>
      <c r="GF175" s="62">
        <f t="shared" si="158"/>
        <v>210.70697808232501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62.388521834994165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62.388521834994165</v>
      </c>
      <c r="GP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-3.4106051316484809E-13</v>
      </c>
      <c r="GV175" s="18">
        <f>GU175*VLOOKUP('Données projet'!$B$18,Paramètres!$A$1:$I$89,3,0)*VLOOKUP('Données projet'!$B$18,Paramètres!$A$1:$I$89,5,0)</f>
        <v>-3.2455318432766944E-13</v>
      </c>
      <c r="GW175" s="14" t="e">
        <f t="shared" si="188"/>
        <v>#NUM!</v>
      </c>
      <c r="GX175" s="22" t="e">
        <f t="shared" si="189"/>
        <v>#NUM!</v>
      </c>
      <c r="GY175" s="62" t="e">
        <f t="shared" si="137"/>
        <v>#NUM!</v>
      </c>
      <c r="GZ175" s="62">
        <f ca="1">AVERAGE(OFFSET($GY$3,0,0,'Données projet'!$E$18+1,1))-AVERAGE(OFFSET($H$3,0,0,'Données projet'!$E$18+1,1))</f>
        <v>420.2510366318939</v>
      </c>
      <c r="HA175" s="62">
        <f t="shared" si="160"/>
        <v>220.59884411514116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63.52884045787966</v>
      </c>
      <c r="HH175" s="23">
        <f>EXP(-LN(2)/25)*HH174+(1-EXP(-LN(2)/25))/(LN(2)/25)*Calculateur!HC175*Calculateur!HE175*VLOOKUP('Données projet'!$B$18,Paramètres!$A$1:$I$89,3,0)*0.475*44/12</f>
        <v>0</v>
      </c>
      <c r="HI175" s="23">
        <f>EXP(-LN(2)/2)*HI174+(1-EXP(-LN(2)/2))/(LN(2)/2)*HC175*HF175*VLOOKUP('Données projet'!$B$18,Paramètres!$A$1:$I$89,3,0)*0.475*44/12</f>
        <v>0</v>
      </c>
      <c r="HJ175" s="24">
        <f t="shared" si="190"/>
        <v>63.52884045787966</v>
      </c>
    </row>
    <row r="176" spans="1:218" x14ac:dyDescent="0.2">
      <c r="A176" s="11">
        <f t="shared" si="161"/>
        <v>173</v>
      </c>
      <c r="B176" s="74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-4.5474735088646412E-13</v>
      </c>
      <c r="O176" s="14">
        <f>N176*VLOOKUP('Données projet'!$B$9,Paramètres!$A$1:$I$89,3,0)*VLOOKUP('Données projet'!$B$9,Paramètres!$A$1:$I$89,5,0)</f>
        <v>-3.9017322706058626E-13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623.31285537237943</v>
      </c>
      <c r="T176" s="62">
        <f t="shared" si="142"/>
        <v>462.33909258902241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66.279347803412648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66.279347803412648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4.9658410716801891E-14</v>
      </c>
      <c r="AK176" s="14">
        <f t="shared" si="164"/>
        <v>8.0934058173791862E-13</v>
      </c>
      <c r="AL176" s="22">
        <f t="shared" si="165"/>
        <v>1.4960899118586383E-12</v>
      </c>
      <c r="AM176" s="62">
        <f t="shared" si="113"/>
        <v>293.33333333333479</v>
      </c>
      <c r="AN176" s="62">
        <f ca="1">AVERAGE(OFFSET($AM$3,0,0,'Données projet'!$E$10+1,1))-AVERAGE(OFFSET($H$3,0,0,'Données projet'!$E$10+1,1))</f>
        <v>390.70479111593545</v>
      </c>
      <c r="AO176" s="62">
        <f t="shared" si="144"/>
        <v>374.99493809709708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26.108226424601447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26.108226424601447</v>
      </c>
      <c r="AY176" s="7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5.6843418860808015E-14</v>
      </c>
      <c r="BE176" s="14">
        <f>BD176*VLOOKUP('Données projet'!$B$11,Paramètres!$A$1:$I$89,3,0)*VLOOKUP('Données projet'!$B$11,Paramètres!$A$1:$I$89,5,0)</f>
        <v>4.5224624045658861E-14</v>
      </c>
      <c r="BF176" s="14">
        <f t="shared" si="167"/>
        <v>7.4514601661523691E-13</v>
      </c>
      <c r="BG176" s="22">
        <f t="shared" si="168"/>
        <v>1.3765621991510601E-12</v>
      </c>
      <c r="BH176" s="62">
        <f t="shared" si="116"/>
        <v>293.33333333333468</v>
      </c>
      <c r="BI176" s="62">
        <f ca="1">AVERAGE(OFFSET($BH$3,0,0,'Données projet'!$E$11+1,1))-AVERAGE(OFFSET($H$3,0,0,'Données projet'!$E$11+1,1))</f>
        <v>359.18294335011535</v>
      </c>
      <c r="BJ176" s="62">
        <f t="shared" si="146"/>
        <v>345.47508134331241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23.777134779547737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23.777134779547737</v>
      </c>
      <c r="BT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5.6843418860808015E-14</v>
      </c>
      <c r="BZ176" s="14">
        <f>BY176*VLOOKUP('Données projet'!$B$12,Paramètres!$A$1:$I$89,3,0)*VLOOKUP('Données projet'!$B$12,Paramètres!$A$1:$I$89,5,0)</f>
        <v>4.1677594708744434E-14</v>
      </c>
      <c r="CA176" s="14">
        <f t="shared" si="170"/>
        <v>6.9326303456159188E-13</v>
      </c>
      <c r="CB176" s="22">
        <f t="shared" si="171"/>
        <v>1.2800215959791691E-12</v>
      </c>
      <c r="CC176" s="62">
        <f t="shared" si="119"/>
        <v>293.33333333333462</v>
      </c>
      <c r="CD176" s="62">
        <f ca="1">AVERAGE(OFFSET($CC$3,0,0,'Données projet'!$E$12+1,1))-AVERAGE(OFFSET($H$3,0,0,'Données projet'!$E$12+1,1))</f>
        <v>333.9187211440219</v>
      </c>
      <c r="CE176" s="62">
        <f t="shared" si="148"/>
        <v>321.81422611044997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17.77787250812651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17.77787250812651</v>
      </c>
      <c r="CO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5.6843418860808015E-14</v>
      </c>
      <c r="CU176" s="18">
        <f>CT176*VLOOKUP('Données projet'!$B$13,Paramètres!$A$1:$I$89,3,0)*VLOOKUP('Données projet'!$B$13,Paramètres!$A$1:$I$89,5,0)</f>
        <v>4.6111381379887463E-14</v>
      </c>
      <c r="CV176" s="14">
        <f t="shared" si="173"/>
        <v>7.5804141040779151E-13</v>
      </c>
      <c r="CW176" s="22">
        <f t="shared" si="174"/>
        <v>1.4005661123635408E-12</v>
      </c>
      <c r="CX176" s="62">
        <f t="shared" si="122"/>
        <v>293.33333333333474</v>
      </c>
      <c r="CY176" s="62">
        <f ca="1">AVERAGE(OFFSET($CX$3,0,0,'Données projet'!$E$13+1,1))-AVERAGE(OFFSET($H$3,0,0,'Données projet'!$E$13+1,1))</f>
        <v>365.492319515595</v>
      </c>
      <c r="CZ176" s="62">
        <f t="shared" si="150"/>
        <v>351.38386928091433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19.66913554090592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19.66913554090592</v>
      </c>
      <c r="DJ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8.5459999999999976</v>
      </c>
      <c r="DO176" s="13">
        <f>IF('Données projet'!$A$166&gt;35,DO175+DN176-DW175,IF(A176&lt;'Données projet'!$A$166,$DL$205^A176,IF(A176='Données projet'!$A$166,'Données projet'!$B$166,DO175+DN176-DW175)))</f>
        <v>537.1040000000005</v>
      </c>
      <c r="DP176" s="18">
        <f>DO176*VLOOKUP('Données projet'!$B$14,Paramètres!$A$1:$I$89,3,0)*VLOOKUP('Données projet'!$B$14,Paramètres!$A$1:$I$89,5,0)</f>
        <v>452.45640960000043</v>
      </c>
      <c r="DQ176" s="14">
        <f t="shared" si="176"/>
        <v>102.333935587659</v>
      </c>
      <c r="DR176" s="22">
        <f t="shared" si="177"/>
        <v>966.25985120184021</v>
      </c>
      <c r="DS176" s="62">
        <f t="shared" si="125"/>
        <v>1259.5931845351736</v>
      </c>
      <c r="DT176" s="62">
        <f ca="1">AVERAGE(OFFSET($DS$3,0,0,'Données projet'!$E$14+1,1))-AVERAGE(OFFSET($H$3,0,0,'Données projet'!$E$14+1,1))</f>
        <v>544.89250424794909</v>
      </c>
      <c r="DU176" s="62">
        <f t="shared" si="152"/>
        <v>253.98688498110715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62.319179861372533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62.319179861372533</v>
      </c>
      <c r="EE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8.5459999999999976</v>
      </c>
      <c r="EJ176" s="13">
        <f>IF('Données projet'!$A$192&gt;35,EJ175+EI176-ER175,IF(A176&lt;'Données projet'!$A$192,$EG$205^A176,IF(A176='Données projet'!$A$192,'Données projet'!$B$192,EJ175+EI176-ER175)))</f>
        <v>537.1040000000005</v>
      </c>
      <c r="EK176" s="18">
        <f>EJ176*VLOOKUP('Données projet'!$B$15,Paramètres!$A$1:$I$89,3,0)*VLOOKUP('Données projet'!$B$15,Paramètres!$A$1:$I$89,5,0)</f>
        <v>485.97169920000039</v>
      </c>
      <c r="EL176" s="14">
        <f t="shared" si="179"/>
        <v>109.00377173434057</v>
      </c>
      <c r="EM176" s="22">
        <f t="shared" si="180"/>
        <v>1036.2489452106438</v>
      </c>
      <c r="EN176" s="62">
        <f t="shared" si="128"/>
        <v>1329.5822785439771</v>
      </c>
      <c r="EO176" s="62">
        <f ca="1">AVERAGE(OFFSET($EN$3,0,0,'Données projet'!$E$15+1,1))-AVERAGE(OFFSET($H$3,0,0,'Données projet'!$E$15+1,1))</f>
        <v>581.88778927327667</v>
      </c>
      <c r="EP176" s="62">
        <f t="shared" si="154"/>
        <v>269.67340993773422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66.935415406659359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66.935415406659359</v>
      </c>
      <c r="EZ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8.5459999999999976</v>
      </c>
      <c r="FE176" s="13">
        <f>IF('Données projet'!$A$218&gt;35,FE175+FD176-FM175,IF(A176&lt;'Données projet'!$A$218,$FB$205^A176,IF(A176='Données projet'!$A$218,'Données projet'!$B$218,FE175+FD176-FM175)))</f>
        <v>537.1040000000005</v>
      </c>
      <c r="FF176" s="18">
        <f>FE176*VLOOKUP('Données projet'!$B$16,Paramètres!$A$1:$I$89,3,0)*VLOOKUP('Données projet'!$B$16,Paramètres!$A$1:$I$89,5,0)</f>
        <v>544.62345600000049</v>
      </c>
      <c r="FG176" s="14">
        <f t="shared" si="182"/>
        <v>120.54988278104692</v>
      </c>
      <c r="FH176" s="22">
        <f t="shared" si="183"/>
        <v>1158.510231710324</v>
      </c>
      <c r="FI176" s="62">
        <f t="shared" si="131"/>
        <v>1451.8435650436572</v>
      </c>
      <c r="FJ176" s="62">
        <f ca="1">AVERAGE(OFFSET($FI$3,0,0,'Données projet'!$E$16+1,1))-AVERAGE(OFFSET($H$3,0,0,'Données projet'!$E$16+1,1))</f>
        <v>646.50767193970182</v>
      </c>
      <c r="FK176" s="62">
        <f t="shared" si="156"/>
        <v>297.06786598620607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75.013827610911392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75.013827610911392</v>
      </c>
      <c r="FU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8.5459999999999976</v>
      </c>
      <c r="FZ176" s="13">
        <f>IF('Données projet'!$A$244&gt;35,FZ175+FY176-GH175,IF(A176&lt;'Données projet'!$A$244,$FW$205^A176,IF(A176='Données projet'!$A$244,'Données projet'!$B$244,FZ175+FY176-GH175)))</f>
        <v>537.1040000000005</v>
      </c>
      <c r="GA176" s="18">
        <f>FZ176*VLOOKUP('Données projet'!$B$17,Paramètres!$A$1:$I$89,3,0)*VLOOKUP('Données projet'!$B$17,Paramètres!$A$1:$I$89,5,0)</f>
        <v>360.28936320000031</v>
      </c>
      <c r="GB176" s="14">
        <f t="shared" si="185"/>
        <v>83.677612015171519</v>
      </c>
      <c r="GC176" s="22">
        <f t="shared" si="186"/>
        <v>773.24248183309089</v>
      </c>
      <c r="GD176" s="62">
        <f t="shared" si="134"/>
        <v>1066.5758151664243</v>
      </c>
      <c r="GE176" s="62">
        <f ca="1">AVERAGE(OFFSET($GD$3,0,0,'Données projet'!$E$17+1,1))-AVERAGE(OFFSET($H$3,0,0,'Données projet'!$E$17+1,1))</f>
        <v>442.85175349826028</v>
      </c>
      <c r="GF176" s="62">
        <f t="shared" si="158"/>
        <v>210.70697808232501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61.165120975050804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61.165120975050804</v>
      </c>
      <c r="GP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-3.4106051316484809E-13</v>
      </c>
      <c r="GV176" s="18">
        <f>GU176*VLOOKUP('Données projet'!$B$18,Paramètres!$A$1:$I$89,3,0)*VLOOKUP('Données projet'!$B$18,Paramètres!$A$1:$I$89,5,0)</f>
        <v>-3.2455318432766944E-13</v>
      </c>
      <c r="GW176" s="14" t="e">
        <f t="shared" si="188"/>
        <v>#NUM!</v>
      </c>
      <c r="GX176" s="22" t="e">
        <f t="shared" si="189"/>
        <v>#NUM!</v>
      </c>
      <c r="GY176" s="62" t="e">
        <f t="shared" si="137"/>
        <v>#NUM!</v>
      </c>
      <c r="GZ176" s="62">
        <f ca="1">AVERAGE(OFFSET($GY$3,0,0,'Données projet'!$E$18+1,1))-AVERAGE(OFFSET($H$3,0,0,'Données projet'!$E$18+1,1))</f>
        <v>420.2510366318939</v>
      </c>
      <c r="HA176" s="62">
        <f t="shared" si="160"/>
        <v>220.59884411514116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62.283078645267196</v>
      </c>
      <c r="HH176" s="23">
        <f>EXP(-LN(2)/25)*HH175+(1-EXP(-LN(2)/25))/(LN(2)/25)*Calculateur!HC176*Calculateur!HE176*VLOOKUP('Données projet'!$B$18,Paramètres!$A$1:$I$89,3,0)*0.475*44/12</f>
        <v>0</v>
      </c>
      <c r="HI176" s="23">
        <f>EXP(-LN(2)/2)*HI175+(1-EXP(-LN(2)/2))/(LN(2)/2)*HC176*HF176*VLOOKUP('Données projet'!$B$18,Paramètres!$A$1:$I$89,3,0)*0.475*44/12</f>
        <v>0</v>
      </c>
      <c r="HJ176" s="24">
        <f t="shared" si="190"/>
        <v>62.283078645267196</v>
      </c>
    </row>
    <row r="177" spans="1:218" x14ac:dyDescent="0.2">
      <c r="A177" s="11">
        <f t="shared" si="161"/>
        <v>174</v>
      </c>
      <c r="B177" s="74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-4.5474735088646412E-13</v>
      </c>
      <c r="O177" s="14">
        <f>N177*VLOOKUP('Données projet'!$B$9,Paramètres!$A$1:$I$89,3,0)*VLOOKUP('Données projet'!$B$9,Paramètres!$A$1:$I$89,5,0)</f>
        <v>-3.9017322706058626E-13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623.31285537237943</v>
      </c>
      <c r="T177" s="62">
        <f t="shared" si="142"/>
        <v>462.33909258902241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64.97965021939811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64.97965021939811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4.9658410716801891E-14</v>
      </c>
      <c r="AK177" s="14">
        <f t="shared" si="164"/>
        <v>8.0934058173791862E-13</v>
      </c>
      <c r="AL177" s="22">
        <f t="shared" si="165"/>
        <v>1.4960899118586383E-12</v>
      </c>
      <c r="AM177" s="62">
        <f t="shared" si="113"/>
        <v>293.33333333333479</v>
      </c>
      <c r="AN177" s="62">
        <f ca="1">AVERAGE(OFFSET($AM$3,0,0,'Données projet'!$E$10+1,1))-AVERAGE(OFFSET($H$3,0,0,'Données projet'!$E$10+1,1))</f>
        <v>390.70479111593545</v>
      </c>
      <c r="AO177" s="62">
        <f t="shared" si="144"/>
        <v>374.99493809709708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25.596260028860723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25.596260028860723</v>
      </c>
      <c r="AY177" s="7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5.6843418860808015E-14</v>
      </c>
      <c r="BE177" s="14">
        <f>BD177*VLOOKUP('Données projet'!$B$11,Paramètres!$A$1:$I$89,3,0)*VLOOKUP('Données projet'!$B$11,Paramètres!$A$1:$I$89,5,0)</f>
        <v>4.5224624045658861E-14</v>
      </c>
      <c r="BF177" s="14">
        <f t="shared" si="167"/>
        <v>7.4514601661523691E-13</v>
      </c>
      <c r="BG177" s="22">
        <f t="shared" si="168"/>
        <v>1.3765621991510601E-12</v>
      </c>
      <c r="BH177" s="62">
        <f t="shared" si="116"/>
        <v>293.33333333333468</v>
      </c>
      <c r="BI177" s="62">
        <f ca="1">AVERAGE(OFFSET($BH$3,0,0,'Données projet'!$E$11+1,1))-AVERAGE(OFFSET($H$3,0,0,'Données projet'!$E$11+1,1))</f>
        <v>359.18294335011535</v>
      </c>
      <c r="BJ177" s="62">
        <f t="shared" si="146"/>
        <v>345.47508134331241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23.310879669141006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23.310879669141006</v>
      </c>
      <c r="BT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5.6843418860808015E-14</v>
      </c>
      <c r="BZ177" s="14">
        <f>BY177*VLOOKUP('Données projet'!$B$12,Paramètres!$A$1:$I$89,3,0)*VLOOKUP('Données projet'!$B$12,Paramètres!$A$1:$I$89,5,0)</f>
        <v>4.1677594708744434E-14</v>
      </c>
      <c r="CA177" s="14">
        <f t="shared" si="170"/>
        <v>6.9326303456159188E-13</v>
      </c>
      <c r="CB177" s="22">
        <f t="shared" si="171"/>
        <v>1.2800215959791691E-12</v>
      </c>
      <c r="CC177" s="62">
        <f t="shared" si="119"/>
        <v>293.33333333333462</v>
      </c>
      <c r="CD177" s="62">
        <f ca="1">AVERAGE(OFFSET($CC$3,0,0,'Données projet'!$E$12+1,1))-AVERAGE(OFFSET($H$3,0,0,'Données projet'!$E$12+1,1))</f>
        <v>333.9187211440219</v>
      </c>
      <c r="CE177" s="62">
        <f t="shared" si="148"/>
        <v>321.81422611044997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17.429259271673679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17.429259271673679</v>
      </c>
      <c r="CO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5.6843418860808015E-14</v>
      </c>
      <c r="CU177" s="18">
        <f>CT177*VLOOKUP('Données projet'!$B$13,Paramètres!$A$1:$I$89,3,0)*VLOOKUP('Données projet'!$B$13,Paramètres!$A$1:$I$89,5,0)</f>
        <v>4.6111381379887463E-14</v>
      </c>
      <c r="CV177" s="14">
        <f t="shared" si="173"/>
        <v>7.5804141040779151E-13</v>
      </c>
      <c r="CW177" s="22">
        <f t="shared" si="174"/>
        <v>1.4005661123635408E-12</v>
      </c>
      <c r="CX177" s="62">
        <f t="shared" si="122"/>
        <v>293.33333333333474</v>
      </c>
      <c r="CY177" s="62">
        <f ca="1">AVERAGE(OFFSET($CX$3,0,0,'Données projet'!$E$13+1,1))-AVERAGE(OFFSET($H$3,0,0,'Données projet'!$E$13+1,1))</f>
        <v>365.492319515595</v>
      </c>
      <c r="CZ177" s="62">
        <f t="shared" si="150"/>
        <v>351.38386928091433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19.283435789936831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19.283435789936831</v>
      </c>
      <c r="DJ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>
        <f>VLOOKUP(A177,'Données projet'!$A$165:$I$185,2,0)</f>
        <v>545.65</v>
      </c>
      <c r="DM177" s="13">
        <f>VLOOKUP(A177,'Données projet'!$A$165:$I$185,9,0)</f>
        <v>8.5459999999999976</v>
      </c>
      <c r="DN177" s="13">
        <f t="array" ref="DN177">INDEX(DM:DM,MIN(IF(ISNUMBER(DM177:DM373),ROW(DM177:DM373),"")))</f>
        <v>8.5459999999999976</v>
      </c>
      <c r="DO177" s="13">
        <f>IF('Données projet'!$A$166&gt;35,DO176+DN177-DW176,IF(A177&lt;'Données projet'!$A$166,$DL$205^A177,IF(A177='Données projet'!$A$166,'Données projet'!$B$166,DO176+DN177-DW176)))</f>
        <v>545.65000000000055</v>
      </c>
      <c r="DP177" s="18">
        <f>DO177*VLOOKUP('Données projet'!$B$14,Paramètres!$A$1:$I$89,3,0)*VLOOKUP('Données projet'!$B$14,Paramètres!$A$1:$I$89,5,0)</f>
        <v>459.65556000000049</v>
      </c>
      <c r="DQ177" s="14">
        <f t="shared" si="176"/>
        <v>103.77134303603528</v>
      </c>
      <c r="DR177" s="22">
        <f t="shared" si="177"/>
        <v>981.30185612109562</v>
      </c>
      <c r="DS177" s="62">
        <f t="shared" si="125"/>
        <v>1274.6351894544289</v>
      </c>
      <c r="DT177" s="62">
        <f ca="1">AVERAGE(OFFSET($DS$3,0,0,'Données projet'!$E$14+1,1))-AVERAGE(OFFSET($H$3,0,0,'Données projet'!$E$14+1,1))</f>
        <v>544.89250424794909</v>
      </c>
      <c r="DU177" s="62">
        <f t="shared" si="152"/>
        <v>253.98688498110715</v>
      </c>
      <c r="DV177" s="16">
        <f>IF(ISNA(VLOOKUP(A177,'Données projet'!$A$165:$I$185,3,0)),0,VLOOKUP(A177,'Données projet'!$A$165:$I$185,3,0))</f>
        <v>15</v>
      </c>
      <c r="DW177" s="16">
        <f>IF(ISNA(VLOOKUP(A177,'Données projet'!$A$165:$I$185,4,0)),0,VLOOKUP(A177,'Données projet'!$A$165:$I$185,4,0))</f>
        <v>214.77</v>
      </c>
      <c r="DX177" s="17">
        <f>IF(ISNA(VLOOKUP(A177,'Données projet'!$A$165:$I$185,5,0)),0%,VLOOKUP(A177,'Données projet'!$A$165:$I$185,5,0)*VLOOKUP('Données projet'!$B$14,Paramètres!$A$1:$I$89,7,0))</f>
        <v>0.34400000000000003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129.89857879514247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129.89857879514247</v>
      </c>
      <c r="EE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>
        <f>VLOOKUP(A177,'Données projet'!$A$191:$I$211,2,0)</f>
        <v>545.65</v>
      </c>
      <c r="EH177" s="13">
        <f>VLOOKUP(A177,'Données projet'!$A$191:$I$211,9,0)</f>
        <v>8.5459999999999976</v>
      </c>
      <c r="EI177" s="13">
        <f t="array" ref="EI177">INDEX(EH:EH,MIN(IF(ISNUMBER(EH177:EH373),ROW(EH177:EH373),"")))</f>
        <v>8.5459999999999976</v>
      </c>
      <c r="EJ177" s="13">
        <f>IF('Données projet'!$A$192&gt;35,EJ176+EI177-ER176,IF(A177&lt;'Données projet'!$A$192,$EG$205^A177,IF(A177='Données projet'!$A$192,'Données projet'!$B$192,EJ176+EI177-ER176)))</f>
        <v>545.65000000000055</v>
      </c>
      <c r="EK177" s="18">
        <f>EJ177*VLOOKUP('Données projet'!$B$15,Paramètres!$A$1:$I$89,3,0)*VLOOKUP('Données projet'!$B$15,Paramètres!$A$1:$I$89,5,0)</f>
        <v>493.7041200000005</v>
      </c>
      <c r="EL177" s="14">
        <f t="shared" si="179"/>
        <v>110.53486532995269</v>
      </c>
      <c r="EM177" s="22">
        <f t="shared" si="180"/>
        <v>1052.3828994496685</v>
      </c>
      <c r="EN177" s="62">
        <f t="shared" si="128"/>
        <v>1345.7162327830017</v>
      </c>
      <c r="EO177" s="62">
        <f ca="1">AVERAGE(OFFSET($EN$3,0,0,'Données projet'!$E$15+1,1))-AVERAGE(OFFSET($H$3,0,0,'Données projet'!$E$15+1,1))</f>
        <v>581.88778927327667</v>
      </c>
      <c r="EP177" s="62">
        <f t="shared" si="154"/>
        <v>269.67340993773422</v>
      </c>
      <c r="EQ177" s="16">
        <f>IF(ISNA(VLOOKUP(A177,'Données projet'!$A$191:$I$211,3,0)),0,VLOOKUP(A177,'Données projet'!$A$191:$I$211,3,0))</f>
        <v>15</v>
      </c>
      <c r="ER177" s="16">
        <f>IF(ISNA(VLOOKUP(A177,'Données projet'!$A$191:$I$211,4,0)),0,VLOOKUP(A177,'Données projet'!$A$191:$I$211,4,0))</f>
        <v>214.77</v>
      </c>
      <c r="ES177" s="17">
        <f>IF(ISNA(VLOOKUP(A177,'Données projet'!$A$191:$I$211,5,0)),0%,VLOOKUP(A177,'Données projet'!$A$191:$I$211,5,0)*VLOOKUP('Données projet'!$B$15,Paramètres!$A$1:$I$89,7,0))</f>
        <v>0.34400000000000003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139.52069574293077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139.52069574293077</v>
      </c>
      <c r="EZ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>
        <f>VLOOKUP(A177,'Données projet'!$A$217:$I$237,2,0)</f>
        <v>545.65</v>
      </c>
      <c r="FC177" s="13">
        <f>VLOOKUP(A177,'Données projet'!$A$217:$I$237,9,0)</f>
        <v>8.5459999999999976</v>
      </c>
      <c r="FD177" s="13">
        <f t="array" ref="FD177">INDEX(FC:FC,MIN(IF(ISNUMBER(FC177:FC373),ROW(FC177:FC373),"")))</f>
        <v>8.5459999999999976</v>
      </c>
      <c r="FE177" s="13">
        <f>IF('Données projet'!$A$218&gt;35,FE176+FD177-FM176,IF(A177&lt;'Données projet'!$A$218,$FB$205^A177,IF(A177='Données projet'!$A$218,'Données projet'!$B$218,FE176+FD177-FM176)))</f>
        <v>545.65000000000055</v>
      </c>
      <c r="FF177" s="18">
        <f>FE177*VLOOKUP('Données projet'!$B$16,Paramètres!$A$1:$I$89,3,0)*VLOOKUP('Données projet'!$B$16,Paramètres!$A$1:$I$89,5,0)</f>
        <v>553.28910000000053</v>
      </c>
      <c r="FG177" s="14">
        <f t="shared" si="182"/>
        <v>122.24315587188718</v>
      </c>
      <c r="FH177" s="22">
        <f t="shared" si="183"/>
        <v>1176.5520123102044</v>
      </c>
      <c r="FI177" s="62">
        <f t="shared" si="131"/>
        <v>1469.8853456435377</v>
      </c>
      <c r="FJ177" s="62">
        <f ca="1">AVERAGE(OFFSET($FI$3,0,0,'Données projet'!$E$16+1,1))-AVERAGE(OFFSET($H$3,0,0,'Données projet'!$E$16+1,1))</f>
        <v>646.50767193970182</v>
      </c>
      <c r="FK177" s="62">
        <f t="shared" si="156"/>
        <v>297.06786598620607</v>
      </c>
      <c r="FL177" s="16">
        <f>IF(ISNA(VLOOKUP(A177,'Données projet'!$A$217:$I$237,3,0)),0,VLOOKUP(A177,'Données projet'!$A$217:$I$237,3,0))</f>
        <v>15</v>
      </c>
      <c r="FM177" s="16">
        <f>IF(ISNA(VLOOKUP(A177,'Données projet'!$A$217:$I$237,4,0)),0,VLOOKUP(A177,'Données projet'!$A$217:$I$237,4,0))</f>
        <v>214.77</v>
      </c>
      <c r="FN177" s="17">
        <f>IF(ISNA(VLOOKUP(A177,'Données projet'!$A$217:$I$237,5,0)),0%,VLOOKUP(A177,'Données projet'!$A$217:$I$237,5,0)*VLOOKUP('Données projet'!$B$16,Paramètres!$A$1:$I$89,7,0))</f>
        <v>0.34400000000000003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156.35940040156038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156.35940040156038</v>
      </c>
      <c r="FU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>
        <f>VLOOKUP(A177,'Données projet'!$A$243:$I$263,2,0)</f>
        <v>545.65</v>
      </c>
      <c r="FX177" s="13">
        <f>VLOOKUP(A177,'Données projet'!$A$243:$I$263,9,0)</f>
        <v>8.5459999999999976</v>
      </c>
      <c r="FY177" s="13">
        <f t="array" ref="FY177">INDEX(FX:FX,MIN(IF(ISNUMBER(FX177:FX373),ROW(FX177:FX373),"")))</f>
        <v>8.5459999999999976</v>
      </c>
      <c r="FZ177" s="13">
        <f>IF('Données projet'!$A$244&gt;35,FZ176+FY177-GH176,IF(A177&lt;'Données projet'!$A$244,$FW$205^A177,IF(A177='Données projet'!$A$244,'Données projet'!$B$244,FZ176+FY177-GH176)))</f>
        <v>545.65000000000055</v>
      </c>
      <c r="GA177" s="18">
        <f>FZ177*VLOOKUP('Données projet'!$B$17,Paramètres!$A$1:$I$89,3,0)*VLOOKUP('Données projet'!$B$17,Paramètres!$A$1:$I$89,5,0)</f>
        <v>366.0220200000004</v>
      </c>
      <c r="GB177" s="14">
        <f t="shared" si="185"/>
        <v>84.852968186926802</v>
      </c>
      <c r="GC177" s="22">
        <f t="shared" si="186"/>
        <v>785.27393775889823</v>
      </c>
      <c r="GD177" s="62">
        <f t="shared" si="134"/>
        <v>1078.6072710922315</v>
      </c>
      <c r="GE177" s="62">
        <f ca="1">AVERAGE(OFFSET($GD$3,0,0,'Données projet'!$E$17+1,1))-AVERAGE(OFFSET($H$3,0,0,'Données projet'!$E$17+1,1))</f>
        <v>442.85175349826028</v>
      </c>
      <c r="GF177" s="62">
        <f t="shared" si="158"/>
        <v>210.70697808232501</v>
      </c>
      <c r="GG177" s="16">
        <f>IF(ISNA(VLOOKUP(A177,'Données projet'!$A$243:$I$263,3,0)),0,VLOOKUP(A177,'Données projet'!$A$243:$I$263,3,0))</f>
        <v>15</v>
      </c>
      <c r="GH177" s="16">
        <f>IF(ISNA(VLOOKUP(A177,'Données projet'!$A$243:$I$263,4,0)),0,VLOOKUP(A177,'Données projet'!$A$243:$I$263,4,0))</f>
        <v>214.77</v>
      </c>
      <c r="GI177" s="17">
        <f>IF(ISNA(VLOOKUP(A177,'Données projet'!$A$243:$I$263,5,0)),0%,VLOOKUP(A177,'Données projet'!$A$243:$I$263,5,0)*VLOOKUP('Données projet'!$B$17,Paramètres!$A$1:$I$89,7,0))</f>
        <v>0.42400000000000004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127.49304955819537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127.49304955819537</v>
      </c>
      <c r="GP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-3.4106051316484809E-13</v>
      </c>
      <c r="GV177" s="18">
        <f>GU177*VLOOKUP('Données projet'!$B$18,Paramètres!$A$1:$I$89,3,0)*VLOOKUP('Données projet'!$B$18,Paramètres!$A$1:$I$89,5,0)</f>
        <v>-3.2455318432766944E-13</v>
      </c>
      <c r="GW177" s="14" t="e">
        <f t="shared" si="188"/>
        <v>#NUM!</v>
      </c>
      <c r="GX177" s="22" t="e">
        <f t="shared" si="189"/>
        <v>#NUM!</v>
      </c>
      <c r="GY177" s="62" t="e">
        <f t="shared" si="137"/>
        <v>#NUM!</v>
      </c>
      <c r="GZ177" s="62">
        <f ca="1">AVERAGE(OFFSET($GY$3,0,0,'Données projet'!$E$18+1,1))-AVERAGE(OFFSET($H$3,0,0,'Données projet'!$E$18+1,1))</f>
        <v>420.2510366318939</v>
      </c>
      <c r="HA177" s="62">
        <f t="shared" si="160"/>
        <v>220.59884411514116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61.061745461960385</v>
      </c>
      <c r="HH177" s="23">
        <f>EXP(-LN(2)/25)*HH176+(1-EXP(-LN(2)/25))/(LN(2)/25)*Calculateur!HC177*Calculateur!HE177*VLOOKUP('Données projet'!$B$18,Paramètres!$A$1:$I$89,3,0)*0.475*44/12</f>
        <v>0</v>
      </c>
      <c r="HI177" s="23">
        <f>EXP(-LN(2)/2)*HI176+(1-EXP(-LN(2)/2))/(LN(2)/2)*HC177*HF177*VLOOKUP('Données projet'!$B$18,Paramètres!$A$1:$I$89,3,0)*0.475*44/12</f>
        <v>0</v>
      </c>
      <c r="HJ177" s="24">
        <f t="shared" si="190"/>
        <v>61.061745461960385</v>
      </c>
    </row>
    <row r="178" spans="1:218" x14ac:dyDescent="0.2">
      <c r="A178" s="11">
        <f t="shared" si="161"/>
        <v>175</v>
      </c>
      <c r="B178" s="74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-4.5474735088646412E-13</v>
      </c>
      <c r="O178" s="14">
        <f>N178*VLOOKUP('Données projet'!$B$9,Paramètres!$A$1:$I$89,3,0)*VLOOKUP('Données projet'!$B$9,Paramètres!$A$1:$I$89,5,0)</f>
        <v>-3.9017322706058626E-13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623.31285537237943</v>
      </c>
      <c r="T178" s="62">
        <f t="shared" si="142"/>
        <v>462.33909258902241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63.705438912268846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63.705438912268846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4.9658410716801891E-14</v>
      </c>
      <c r="AK178" s="14">
        <f t="shared" si="164"/>
        <v>8.0934058173791862E-13</v>
      </c>
      <c r="AL178" s="22">
        <f t="shared" si="165"/>
        <v>1.4960899118586383E-12</v>
      </c>
      <c r="AM178" s="62">
        <f t="shared" si="113"/>
        <v>293.33333333333479</v>
      </c>
      <c r="AN178" s="62">
        <f ca="1">AVERAGE(OFFSET($AM$3,0,0,'Données projet'!$E$10+1,1))-AVERAGE(OFFSET($H$3,0,0,'Données projet'!$E$10+1,1))</f>
        <v>390.70479111593545</v>
      </c>
      <c r="AO178" s="62">
        <f t="shared" si="144"/>
        <v>374.99493809709708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25.094332981871808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25.094332981871808</v>
      </c>
      <c r="AY178" s="7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5.6843418860808015E-14</v>
      </c>
      <c r="BE178" s="14">
        <f>BD178*VLOOKUP('Données projet'!$B$11,Paramètres!$A$1:$I$89,3,0)*VLOOKUP('Données projet'!$B$11,Paramètres!$A$1:$I$89,5,0)</f>
        <v>4.5224624045658861E-14</v>
      </c>
      <c r="BF178" s="14">
        <f t="shared" si="167"/>
        <v>7.4514601661523691E-13</v>
      </c>
      <c r="BG178" s="22">
        <f t="shared" si="168"/>
        <v>1.3765621991510601E-12</v>
      </c>
      <c r="BH178" s="62">
        <f t="shared" si="116"/>
        <v>293.33333333333468</v>
      </c>
      <c r="BI178" s="62">
        <f ca="1">AVERAGE(OFFSET($BH$3,0,0,'Données projet'!$E$11+1,1))-AVERAGE(OFFSET($H$3,0,0,'Données projet'!$E$11+1,1))</f>
        <v>359.18294335011535</v>
      </c>
      <c r="BJ178" s="62">
        <f t="shared" si="146"/>
        <v>345.47508134331241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22.853767537061813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22.853767537061813</v>
      </c>
      <c r="BT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5.6843418860808015E-14</v>
      </c>
      <c r="BZ178" s="14">
        <f>BY178*VLOOKUP('Données projet'!$B$12,Paramètres!$A$1:$I$89,3,0)*VLOOKUP('Données projet'!$B$12,Paramètres!$A$1:$I$89,5,0)</f>
        <v>4.1677594708744434E-14</v>
      </c>
      <c r="CA178" s="14">
        <f t="shared" si="170"/>
        <v>6.9326303456159188E-13</v>
      </c>
      <c r="CB178" s="22">
        <f t="shared" si="171"/>
        <v>1.2800215959791691E-12</v>
      </c>
      <c r="CC178" s="62">
        <f t="shared" si="119"/>
        <v>293.33333333333462</v>
      </c>
      <c r="CD178" s="62">
        <f ca="1">AVERAGE(OFFSET($CC$3,0,0,'Données projet'!$E$12+1,1))-AVERAGE(OFFSET($H$3,0,0,'Données projet'!$E$12+1,1))</f>
        <v>333.9187211440219</v>
      </c>
      <c r="CE178" s="62">
        <f t="shared" si="148"/>
        <v>321.81422611044997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17.087482128154608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17.087482128154608</v>
      </c>
      <c r="CO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5.6843418860808015E-14</v>
      </c>
      <c r="CU178" s="18">
        <f>CT178*VLOOKUP('Données projet'!$B$13,Paramètres!$A$1:$I$89,3,0)*VLOOKUP('Données projet'!$B$13,Paramètres!$A$1:$I$89,5,0)</f>
        <v>4.6111381379887463E-14</v>
      </c>
      <c r="CV178" s="14">
        <f t="shared" si="173"/>
        <v>7.5804141040779151E-13</v>
      </c>
      <c r="CW178" s="22">
        <f t="shared" si="174"/>
        <v>1.4005661123635408E-12</v>
      </c>
      <c r="CX178" s="62">
        <f t="shared" si="122"/>
        <v>293.33333333333474</v>
      </c>
      <c r="CY178" s="62">
        <f ca="1">AVERAGE(OFFSET($CX$3,0,0,'Données projet'!$E$13+1,1))-AVERAGE(OFFSET($H$3,0,0,'Données projet'!$E$13+1,1))</f>
        <v>365.492319515595</v>
      </c>
      <c r="CZ178" s="62">
        <f t="shared" si="150"/>
        <v>351.38386928091433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18.905299375830626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18.905299375830626</v>
      </c>
      <c r="DJ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5.3866666666666747</v>
      </c>
      <c r="DO178" s="13">
        <f>IF('Données projet'!$A$166&gt;35,DO177+DN178-DW177,IF(A178&lt;'Données projet'!$A$166,$DL$205^A178,IF(A178='Données projet'!$A$166,'Données projet'!$B$166,DO177+DN178-DW177)))</f>
        <v>336.26666666666722</v>
      </c>
      <c r="DP178" s="18">
        <f>DO178*VLOOKUP('Données projet'!$B$14,Paramètres!$A$1:$I$89,3,0)*VLOOKUP('Données projet'!$B$14,Paramètres!$A$1:$I$89,5,0)</f>
        <v>283.27104000000048</v>
      </c>
      <c r="DQ178" s="14">
        <f t="shared" si="176"/>
        <v>67.657805697923919</v>
      </c>
      <c r="DR178" s="22">
        <f t="shared" si="177"/>
        <v>611.20107292388502</v>
      </c>
      <c r="DS178" s="62">
        <f t="shared" si="125"/>
        <v>904.53440625721828</v>
      </c>
      <c r="DT178" s="62">
        <f ca="1">AVERAGE(OFFSET($DS$3,0,0,'Données projet'!$E$14+1,1))-AVERAGE(OFFSET($H$3,0,0,'Données projet'!$E$14+1,1))</f>
        <v>544.89250424794909</v>
      </c>
      <c r="DU178" s="62">
        <f t="shared" si="152"/>
        <v>253.98688498110715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127.35134689527945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127.35134689527945</v>
      </c>
      <c r="EE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5.3866666666666747</v>
      </c>
      <c r="EJ178" s="13">
        <f>IF('Données projet'!$A$192&gt;35,EJ177+EI178-ER177,IF(A178&lt;'Données projet'!$A$192,$EG$205^A178,IF(A178='Données projet'!$A$192,'Données projet'!$B$192,EJ177+EI178-ER177)))</f>
        <v>336.26666666666722</v>
      </c>
      <c r="EK178" s="18">
        <f>EJ178*VLOOKUP('Données projet'!$B$15,Paramètres!$A$1:$I$89,3,0)*VLOOKUP('Données projet'!$B$15,Paramètres!$A$1:$I$89,5,0)</f>
        <v>304.2540800000005</v>
      </c>
      <c r="EL178" s="14">
        <f t="shared" si="179"/>
        <v>72.067549889405967</v>
      </c>
      <c r="EM178" s="22">
        <f t="shared" si="180"/>
        <v>655.42683872404962</v>
      </c>
      <c r="EN178" s="62">
        <f t="shared" si="128"/>
        <v>948.76017205738299</v>
      </c>
      <c r="EO178" s="62">
        <f ca="1">AVERAGE(OFFSET($EN$3,0,0,'Données projet'!$E$15+1,1))-AVERAGE(OFFSET($H$3,0,0,'Données projet'!$E$15+1,1))</f>
        <v>581.88778927327667</v>
      </c>
      <c r="EP178" s="62">
        <f t="shared" si="154"/>
        <v>269.67340993773422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136.78477999863344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136.78477999863344</v>
      </c>
      <c r="EZ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5.3866666666666747</v>
      </c>
      <c r="FE178" s="13">
        <f>IF('Données projet'!$A$218&gt;35,FE177+FD178-FM177,IF(A178&lt;'Données projet'!$A$218,$FB$205^A178,IF(A178='Données projet'!$A$218,'Données projet'!$B$218,FE177+FD178-FM177)))</f>
        <v>336.26666666666722</v>
      </c>
      <c r="FF178" s="18">
        <f>FE178*VLOOKUP('Données projet'!$B$16,Paramètres!$A$1:$I$89,3,0)*VLOOKUP('Données projet'!$B$16,Paramètres!$A$1:$I$89,5,0)</f>
        <v>340.97440000000057</v>
      </c>
      <c r="FG178" s="14">
        <f t="shared" si="182"/>
        <v>79.70123008824433</v>
      </c>
      <c r="FH178" s="22">
        <f t="shared" si="183"/>
        <v>732.67672240369313</v>
      </c>
      <c r="FI178" s="62">
        <f t="shared" si="131"/>
        <v>1026.0100557370265</v>
      </c>
      <c r="FJ178" s="62">
        <f ca="1">AVERAGE(OFFSET($FI$3,0,0,'Données projet'!$E$16+1,1))-AVERAGE(OFFSET($H$3,0,0,'Données projet'!$E$16+1,1))</f>
        <v>646.50767193970182</v>
      </c>
      <c r="FK178" s="62">
        <f t="shared" si="156"/>
        <v>297.06786598620607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153.29328792950304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153.29328792950304</v>
      </c>
      <c r="FU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5.3866666666666747</v>
      </c>
      <c r="FZ178" s="13">
        <f>IF('Données projet'!$A$244&gt;35,FZ177+FY178-GH177,IF(A178&lt;'Données projet'!$A$244,$FW$205^A178,IF(A178='Données projet'!$A$244,'Données projet'!$B$244,FZ177+FY178-GH177)))</f>
        <v>336.26666666666722</v>
      </c>
      <c r="GA178" s="18">
        <f>FZ178*VLOOKUP('Données projet'!$B$17,Paramètres!$A$1:$I$89,3,0)*VLOOKUP('Données projet'!$B$17,Paramètres!$A$1:$I$89,5,0)</f>
        <v>225.56768000000039</v>
      </c>
      <c r="GB178" s="14">
        <f t="shared" si="185"/>
        <v>55.323227651487805</v>
      </c>
      <c r="GC178" s="22">
        <f t="shared" si="186"/>
        <v>489.21833082634186</v>
      </c>
      <c r="GD178" s="62">
        <f t="shared" si="134"/>
        <v>782.55166415967517</v>
      </c>
      <c r="GE178" s="62">
        <f ca="1">AVERAGE(OFFSET($GD$3,0,0,'Données projet'!$E$17+1,1))-AVERAGE(OFFSET($H$3,0,0,'Données projet'!$E$17+1,1))</f>
        <v>442.85175349826028</v>
      </c>
      <c r="GF178" s="62">
        <f t="shared" si="158"/>
        <v>210.70697808232501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124.99298861944092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124.99298861944092</v>
      </c>
      <c r="GP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-3.4106051316484809E-13</v>
      </c>
      <c r="GV178" s="18">
        <f>GU178*VLOOKUP('Données projet'!$B$18,Paramètres!$A$1:$I$89,3,0)*VLOOKUP('Données projet'!$B$18,Paramètres!$A$1:$I$89,5,0)</f>
        <v>-3.2455318432766944E-13</v>
      </c>
      <c r="GW178" s="14" t="e">
        <f t="shared" si="188"/>
        <v>#NUM!</v>
      </c>
      <c r="GX178" s="22" t="e">
        <f t="shared" si="189"/>
        <v>#NUM!</v>
      </c>
      <c r="GY178" s="62" t="e">
        <f t="shared" si="137"/>
        <v>#NUM!</v>
      </c>
      <c r="GZ178" s="62">
        <f ca="1">AVERAGE(OFFSET($GY$3,0,0,'Données projet'!$E$18+1,1))-AVERAGE(OFFSET($H$3,0,0,'Données projet'!$E$18+1,1))</f>
        <v>420.2510366318939</v>
      </c>
      <c r="HA178" s="62">
        <f t="shared" si="160"/>
        <v>220.59884411514116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59.864361877438533</v>
      </c>
      <c r="HH178" s="23">
        <f>EXP(-LN(2)/25)*HH177+(1-EXP(-LN(2)/25))/(LN(2)/25)*Calculateur!HC178*Calculateur!HE178*VLOOKUP('Données projet'!$B$18,Paramètres!$A$1:$I$89,3,0)*0.475*44/12</f>
        <v>0</v>
      </c>
      <c r="HI178" s="23">
        <f>EXP(-LN(2)/2)*HI177+(1-EXP(-LN(2)/2))/(LN(2)/2)*HC178*HF178*VLOOKUP('Données projet'!$B$18,Paramètres!$A$1:$I$89,3,0)*0.475*44/12</f>
        <v>0</v>
      </c>
      <c r="HJ178" s="24">
        <f t="shared" si="190"/>
        <v>59.864361877438533</v>
      </c>
    </row>
    <row r="179" spans="1:218" x14ac:dyDescent="0.2">
      <c r="A179" s="11">
        <f t="shared" si="161"/>
        <v>176</v>
      </c>
      <c r="B179" s="74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-4.5474735088646412E-13</v>
      </c>
      <c r="O179" s="14">
        <f>N179*VLOOKUP('Données projet'!$B$9,Paramètres!$A$1:$I$89,3,0)*VLOOKUP('Données projet'!$B$9,Paramètres!$A$1:$I$89,5,0)</f>
        <v>-3.9017322706058626E-13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623.31285537237943</v>
      </c>
      <c r="T179" s="62">
        <f t="shared" si="142"/>
        <v>462.33909258902241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62.456214111680232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62.456214111680232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4.9658410716801891E-14</v>
      </c>
      <c r="AK179" s="14">
        <f t="shared" si="164"/>
        <v>8.0934058173791862E-13</v>
      </c>
      <c r="AL179" s="22">
        <f t="shared" si="165"/>
        <v>1.4960899118586383E-12</v>
      </c>
      <c r="AM179" s="62">
        <f t="shared" si="113"/>
        <v>293.33333333333479</v>
      </c>
      <c r="AN179" s="62">
        <f ca="1">AVERAGE(OFFSET($AM$3,0,0,'Données projet'!$E$10+1,1))-AVERAGE(OFFSET($H$3,0,0,'Données projet'!$E$10+1,1))</f>
        <v>390.70479111593545</v>
      </c>
      <c r="AO179" s="62">
        <f t="shared" si="144"/>
        <v>374.99493809709708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24.602248418129076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24.602248418129076</v>
      </c>
      <c r="AY179" s="7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5.6843418860808015E-14</v>
      </c>
      <c r="BE179" s="14">
        <f>BD179*VLOOKUP('Données projet'!$B$11,Paramètres!$A$1:$I$89,3,0)*VLOOKUP('Données projet'!$B$11,Paramètres!$A$1:$I$89,5,0)</f>
        <v>4.5224624045658861E-14</v>
      </c>
      <c r="BF179" s="14">
        <f t="shared" si="167"/>
        <v>7.4514601661523691E-13</v>
      </c>
      <c r="BG179" s="22">
        <f t="shared" si="168"/>
        <v>1.3765621991510601E-12</v>
      </c>
      <c r="BH179" s="62">
        <f t="shared" si="116"/>
        <v>293.33333333333468</v>
      </c>
      <c r="BI179" s="62">
        <f ca="1">AVERAGE(OFFSET($BH$3,0,0,'Données projet'!$E$11+1,1))-AVERAGE(OFFSET($H$3,0,0,'Données projet'!$E$11+1,1))</f>
        <v>359.18294335011535</v>
      </c>
      <c r="BJ179" s="62">
        <f t="shared" si="146"/>
        <v>345.47508134331241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22.405619095081825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22.405619095081825</v>
      </c>
      <c r="BT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5.6843418860808015E-14</v>
      </c>
      <c r="BZ179" s="14">
        <f>BY179*VLOOKUP('Données projet'!$B$12,Paramètres!$A$1:$I$89,3,0)*VLOOKUP('Données projet'!$B$12,Paramètres!$A$1:$I$89,5,0)</f>
        <v>4.1677594708744434E-14</v>
      </c>
      <c r="CA179" s="14">
        <f t="shared" si="170"/>
        <v>6.9326303456159188E-13</v>
      </c>
      <c r="CB179" s="22">
        <f t="shared" si="171"/>
        <v>1.2800215959791691E-12</v>
      </c>
      <c r="CC179" s="62">
        <f t="shared" si="119"/>
        <v>293.33333333333462</v>
      </c>
      <c r="CD179" s="62">
        <f ca="1">AVERAGE(OFFSET($CC$3,0,0,'Données projet'!$E$12+1,1))-AVERAGE(OFFSET($H$3,0,0,'Données projet'!$E$12+1,1))</f>
        <v>333.9187211440219</v>
      </c>
      <c r="CE179" s="62">
        <f t="shared" si="148"/>
        <v>321.81422611044997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16.752407025956476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16.752407025956476</v>
      </c>
      <c r="CO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5.6843418860808015E-14</v>
      </c>
      <c r="CU179" s="18">
        <f>CT179*VLOOKUP('Données projet'!$B$13,Paramètres!$A$1:$I$89,3,0)*VLOOKUP('Données projet'!$B$13,Paramètres!$A$1:$I$89,5,0)</f>
        <v>4.6111381379887463E-14</v>
      </c>
      <c r="CV179" s="14">
        <f t="shared" si="173"/>
        <v>7.5804141040779151E-13</v>
      </c>
      <c r="CW179" s="22">
        <f t="shared" si="174"/>
        <v>1.4005661123635408E-12</v>
      </c>
      <c r="CX179" s="62">
        <f t="shared" si="122"/>
        <v>293.33333333333474</v>
      </c>
      <c r="CY179" s="62">
        <f ca="1">AVERAGE(OFFSET($CX$3,0,0,'Données projet'!$E$13+1,1))-AVERAGE(OFFSET($H$3,0,0,'Données projet'!$E$13+1,1))</f>
        <v>365.492319515595</v>
      </c>
      <c r="CZ179" s="62">
        <f t="shared" si="150"/>
        <v>351.38386928091433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18.534577986164607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18.534577986164607</v>
      </c>
      <c r="DJ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5.3866666666666747</v>
      </c>
      <c r="DO179" s="13">
        <f>IF('Données projet'!$A$166&gt;35,DO178+DN179-DW178,IF(A179&lt;'Données projet'!$A$166,$DL$205^A179,IF(A179='Données projet'!$A$166,'Données projet'!$B$166,DO178+DN179-DW178)))</f>
        <v>341.65333333333388</v>
      </c>
      <c r="DP179" s="18">
        <f>DO179*VLOOKUP('Données projet'!$B$14,Paramètres!$A$1:$I$89,3,0)*VLOOKUP('Données projet'!$B$14,Paramètres!$A$1:$I$89,5,0)</f>
        <v>287.8087680000005</v>
      </c>
      <c r="DQ179" s="14">
        <f t="shared" si="176"/>
        <v>68.614574948710342</v>
      </c>
      <c r="DR179" s="22">
        <f t="shared" si="177"/>
        <v>620.77065563567135</v>
      </c>
      <c r="DS179" s="62">
        <f t="shared" si="125"/>
        <v>914.1039889690046</v>
      </c>
      <c r="DT179" s="62">
        <f ca="1">AVERAGE(OFFSET($DS$3,0,0,'Données projet'!$E$14+1,1))-AVERAGE(OFFSET($H$3,0,0,'Données projet'!$E$14+1,1))</f>
        <v>544.89250424794909</v>
      </c>
      <c r="DU179" s="62">
        <f t="shared" si="152"/>
        <v>253.98688498110715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124.85406465931469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124.85406465931469</v>
      </c>
      <c r="EE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5.3866666666666747</v>
      </c>
      <c r="EJ179" s="13">
        <f>IF('Données projet'!$A$192&gt;35,EJ178+EI179-ER178,IF(A179&lt;'Données projet'!$A$192,$EG$205^A179,IF(A179='Données projet'!$A$192,'Données projet'!$B$192,EJ178+EI179-ER178)))</f>
        <v>341.65333333333388</v>
      </c>
      <c r="EK179" s="18">
        <f>EJ179*VLOOKUP('Données projet'!$B$15,Paramètres!$A$1:$I$89,3,0)*VLOOKUP('Données projet'!$B$15,Paramètres!$A$1:$I$89,5,0)</f>
        <v>309.12793600000049</v>
      </c>
      <c r="EL179" s="14">
        <f t="shared" si="179"/>
        <v>73.086678650713282</v>
      </c>
      <c r="EM179" s="22">
        <f t="shared" si="180"/>
        <v>665.6904538499931</v>
      </c>
      <c r="EN179" s="62">
        <f t="shared" si="128"/>
        <v>959.02378718332648</v>
      </c>
      <c r="EO179" s="62">
        <f ca="1">AVERAGE(OFFSET($EN$3,0,0,'Données projet'!$E$15+1,1))-AVERAGE(OFFSET($H$3,0,0,'Données projet'!$E$15+1,1))</f>
        <v>581.88778927327667</v>
      </c>
      <c r="EP179" s="62">
        <f t="shared" si="154"/>
        <v>269.67340993773422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134.10251389333797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134.10251389333797</v>
      </c>
      <c r="EZ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5.3866666666666747</v>
      </c>
      <c r="FE179" s="13">
        <f>IF('Données projet'!$A$218&gt;35,FE178+FD179-FM178,IF(A179&lt;'Données projet'!$A$218,$FB$205^A179,IF(A179='Données projet'!$A$218,'Données projet'!$B$218,FE178+FD179-FM178)))</f>
        <v>341.65333333333388</v>
      </c>
      <c r="FF179" s="18">
        <f>FE179*VLOOKUP('Données projet'!$B$16,Paramètres!$A$1:$I$89,3,0)*VLOOKUP('Données projet'!$B$16,Paramètres!$A$1:$I$89,5,0)</f>
        <v>346.43648000000053</v>
      </c>
      <c r="FG179" s="14">
        <f t="shared" si="182"/>
        <v>80.828309002667666</v>
      </c>
      <c r="FH179" s="22">
        <f t="shared" si="183"/>
        <v>744.15284084631367</v>
      </c>
      <c r="FI179" s="62">
        <f t="shared" si="131"/>
        <v>1037.4861741796469</v>
      </c>
      <c r="FJ179" s="62">
        <f ca="1">AVERAGE(OFFSET($FI$3,0,0,'Données projet'!$E$16+1,1))-AVERAGE(OFFSET($H$3,0,0,'Données projet'!$E$16+1,1))</f>
        <v>646.50767193970182</v>
      </c>
      <c r="FK179" s="62">
        <f t="shared" si="156"/>
        <v>297.06786598620607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150.28730005287881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150.28730005287881</v>
      </c>
      <c r="FU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5.3866666666666747</v>
      </c>
      <c r="FZ179" s="13">
        <f>IF('Données projet'!$A$244&gt;35,FZ178+FY179-GH178,IF(A179&lt;'Données projet'!$A$244,$FW$205^A179,IF(A179='Données projet'!$A$244,'Données projet'!$B$244,FZ178+FY179-GH178)))</f>
        <v>341.65333333333388</v>
      </c>
      <c r="GA179" s="18">
        <f>FZ179*VLOOKUP('Données projet'!$B$17,Paramètres!$A$1:$I$89,3,0)*VLOOKUP('Données projet'!$B$17,Paramètres!$A$1:$I$89,5,0)</f>
        <v>229.18105600000035</v>
      </c>
      <c r="GB179" s="14">
        <f t="shared" si="185"/>
        <v>56.105569947770974</v>
      </c>
      <c r="GC179" s="22">
        <f t="shared" si="186"/>
        <v>496.87420685903498</v>
      </c>
      <c r="GD179" s="62">
        <f t="shared" si="134"/>
        <v>790.20754019236824</v>
      </c>
      <c r="GE179" s="62">
        <f ca="1">AVERAGE(OFFSET($GD$3,0,0,'Données projet'!$E$17+1,1))-AVERAGE(OFFSET($H$3,0,0,'Données projet'!$E$17+1,1))</f>
        <v>442.85175349826028</v>
      </c>
      <c r="GF179" s="62">
        <f t="shared" si="158"/>
        <v>210.70697808232501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122.54195235080884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122.54195235080884</v>
      </c>
      <c r="GP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-3.4106051316484809E-13</v>
      </c>
      <c r="GV179" s="18">
        <f>GU179*VLOOKUP('Données projet'!$B$18,Paramètres!$A$1:$I$89,3,0)*VLOOKUP('Données projet'!$B$18,Paramètres!$A$1:$I$89,5,0)</f>
        <v>-3.2455318432766944E-13</v>
      </c>
      <c r="GW179" s="14" t="e">
        <f t="shared" si="188"/>
        <v>#NUM!</v>
      </c>
      <c r="GX179" s="22" t="e">
        <f t="shared" si="189"/>
        <v>#NUM!</v>
      </c>
      <c r="GY179" s="62" t="e">
        <f t="shared" si="137"/>
        <v>#NUM!</v>
      </c>
      <c r="GZ179" s="62">
        <f ca="1">AVERAGE(OFFSET($GY$3,0,0,'Données projet'!$E$18+1,1))-AVERAGE(OFFSET($H$3,0,0,'Données projet'!$E$18+1,1))</f>
        <v>420.2510366318939</v>
      </c>
      <c r="HA179" s="62">
        <f t="shared" si="160"/>
        <v>220.59884411514116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58.690458254677282</v>
      </c>
      <c r="HH179" s="23">
        <f>EXP(-LN(2)/25)*HH178+(1-EXP(-LN(2)/25))/(LN(2)/25)*Calculateur!HC179*Calculateur!HE179*VLOOKUP('Données projet'!$B$18,Paramètres!$A$1:$I$89,3,0)*0.475*44/12</f>
        <v>0</v>
      </c>
      <c r="HI179" s="23">
        <f>EXP(-LN(2)/2)*HI178+(1-EXP(-LN(2)/2))/(LN(2)/2)*HC179*HF179*VLOOKUP('Données projet'!$B$18,Paramètres!$A$1:$I$89,3,0)*0.475*44/12</f>
        <v>0</v>
      </c>
      <c r="HJ179" s="24">
        <f t="shared" si="190"/>
        <v>58.690458254677282</v>
      </c>
    </row>
    <row r="180" spans="1:218" x14ac:dyDescent="0.2">
      <c r="A180" s="11">
        <f t="shared" si="161"/>
        <v>177</v>
      </c>
      <c r="B180" s="74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-4.5474735088646412E-13</v>
      </c>
      <c r="O180" s="14">
        <f>N180*VLOOKUP('Données projet'!$B$9,Paramètres!$A$1:$I$89,3,0)*VLOOKUP('Données projet'!$B$9,Paramètres!$A$1:$I$89,5,0)</f>
        <v>-3.9017322706058626E-13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623.31285537237943</v>
      </c>
      <c r="T180" s="62">
        <f t="shared" si="142"/>
        <v>462.33909258902241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61.23148584747927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61.23148584747927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4.9658410716801891E-14</v>
      </c>
      <c r="AK180" s="14">
        <f t="shared" si="164"/>
        <v>8.0934058173791862E-13</v>
      </c>
      <c r="AL180" s="22">
        <f t="shared" si="165"/>
        <v>1.4960899118586383E-12</v>
      </c>
      <c r="AM180" s="62">
        <f t="shared" si="113"/>
        <v>293.33333333333479</v>
      </c>
      <c r="AN180" s="62">
        <f ca="1">AVERAGE(OFFSET($AM$3,0,0,'Données projet'!$E$10+1,1))-AVERAGE(OFFSET($H$3,0,0,'Données projet'!$E$10+1,1))</f>
        <v>390.70479111593545</v>
      </c>
      <c r="AO180" s="62">
        <f t="shared" si="144"/>
        <v>374.99493809709708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24.11981333253939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24.11981333253939</v>
      </c>
      <c r="AY180" s="7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5.6843418860808015E-14</v>
      </c>
      <c r="BE180" s="14">
        <f>BD180*VLOOKUP('Données projet'!$B$11,Paramètres!$A$1:$I$89,3,0)*VLOOKUP('Données projet'!$B$11,Paramètres!$A$1:$I$89,5,0)</f>
        <v>4.5224624045658861E-14</v>
      </c>
      <c r="BF180" s="14">
        <f t="shared" si="167"/>
        <v>7.4514601661523691E-13</v>
      </c>
      <c r="BG180" s="22">
        <f t="shared" si="168"/>
        <v>1.3765621991510601E-12</v>
      </c>
      <c r="BH180" s="62">
        <f t="shared" si="116"/>
        <v>293.33333333333468</v>
      </c>
      <c r="BI180" s="62">
        <f ca="1">AVERAGE(OFFSET($BH$3,0,0,'Données projet'!$E$11+1,1))-AVERAGE(OFFSET($H$3,0,0,'Données projet'!$E$11+1,1))</f>
        <v>359.18294335011535</v>
      </c>
      <c r="BJ180" s="62">
        <f t="shared" si="146"/>
        <v>345.47508134331241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21.966258570705506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21.966258570705506</v>
      </c>
      <c r="BT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5.6843418860808015E-14</v>
      </c>
      <c r="BZ180" s="14">
        <f>BY180*VLOOKUP('Données projet'!$B$12,Paramètres!$A$1:$I$89,3,0)*VLOOKUP('Données projet'!$B$12,Paramètres!$A$1:$I$89,5,0)</f>
        <v>4.1677594708744434E-14</v>
      </c>
      <c r="CA180" s="14">
        <f t="shared" si="170"/>
        <v>6.9326303456159188E-13</v>
      </c>
      <c r="CB180" s="22">
        <f t="shared" si="171"/>
        <v>1.2800215959791691E-12</v>
      </c>
      <c r="CC180" s="62">
        <f t="shared" si="119"/>
        <v>293.33333333333462</v>
      </c>
      <c r="CD180" s="62">
        <f ca="1">AVERAGE(OFFSET($CC$3,0,0,'Données projet'!$E$12+1,1))-AVERAGE(OFFSET($H$3,0,0,'Données projet'!$E$12+1,1))</f>
        <v>333.9187211440219</v>
      </c>
      <c r="CE180" s="62">
        <f t="shared" si="148"/>
        <v>321.81422611044997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16.423902542136815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16.423902542136815</v>
      </c>
      <c r="CO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5.6843418860808015E-14</v>
      </c>
      <c r="CU180" s="18">
        <f>CT180*VLOOKUP('Données projet'!$B$13,Paramètres!$A$1:$I$89,3,0)*VLOOKUP('Données projet'!$B$13,Paramètres!$A$1:$I$89,5,0)</f>
        <v>4.6111381379887463E-14</v>
      </c>
      <c r="CV180" s="14">
        <f t="shared" si="173"/>
        <v>7.5804141040779151E-13</v>
      </c>
      <c r="CW180" s="22">
        <f t="shared" si="174"/>
        <v>1.4005661123635408E-12</v>
      </c>
      <c r="CX180" s="62">
        <f t="shared" si="122"/>
        <v>293.33333333333474</v>
      </c>
      <c r="CY180" s="62">
        <f ca="1">AVERAGE(OFFSET($CX$3,0,0,'Données projet'!$E$13+1,1))-AVERAGE(OFFSET($H$3,0,0,'Données projet'!$E$13+1,1))</f>
        <v>365.492319515595</v>
      </c>
      <c r="CZ180" s="62">
        <f t="shared" si="150"/>
        <v>351.38386928091433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18.171126216832217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18.171126216832217</v>
      </c>
      <c r="DJ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>
        <f>VLOOKUP(A180,'Données projet'!$A$165:$I$185,2,0)</f>
        <v>347.04</v>
      </c>
      <c r="DM180" s="13">
        <f>VLOOKUP(A180,'Données projet'!$A$165:$I$185,9,0)</f>
        <v>5.3866666666666747</v>
      </c>
      <c r="DN180" s="13">
        <f t="array" ref="DN180">INDEX(DM:DM,MIN(IF(ISNUMBER(DM180:DM376),ROW(DM180:DM376),"")))</f>
        <v>5.3866666666666747</v>
      </c>
      <c r="DO180" s="13">
        <f>IF('Données projet'!$A$166&gt;35,DO179+DN180-DW179,IF(A180&lt;'Données projet'!$A$166,$DL$205^A180,IF(A180='Données projet'!$A$166,'Données projet'!$B$166,DO179+DN180-DW179)))</f>
        <v>347.04000000000053</v>
      </c>
      <c r="DP180" s="18">
        <f>DO180*VLOOKUP('Données projet'!$B$14,Paramètres!$A$1:$I$89,3,0)*VLOOKUP('Données projet'!$B$14,Paramètres!$A$1:$I$89,5,0)</f>
        <v>292.34649600000046</v>
      </c>
      <c r="DQ180" s="14">
        <f t="shared" si="176"/>
        <v>69.569589853694978</v>
      </c>
      <c r="DR180" s="22">
        <f t="shared" si="177"/>
        <v>630.33718286185297</v>
      </c>
      <c r="DS180" s="62">
        <f t="shared" si="125"/>
        <v>923.67051619518634</v>
      </c>
      <c r="DT180" s="62">
        <f ca="1">AVERAGE(OFFSET($DS$3,0,0,'Données projet'!$E$14+1,1))-AVERAGE(OFFSET($H$3,0,0,'Données projet'!$E$14+1,1))</f>
        <v>544.89250424794909</v>
      </c>
      <c r="DU180" s="62">
        <f t="shared" si="152"/>
        <v>253.98688498110715</v>
      </c>
      <c r="DV180" s="16">
        <f>IF(ISNA(VLOOKUP(A180,'Données projet'!$A$165:$I$185,3,0)),0,VLOOKUP(A180,'Données projet'!$A$165:$I$185,3,0))</f>
        <v>16</v>
      </c>
      <c r="DW180" s="16">
        <f>IF(ISNA(VLOOKUP(A180,'Données projet'!$A$165:$I$185,4,0)),0,VLOOKUP(A180,'Données projet'!$A$165:$I$185,4,0))</f>
        <v>115.19</v>
      </c>
      <c r="DX180" s="17">
        <f>IF(ISNA(VLOOKUP(A180,'Données projet'!$A$165:$I$185,5,0)),0%,VLOOKUP(A180,'Données projet'!$A$165:$I$185,5,0)*VLOOKUP('Données projet'!$B$14,Paramètres!$A$1:$I$89,7,0))</f>
        <v>0.34400000000000003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159.30679967002246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159.30679967002246</v>
      </c>
      <c r="EE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>
        <f>VLOOKUP(A180,'Données projet'!$A$191:$I$211,2,0)</f>
        <v>347.04</v>
      </c>
      <c r="EH180" s="13">
        <f>VLOOKUP(A180,'Données projet'!$A$191:$I$211,9,0)</f>
        <v>5.3866666666666747</v>
      </c>
      <c r="EI180" s="13">
        <f t="array" ref="EI180">INDEX(EH:EH,MIN(IF(ISNUMBER(EH180:EH376),ROW(EH180:EH376),"")))</f>
        <v>5.3866666666666747</v>
      </c>
      <c r="EJ180" s="13">
        <f>IF('Données projet'!$A$192&gt;35,EJ179+EI180-ER179,IF(A180&lt;'Données projet'!$A$192,$EG$205^A180,IF(A180='Données projet'!$A$192,'Données projet'!$B$192,EJ179+EI180-ER179)))</f>
        <v>347.04000000000053</v>
      </c>
      <c r="EK180" s="18">
        <f>EJ180*VLOOKUP('Données projet'!$B$15,Paramètres!$A$1:$I$89,3,0)*VLOOKUP('Données projet'!$B$15,Paramètres!$A$1:$I$89,5,0)</f>
        <v>314.00179200000048</v>
      </c>
      <c r="EL180" s="14">
        <f t="shared" si="179"/>
        <v>74.103938722927282</v>
      </c>
      <c r="EM180" s="22">
        <f t="shared" si="180"/>
        <v>675.95081434243241</v>
      </c>
      <c r="EN180" s="62">
        <f t="shared" si="128"/>
        <v>969.28414767576578</v>
      </c>
      <c r="EO180" s="62">
        <f ca="1">AVERAGE(OFFSET($EN$3,0,0,'Données projet'!$E$15+1,1))-AVERAGE(OFFSET($H$3,0,0,'Données projet'!$E$15+1,1))</f>
        <v>581.88778927327667</v>
      </c>
      <c r="EP180" s="62">
        <f t="shared" si="154"/>
        <v>269.67340993773422</v>
      </c>
      <c r="EQ180" s="16">
        <f>IF(ISNA(VLOOKUP(A180,'Données projet'!$A$191:$I$211,3,0)),0,VLOOKUP(A180,'Données projet'!$A$191:$I$211,3,0))</f>
        <v>16</v>
      </c>
      <c r="ER180" s="16">
        <f>IF(ISNA(VLOOKUP(A180,'Données projet'!$A$191:$I$211,4,0)),0,VLOOKUP(A180,'Données projet'!$A$191:$I$211,4,0))</f>
        <v>115.19</v>
      </c>
      <c r="ES180" s="17">
        <f>IF(ISNA(VLOOKUP(A180,'Données projet'!$A$191:$I$211,5,0)),0%,VLOOKUP(A180,'Données projet'!$A$191:$I$211,5,0)*VLOOKUP('Données projet'!$B$15,Paramètres!$A$1:$I$89,7,0))</f>
        <v>0.34400000000000003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171.10730334928334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171.10730334928334</v>
      </c>
      <c r="EZ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>
        <f>VLOOKUP(A180,'Données projet'!$A$217:$I$237,2,0)</f>
        <v>347.04</v>
      </c>
      <c r="FC180" s="13">
        <f>VLOOKUP(A180,'Données projet'!$A$217:$I$237,9,0)</f>
        <v>5.3866666666666747</v>
      </c>
      <c r="FD180" s="13">
        <f t="array" ref="FD180">INDEX(FC:FC,MIN(IF(ISNUMBER(FC180:FC376),ROW(FC180:FC376),"")))</f>
        <v>5.3866666666666747</v>
      </c>
      <c r="FE180" s="13">
        <f>IF('Données projet'!$A$218&gt;35,FE179+FD180-FM179,IF(A180&lt;'Données projet'!$A$218,$FB$205^A180,IF(A180='Données projet'!$A$218,'Données projet'!$B$218,FE179+FD180-FM179)))</f>
        <v>347.04000000000053</v>
      </c>
      <c r="FF180" s="18">
        <f>FE180*VLOOKUP('Données projet'!$B$16,Paramètres!$A$1:$I$89,3,0)*VLOOKUP('Données projet'!$B$16,Paramètres!$A$1:$I$89,5,0)</f>
        <v>351.8985600000006</v>
      </c>
      <c r="FG180" s="14">
        <f t="shared" si="182"/>
        <v>81.953321289050805</v>
      </c>
      <c r="FH180" s="22">
        <f t="shared" si="183"/>
        <v>755.62535991176446</v>
      </c>
      <c r="FI180" s="62">
        <f t="shared" si="131"/>
        <v>1048.9586932450977</v>
      </c>
      <c r="FJ180" s="62">
        <f ca="1">AVERAGE(OFFSET($FI$3,0,0,'Données projet'!$E$16+1,1))-AVERAGE(OFFSET($H$3,0,0,'Données projet'!$E$16+1,1))</f>
        <v>646.50767193970182</v>
      </c>
      <c r="FK180" s="62">
        <f t="shared" si="156"/>
        <v>297.06786598620607</v>
      </c>
      <c r="FL180" s="16">
        <f>IF(ISNA(VLOOKUP(A180,'Données projet'!$A$217:$I$237,3,0)),0,VLOOKUP(A180,'Données projet'!$A$217:$I$237,3,0))</f>
        <v>16</v>
      </c>
      <c r="FM180" s="16">
        <f>IF(ISNA(VLOOKUP(A180,'Données projet'!$A$217:$I$237,4,0)),0,VLOOKUP(A180,'Données projet'!$A$217:$I$237,4,0))</f>
        <v>115.19</v>
      </c>
      <c r="FN180" s="17">
        <f>IF(ISNA(VLOOKUP(A180,'Données projet'!$A$217:$I$237,5,0)),0%,VLOOKUP(A180,'Données projet'!$A$217:$I$237,5,0)*VLOOKUP('Données projet'!$B$16,Paramètres!$A$1:$I$89,7,0))</f>
        <v>0.34400000000000003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191.75818478798999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191.75818478798999</v>
      </c>
      <c r="FU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>
        <f>VLOOKUP(A180,'Données projet'!$A$243:$I$263,2,0)</f>
        <v>347.04</v>
      </c>
      <c r="FX180" s="13">
        <f>VLOOKUP(A180,'Données projet'!$A$243:$I$263,9,0)</f>
        <v>5.3866666666666747</v>
      </c>
      <c r="FY180" s="13">
        <f t="array" ref="FY180">INDEX(FX:FX,MIN(IF(ISNUMBER(FX180:FX376),ROW(FX180:FX376),"")))</f>
        <v>5.3866666666666747</v>
      </c>
      <c r="FZ180" s="13">
        <f>IF('Données projet'!$A$244&gt;35,FZ179+FY180-GH179,IF(A180&lt;'Données projet'!$A$244,$FW$205^A180,IF(A180='Données projet'!$A$244,'Données projet'!$B$244,FZ179+FY180-GH179)))</f>
        <v>347.04000000000053</v>
      </c>
      <c r="GA180" s="18">
        <f>FZ180*VLOOKUP('Données projet'!$B$17,Paramètres!$A$1:$I$89,3,0)*VLOOKUP('Données projet'!$B$17,Paramètres!$A$1:$I$89,5,0)</f>
        <v>232.79443200000037</v>
      </c>
      <c r="GB180" s="14">
        <f t="shared" si="185"/>
        <v>56.886477730014597</v>
      </c>
      <c r="GC180" s="22">
        <f t="shared" si="186"/>
        <v>504.52758444644269</v>
      </c>
      <c r="GD180" s="62">
        <f t="shared" si="134"/>
        <v>797.86091777977595</v>
      </c>
      <c r="GE180" s="62">
        <f ca="1">AVERAGE(OFFSET($GD$3,0,0,'Données projet'!$E$17+1,1))-AVERAGE(OFFSET($H$3,0,0,'Données projet'!$E$17+1,1))</f>
        <v>442.85175349826028</v>
      </c>
      <c r="GF180" s="62">
        <f t="shared" si="158"/>
        <v>210.70697808232501</v>
      </c>
      <c r="GG180" s="16">
        <f>IF(ISNA(VLOOKUP(A180,'Données projet'!$A$243:$I$263,3,0)),0,VLOOKUP(A180,'Données projet'!$A$243:$I$263,3,0))</f>
        <v>16</v>
      </c>
      <c r="GH180" s="16">
        <f>IF(ISNA(VLOOKUP(A180,'Données projet'!$A$243:$I$263,4,0)),0,VLOOKUP(A180,'Données projet'!$A$243:$I$263,4,0))</f>
        <v>115.19</v>
      </c>
      <c r="GI180" s="17">
        <f>IF(ISNA(VLOOKUP(A180,'Données projet'!$A$243:$I$263,5,0)),0%,VLOOKUP(A180,'Données projet'!$A$243:$I$263,5,0)*VLOOKUP('Données projet'!$B$17,Paramètres!$A$1:$I$89,7,0))</f>
        <v>0.42400000000000004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156.35667375020722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156.35667375020722</v>
      </c>
      <c r="GP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-3.4106051316484809E-13</v>
      </c>
      <c r="GV180" s="18">
        <f>GU180*VLOOKUP('Données projet'!$B$18,Paramètres!$A$1:$I$89,3,0)*VLOOKUP('Données projet'!$B$18,Paramètres!$A$1:$I$89,5,0)</f>
        <v>-3.2455318432766944E-13</v>
      </c>
      <c r="GW180" s="14" t="e">
        <f t="shared" si="188"/>
        <v>#NUM!</v>
      </c>
      <c r="GX180" s="22" t="e">
        <f t="shared" si="189"/>
        <v>#NUM!</v>
      </c>
      <c r="GY180" s="62" t="e">
        <f t="shared" si="137"/>
        <v>#NUM!</v>
      </c>
      <c r="GZ180" s="62">
        <f ca="1">AVERAGE(OFFSET($GY$3,0,0,'Données projet'!$E$18+1,1))-AVERAGE(OFFSET($H$3,0,0,'Données projet'!$E$18+1,1))</f>
        <v>420.2510366318939</v>
      </c>
      <c r="HA180" s="62">
        <f t="shared" si="160"/>
        <v>220.59884411514116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57.539574165947869</v>
      </c>
      <c r="HH180" s="23">
        <f>EXP(-LN(2)/25)*HH179+(1-EXP(-LN(2)/25))/(LN(2)/25)*Calculateur!HC180*Calculateur!HE180*VLOOKUP('Données projet'!$B$18,Paramètres!$A$1:$I$89,3,0)*0.475*44/12</f>
        <v>0</v>
      </c>
      <c r="HI180" s="23">
        <f>EXP(-LN(2)/2)*HI179+(1-EXP(-LN(2)/2))/(LN(2)/2)*HC180*HF180*VLOOKUP('Données projet'!$B$18,Paramètres!$A$1:$I$89,3,0)*0.475*44/12</f>
        <v>0</v>
      </c>
      <c r="HJ180" s="24">
        <f t="shared" si="190"/>
        <v>57.539574165947869</v>
      </c>
    </row>
    <row r="181" spans="1:218" x14ac:dyDescent="0.2">
      <c r="A181" s="11">
        <f t="shared" si="161"/>
        <v>178</v>
      </c>
      <c r="B181" s="74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-4.5474735088646412E-13</v>
      </c>
      <c r="O181" s="14">
        <f>N181*VLOOKUP('Données projet'!$B$9,Paramètres!$A$1:$I$89,3,0)*VLOOKUP('Données projet'!$B$9,Paramètres!$A$1:$I$89,5,0)</f>
        <v>-3.9017322706058626E-13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623.31285537237943</v>
      </c>
      <c r="T181" s="62">
        <f t="shared" si="142"/>
        <v>462.33909258902241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60.030773757528806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60.030773757528806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4.9658410716801891E-14</v>
      </c>
      <c r="AK181" s="14">
        <f t="shared" si="164"/>
        <v>8.0934058173791862E-13</v>
      </c>
      <c r="AL181" s="22">
        <f t="shared" si="165"/>
        <v>1.4960899118586383E-12</v>
      </c>
      <c r="AM181" s="62">
        <f t="shared" si="113"/>
        <v>293.33333333333479</v>
      </c>
      <c r="AN181" s="62">
        <f ca="1">AVERAGE(OFFSET($AM$3,0,0,'Données projet'!$E$10+1,1))-AVERAGE(OFFSET($H$3,0,0,'Données projet'!$E$10+1,1))</f>
        <v>390.70479111593545</v>
      </c>
      <c r="AO181" s="62">
        <f t="shared" si="144"/>
        <v>374.99493809709708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23.646838504721774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23.646838504721774</v>
      </c>
      <c r="AY181" s="7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5.6843418860808015E-14</v>
      </c>
      <c r="BE181" s="14">
        <f>BD181*VLOOKUP('Données projet'!$B$11,Paramètres!$A$1:$I$89,3,0)*VLOOKUP('Données projet'!$B$11,Paramètres!$A$1:$I$89,5,0)</f>
        <v>4.5224624045658861E-14</v>
      </c>
      <c r="BF181" s="14">
        <f t="shared" si="167"/>
        <v>7.4514601661523691E-13</v>
      </c>
      <c r="BG181" s="22">
        <f t="shared" si="168"/>
        <v>1.3765621991510601E-12</v>
      </c>
      <c r="BH181" s="62">
        <f t="shared" si="116"/>
        <v>293.33333333333468</v>
      </c>
      <c r="BI181" s="62">
        <f ca="1">AVERAGE(OFFSET($BH$3,0,0,'Données projet'!$E$11+1,1))-AVERAGE(OFFSET($H$3,0,0,'Données projet'!$E$11+1,1))</f>
        <v>359.18294335011535</v>
      </c>
      <c r="BJ181" s="62">
        <f t="shared" si="146"/>
        <v>345.47508134331241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21.535513638228746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21.535513638228746</v>
      </c>
      <c r="BT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5.6843418860808015E-14</v>
      </c>
      <c r="BZ181" s="14">
        <f>BY181*VLOOKUP('Données projet'!$B$12,Paramètres!$A$1:$I$89,3,0)*VLOOKUP('Données projet'!$B$12,Paramètres!$A$1:$I$89,5,0)</f>
        <v>4.1677594708744434E-14</v>
      </c>
      <c r="CA181" s="14">
        <f t="shared" si="170"/>
        <v>6.9326303456159188E-13</v>
      </c>
      <c r="CB181" s="22">
        <f t="shared" si="171"/>
        <v>1.2800215959791691E-12</v>
      </c>
      <c r="CC181" s="62">
        <f t="shared" si="119"/>
        <v>293.33333333333462</v>
      </c>
      <c r="CD181" s="62">
        <f ca="1">AVERAGE(OFFSET($CC$3,0,0,'Données projet'!$E$12+1,1))-AVERAGE(OFFSET($H$3,0,0,'Données projet'!$E$12+1,1))</f>
        <v>333.9187211440219</v>
      </c>
      <c r="CE181" s="62">
        <f t="shared" si="148"/>
        <v>321.81422611044997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16.101839830876909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16.101839830876909</v>
      </c>
      <c r="CO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5.6843418860808015E-14</v>
      </c>
      <c r="CU181" s="18">
        <f>CT181*VLOOKUP('Données projet'!$B$13,Paramètres!$A$1:$I$89,3,0)*VLOOKUP('Données projet'!$B$13,Paramètres!$A$1:$I$89,5,0)</f>
        <v>4.6111381379887463E-14</v>
      </c>
      <c r="CV181" s="14">
        <f t="shared" si="173"/>
        <v>7.5804141040779151E-13</v>
      </c>
      <c r="CW181" s="22">
        <f t="shared" si="174"/>
        <v>1.4005661123635408E-12</v>
      </c>
      <c r="CX181" s="62">
        <f t="shared" si="122"/>
        <v>293.33333333333474</v>
      </c>
      <c r="CY181" s="62">
        <f ca="1">AVERAGE(OFFSET($CX$3,0,0,'Données projet'!$E$13+1,1))-AVERAGE(OFFSET($H$3,0,0,'Données projet'!$E$13+1,1))</f>
        <v>365.492319515595</v>
      </c>
      <c r="CZ181" s="62">
        <f t="shared" si="150"/>
        <v>351.38386928091433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17.814801515012746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17.814801515012746</v>
      </c>
      <c r="DJ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3.2566666666666606</v>
      </c>
      <c r="DO181" s="13">
        <f>IF('Données projet'!$A$166&gt;35,DO180+DN181-DW180,IF(A181&lt;'Données projet'!$A$166,$DL$205^A181,IF(A181='Données projet'!$A$166,'Données projet'!$B$166,DO180+DN181-DW180)))</f>
        <v>235.10666666666719</v>
      </c>
      <c r="DP181" s="18">
        <f>DO181*VLOOKUP('Données projet'!$B$14,Paramètres!$A$1:$I$89,3,0)*VLOOKUP('Données projet'!$B$14,Paramètres!$A$1:$I$89,5,0)</f>
        <v>198.05385600000048</v>
      </c>
      <c r="DQ181" s="14">
        <f t="shared" si="176"/>
        <v>49.316221075995351</v>
      </c>
      <c r="DR181" s="22">
        <f t="shared" si="177"/>
        <v>430.83621757402602</v>
      </c>
      <c r="DS181" s="62">
        <f t="shared" si="125"/>
        <v>724.16955090735928</v>
      </c>
      <c r="DT181" s="62">
        <f ca="1">AVERAGE(OFFSET($DS$3,0,0,'Données projet'!$E$14+1,1))-AVERAGE(OFFSET($H$3,0,0,'Données projet'!$E$14+1,1))</f>
        <v>544.89250424794909</v>
      </c>
      <c r="DU181" s="62">
        <f t="shared" si="152"/>
        <v>253.98688498110715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156.18289049604661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156.18289049604661</v>
      </c>
      <c r="EE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3.2566666666666606</v>
      </c>
      <c r="EJ181" s="13">
        <f>IF('Données projet'!$A$192&gt;35,EJ180+EI181-ER180,IF(A181&lt;'Données projet'!$A$192,$EG$205^A181,IF(A181='Données projet'!$A$192,'Données projet'!$B$192,EJ180+EI181-ER180)))</f>
        <v>235.10666666666719</v>
      </c>
      <c r="EK181" s="18">
        <f>EJ181*VLOOKUP('Données projet'!$B$15,Paramètres!$A$1:$I$89,3,0)*VLOOKUP('Données projet'!$B$15,Paramètres!$A$1:$I$89,5,0)</f>
        <v>212.72451200000049</v>
      </c>
      <c r="EL181" s="14">
        <f t="shared" si="179"/>
        <v>52.530512718953382</v>
      </c>
      <c r="EM181" s="22">
        <f t="shared" si="180"/>
        <v>461.98583471884461</v>
      </c>
      <c r="EN181" s="62">
        <f t="shared" si="128"/>
        <v>755.31916805217793</v>
      </c>
      <c r="EO181" s="62">
        <f ca="1">AVERAGE(OFFSET($EN$3,0,0,'Données projet'!$E$15+1,1))-AVERAGE(OFFSET($H$3,0,0,'Données projet'!$E$15+1,1))</f>
        <v>581.88778927327667</v>
      </c>
      <c r="EP181" s="62">
        <f t="shared" si="154"/>
        <v>269.67340993773422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167.75199349575374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167.75199349575374</v>
      </c>
      <c r="EZ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3.2566666666666606</v>
      </c>
      <c r="FE181" s="13">
        <f>IF('Données projet'!$A$218&gt;35,FE180+FD181-FM180,IF(A181&lt;'Données projet'!$A$218,$FB$205^A181,IF(A181='Données projet'!$A$218,'Données projet'!$B$218,FE180+FD181-FM180)))</f>
        <v>235.10666666666719</v>
      </c>
      <c r="FF181" s="18">
        <f>FE181*VLOOKUP('Données projet'!$B$16,Paramètres!$A$1:$I$89,3,0)*VLOOKUP('Données projet'!$B$16,Paramètres!$A$1:$I$89,5,0)</f>
        <v>238.39816000000053</v>
      </c>
      <c r="FG181" s="14">
        <f t="shared" si="182"/>
        <v>58.09475259380514</v>
      </c>
      <c r="FH181" s="22">
        <f t="shared" si="183"/>
        <v>516.39182276754491</v>
      </c>
      <c r="FI181" s="62">
        <f t="shared" si="131"/>
        <v>809.72515610087817</v>
      </c>
      <c r="FJ181" s="62">
        <f ca="1">AVERAGE(OFFSET($FI$3,0,0,'Données projet'!$E$16+1,1))-AVERAGE(OFFSET($H$3,0,0,'Données projet'!$E$16+1,1))</f>
        <v>646.50767193970182</v>
      </c>
      <c r="FK181" s="62">
        <f t="shared" si="156"/>
        <v>297.06786598620607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187.99792374524128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187.99792374524128</v>
      </c>
      <c r="FU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3.2566666666666606</v>
      </c>
      <c r="FZ181" s="13">
        <f>IF('Données projet'!$A$244&gt;35,FZ180+FY181-GH180,IF(A181&lt;'Données projet'!$A$244,$FW$205^A181,IF(A181='Données projet'!$A$244,'Données projet'!$B$244,FZ180+FY181-GH180)))</f>
        <v>235.10666666666719</v>
      </c>
      <c r="GA181" s="18">
        <f>FZ181*VLOOKUP('Données projet'!$B$17,Paramètres!$A$1:$I$89,3,0)*VLOOKUP('Données projet'!$B$17,Paramètres!$A$1:$I$89,5,0)</f>
        <v>157.70955200000037</v>
      </c>
      <c r="GB181" s="14">
        <f t="shared" si="185"/>
        <v>40.325465736795366</v>
      </c>
      <c r="GC181" s="22">
        <f t="shared" si="186"/>
        <v>344.91098922491921</v>
      </c>
      <c r="GD181" s="62">
        <f t="shared" si="134"/>
        <v>638.24432255825252</v>
      </c>
      <c r="GE181" s="62">
        <f ca="1">AVERAGE(OFFSET($GD$3,0,0,'Données projet'!$E$17+1,1))-AVERAGE(OFFSET($H$3,0,0,'Données projet'!$E$17+1,1))</f>
        <v>442.85175349826028</v>
      </c>
      <c r="GF181" s="62">
        <f t="shared" si="158"/>
        <v>210.70697808232501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153.29061474611981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153.29061474611981</v>
      </c>
      <c r="GP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-3.4106051316484809E-13</v>
      </c>
      <c r="GV181" s="18">
        <f>GU181*VLOOKUP('Données projet'!$B$18,Paramètres!$A$1:$I$89,3,0)*VLOOKUP('Données projet'!$B$18,Paramètres!$A$1:$I$89,5,0)</f>
        <v>-3.2455318432766944E-13</v>
      </c>
      <c r="GW181" s="14" t="e">
        <f t="shared" si="188"/>
        <v>#NUM!</v>
      </c>
      <c r="GX181" s="22" t="e">
        <f t="shared" si="189"/>
        <v>#NUM!</v>
      </c>
      <c r="GY181" s="62" t="e">
        <f t="shared" si="137"/>
        <v>#NUM!</v>
      </c>
      <c r="GZ181" s="62">
        <f ca="1">AVERAGE(OFFSET($GY$3,0,0,'Données projet'!$E$18+1,1))-AVERAGE(OFFSET($H$3,0,0,'Données projet'!$E$18+1,1))</f>
        <v>420.2510366318939</v>
      </c>
      <c r="HA181" s="62">
        <f t="shared" si="160"/>
        <v>220.59884411514116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56.411258212228461</v>
      </c>
      <c r="HH181" s="23">
        <f>EXP(-LN(2)/25)*HH180+(1-EXP(-LN(2)/25))/(LN(2)/25)*Calculateur!HC181*Calculateur!HE181*VLOOKUP('Données projet'!$B$18,Paramètres!$A$1:$I$89,3,0)*0.475*44/12</f>
        <v>0</v>
      </c>
      <c r="HI181" s="23">
        <f>EXP(-LN(2)/2)*HI180+(1-EXP(-LN(2)/2))/(LN(2)/2)*HC181*HF181*VLOOKUP('Données projet'!$B$18,Paramètres!$A$1:$I$89,3,0)*0.475*44/12</f>
        <v>0</v>
      </c>
      <c r="HJ181" s="24">
        <f t="shared" si="190"/>
        <v>56.411258212228461</v>
      </c>
    </row>
    <row r="182" spans="1:218" x14ac:dyDescent="0.2">
      <c r="A182" s="11">
        <f t="shared" si="161"/>
        <v>179</v>
      </c>
      <c r="B182" s="74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-4.5474735088646412E-13</v>
      </c>
      <c r="O182" s="14">
        <f>N182*VLOOKUP('Données projet'!$B$9,Paramètres!$A$1:$I$89,3,0)*VLOOKUP('Données projet'!$B$9,Paramètres!$A$1:$I$89,5,0)</f>
        <v>-3.9017322706058626E-13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623.31285537237943</v>
      </c>
      <c r="T182" s="62">
        <f t="shared" si="142"/>
        <v>462.33909258902241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58.85360689930021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58.85360689930021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4.9658410716801891E-14</v>
      </c>
      <c r="AK182" s="14">
        <f t="shared" si="164"/>
        <v>8.0934058173791862E-13</v>
      </c>
      <c r="AL182" s="22">
        <f t="shared" si="165"/>
        <v>1.4960899118586383E-12</v>
      </c>
      <c r="AM182" s="62">
        <f t="shared" si="113"/>
        <v>293.33333333333479</v>
      </c>
      <c r="AN182" s="62">
        <f ca="1">AVERAGE(OFFSET($AM$3,0,0,'Données projet'!$E$10+1,1))-AVERAGE(OFFSET($H$3,0,0,'Données projet'!$E$10+1,1))</f>
        <v>390.70479111593545</v>
      </c>
      <c r="AO182" s="62">
        <f t="shared" si="144"/>
        <v>374.99493809709708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23.183138424791501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23.183138424791501</v>
      </c>
      <c r="AY182" s="7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5.6843418860808015E-14</v>
      </c>
      <c r="BE182" s="14">
        <f>BD182*VLOOKUP('Données projet'!$B$11,Paramètres!$A$1:$I$89,3,0)*VLOOKUP('Données projet'!$B$11,Paramètres!$A$1:$I$89,5,0)</f>
        <v>4.5224624045658861E-14</v>
      </c>
      <c r="BF182" s="14">
        <f t="shared" si="167"/>
        <v>7.4514601661523691E-13</v>
      </c>
      <c r="BG182" s="22">
        <f t="shared" si="168"/>
        <v>1.3765621991510601E-12</v>
      </c>
      <c r="BH182" s="62">
        <f t="shared" si="116"/>
        <v>293.33333333333468</v>
      </c>
      <c r="BI182" s="62">
        <f ca="1">AVERAGE(OFFSET($BH$3,0,0,'Données projet'!$E$11+1,1))-AVERAGE(OFFSET($H$3,0,0,'Données projet'!$E$11+1,1))</f>
        <v>359.18294335011535</v>
      </c>
      <c r="BJ182" s="62">
        <f t="shared" si="146"/>
        <v>345.47508134331241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21.113215351149389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21.113215351149389</v>
      </c>
      <c r="BT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5.6843418860808015E-14</v>
      </c>
      <c r="BZ182" s="14">
        <f>BY182*VLOOKUP('Données projet'!$B$12,Paramètres!$A$1:$I$89,3,0)*VLOOKUP('Données projet'!$B$12,Paramètres!$A$1:$I$89,5,0)</f>
        <v>4.1677594708744434E-14</v>
      </c>
      <c r="CA182" s="14">
        <f t="shared" si="170"/>
        <v>6.9326303456159188E-13</v>
      </c>
      <c r="CB182" s="22">
        <f t="shared" si="171"/>
        <v>1.2800215959791691E-12</v>
      </c>
      <c r="CC182" s="62">
        <f t="shared" si="119"/>
        <v>293.33333333333462</v>
      </c>
      <c r="CD182" s="62">
        <f ca="1">AVERAGE(OFFSET($CC$3,0,0,'Données projet'!$E$12+1,1))-AVERAGE(OFFSET($H$3,0,0,'Données projet'!$E$12+1,1))</f>
        <v>333.9187211440219</v>
      </c>
      <c r="CE182" s="62">
        <f t="shared" si="148"/>
        <v>321.81422611044997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15.78609257294595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15.78609257294595</v>
      </c>
      <c r="CO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5.6843418860808015E-14</v>
      </c>
      <c r="CU182" s="18">
        <f>CT182*VLOOKUP('Données projet'!$B$13,Paramètres!$A$1:$I$89,3,0)*VLOOKUP('Données projet'!$B$13,Paramètres!$A$1:$I$89,5,0)</f>
        <v>4.6111381379887463E-14</v>
      </c>
      <c r="CV182" s="14">
        <f t="shared" si="173"/>
        <v>7.5804141040779151E-13</v>
      </c>
      <c r="CW182" s="22">
        <f t="shared" si="174"/>
        <v>1.4005661123635408E-12</v>
      </c>
      <c r="CX182" s="62">
        <f t="shared" si="122"/>
        <v>293.33333333333474</v>
      </c>
      <c r="CY182" s="62">
        <f ca="1">AVERAGE(OFFSET($CX$3,0,0,'Données projet'!$E$13+1,1))-AVERAGE(OFFSET($H$3,0,0,'Données projet'!$E$13+1,1))</f>
        <v>365.492319515595</v>
      </c>
      <c r="CZ182" s="62">
        <f t="shared" si="150"/>
        <v>351.38386928091433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17.465464123259345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17.465464123259345</v>
      </c>
      <c r="DJ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3.2566666666666606</v>
      </c>
      <c r="DO182" s="13">
        <f>IF('Données projet'!$A$166&gt;35,DO181+DN182-DW181,IF(A182&lt;'Données projet'!$A$166,$DL$205^A182,IF(A182='Données projet'!$A$166,'Données projet'!$B$166,DO181+DN182-DW181)))</f>
        <v>238.36333333333386</v>
      </c>
      <c r="DP182" s="18">
        <f>DO182*VLOOKUP('Données projet'!$B$14,Paramètres!$A$1:$I$89,3,0)*VLOOKUP('Données projet'!$B$14,Paramètres!$A$1:$I$89,5,0)</f>
        <v>200.79727200000048</v>
      </c>
      <c r="DQ182" s="14">
        <f t="shared" si="176"/>
        <v>49.919343388888748</v>
      </c>
      <c r="DR182" s="22">
        <f t="shared" si="177"/>
        <v>436.66477180231544</v>
      </c>
      <c r="DS182" s="62">
        <f t="shared" si="125"/>
        <v>729.99810513564876</v>
      </c>
      <c r="DT182" s="62">
        <f ca="1">AVERAGE(OFFSET($DS$3,0,0,'Données projet'!$E$14+1,1))-AVERAGE(OFFSET($H$3,0,0,'Données projet'!$E$14+1,1))</f>
        <v>544.89250424794909</v>
      </c>
      <c r="DU182" s="62">
        <f t="shared" si="152"/>
        <v>253.98688498110715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153.12023927557598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153.12023927557598</v>
      </c>
      <c r="EE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3.2566666666666606</v>
      </c>
      <c r="EJ182" s="13">
        <f>IF('Données projet'!$A$192&gt;35,EJ181+EI182-ER181,IF(A182&lt;'Données projet'!$A$192,$EG$205^A182,IF(A182='Données projet'!$A$192,'Données projet'!$B$192,EJ181+EI182-ER181)))</f>
        <v>238.36333333333386</v>
      </c>
      <c r="EK182" s="18">
        <f>EJ182*VLOOKUP('Données projet'!$B$15,Paramètres!$A$1:$I$89,3,0)*VLOOKUP('Données projet'!$B$15,Paramètres!$A$1:$I$89,5,0)</f>
        <v>215.67114400000045</v>
      </c>
      <c r="EL182" s="14">
        <f t="shared" si="179"/>
        <v>53.172944836363733</v>
      </c>
      <c r="EM182" s="22">
        <f t="shared" si="180"/>
        <v>468.23678805666754</v>
      </c>
      <c r="EN182" s="62">
        <f t="shared" si="128"/>
        <v>761.57012139000085</v>
      </c>
      <c r="EO182" s="62">
        <f ca="1">AVERAGE(OFFSET($EN$3,0,0,'Données projet'!$E$15+1,1))-AVERAGE(OFFSET($H$3,0,0,'Données projet'!$E$15+1,1))</f>
        <v>581.88778927327667</v>
      </c>
      <c r="EP182" s="62">
        <f t="shared" si="154"/>
        <v>269.67340993773422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164.46247922191492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164.46247922191492</v>
      </c>
      <c r="EZ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3.2566666666666606</v>
      </c>
      <c r="FE182" s="13">
        <f>IF('Données projet'!$A$218&gt;35,FE181+FD182-FM181,IF(A182&lt;'Données projet'!$A$218,$FB$205^A182,IF(A182='Données projet'!$A$218,'Données projet'!$B$218,FE181+FD182-FM181)))</f>
        <v>238.36333333333386</v>
      </c>
      <c r="FF182" s="18">
        <f>FE182*VLOOKUP('Données projet'!$B$16,Paramètres!$A$1:$I$89,3,0)*VLOOKUP('Données projet'!$B$16,Paramètres!$A$1:$I$89,5,0)</f>
        <v>241.70042000000055</v>
      </c>
      <c r="FG182" s="14">
        <f t="shared" si="182"/>
        <v>58.805233664472574</v>
      </c>
      <c r="FH182" s="22">
        <f t="shared" si="183"/>
        <v>523.38068013229065</v>
      </c>
      <c r="FI182" s="62">
        <f t="shared" si="131"/>
        <v>816.71401346562402</v>
      </c>
      <c r="FJ182" s="62">
        <f ca="1">AVERAGE(OFFSET($FI$3,0,0,'Données projet'!$E$16+1,1))-AVERAGE(OFFSET($H$3,0,0,'Données projet'!$E$16+1,1))</f>
        <v>646.50767193970182</v>
      </c>
      <c r="FK182" s="62">
        <f t="shared" si="156"/>
        <v>297.06786598620607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184.31139912800811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184.31139912800811</v>
      </c>
      <c r="FU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3.2566666666666606</v>
      </c>
      <c r="FZ182" s="13">
        <f>IF('Données projet'!$A$244&gt;35,FZ181+FY182-GH181,IF(A182&lt;'Données projet'!$A$244,$FW$205^A182,IF(A182='Données projet'!$A$244,'Données projet'!$B$244,FZ181+FY182-GH181)))</f>
        <v>238.36333333333386</v>
      </c>
      <c r="GA182" s="18">
        <f>FZ182*VLOOKUP('Données projet'!$B$17,Paramètres!$A$1:$I$89,3,0)*VLOOKUP('Données projet'!$B$17,Paramètres!$A$1:$I$89,5,0)</f>
        <v>159.89412400000035</v>
      </c>
      <c r="GB182" s="14">
        <f t="shared" si="185"/>
        <v>40.818633859433973</v>
      </c>
      <c r="GC182" s="22">
        <f t="shared" si="186"/>
        <v>349.57471993851476</v>
      </c>
      <c r="GD182" s="62">
        <f t="shared" si="134"/>
        <v>642.90805327184808</v>
      </c>
      <c r="GE182" s="62">
        <f ca="1">AVERAGE(OFFSET($GD$3,0,0,'Données projet'!$E$17+1,1))-AVERAGE(OFFSET($H$3,0,0,'Données projet'!$E$17+1,1))</f>
        <v>442.85175349826028</v>
      </c>
      <c r="GF182" s="62">
        <f t="shared" si="158"/>
        <v>210.70697808232501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150.28467928899124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150.28467928899124</v>
      </c>
      <c r="GP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-3.4106051316484809E-13</v>
      </c>
      <c r="GV182" s="18">
        <f>GU182*VLOOKUP('Données projet'!$B$18,Paramètres!$A$1:$I$89,3,0)*VLOOKUP('Données projet'!$B$18,Paramètres!$A$1:$I$89,5,0)</f>
        <v>-3.2455318432766944E-13</v>
      </c>
      <c r="GW182" s="14" t="e">
        <f t="shared" si="188"/>
        <v>#NUM!</v>
      </c>
      <c r="GX182" s="22" t="e">
        <f t="shared" si="189"/>
        <v>#NUM!</v>
      </c>
      <c r="GY182" s="62" t="e">
        <f t="shared" si="137"/>
        <v>#NUM!</v>
      </c>
      <c r="GZ182" s="62">
        <f ca="1">AVERAGE(OFFSET($GY$3,0,0,'Données projet'!$E$18+1,1))-AVERAGE(OFFSET($H$3,0,0,'Données projet'!$E$18+1,1))</f>
        <v>420.2510366318939</v>
      </c>
      <c r="HA182" s="62">
        <f t="shared" si="160"/>
        <v>220.59884411514116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55.305067846156717</v>
      </c>
      <c r="HH182" s="23">
        <f>EXP(-LN(2)/25)*HH181+(1-EXP(-LN(2)/25))/(LN(2)/25)*Calculateur!HC182*Calculateur!HE182*VLOOKUP('Données projet'!$B$18,Paramètres!$A$1:$I$89,3,0)*0.475*44/12</f>
        <v>0</v>
      </c>
      <c r="HI182" s="23">
        <f>EXP(-LN(2)/2)*HI181+(1-EXP(-LN(2)/2))/(LN(2)/2)*HC182*HF182*VLOOKUP('Données projet'!$B$18,Paramètres!$A$1:$I$89,3,0)*0.475*44/12</f>
        <v>0</v>
      </c>
      <c r="HJ182" s="24">
        <f t="shared" si="190"/>
        <v>55.305067846156717</v>
      </c>
    </row>
    <row r="183" spans="1:218" x14ac:dyDescent="0.2">
      <c r="A183" s="11">
        <f t="shared" si="161"/>
        <v>180</v>
      </c>
      <c r="B183" s="74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-4.5474735088646412E-13</v>
      </c>
      <c r="O183" s="14">
        <f>N183*VLOOKUP('Données projet'!$B$9,Paramètres!$A$1:$I$89,3,0)*VLOOKUP('Données projet'!$B$9,Paramètres!$A$1:$I$89,5,0)</f>
        <v>-3.9017322706058626E-13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623.31285537237943</v>
      </c>
      <c r="T183" s="62">
        <f t="shared" si="142"/>
        <v>462.33909258902241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57.69952356516059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57.69952356516059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4.9658410716801891E-14</v>
      </c>
      <c r="AK183" s="14">
        <f t="shared" si="164"/>
        <v>8.0934058173791862E-13</v>
      </c>
      <c r="AL183" s="22">
        <f t="shared" si="165"/>
        <v>1.4960899118586383E-12</v>
      </c>
      <c r="AM183" s="62">
        <f t="shared" si="113"/>
        <v>293.33333333333479</v>
      </c>
      <c r="AN183" s="62">
        <f ca="1">AVERAGE(OFFSET($AM$3,0,0,'Données projet'!$E$10+1,1))-AVERAGE(OFFSET($H$3,0,0,'Données projet'!$E$10+1,1))</f>
        <v>390.70479111593545</v>
      </c>
      <c r="AO183" s="62">
        <f t="shared" si="144"/>
        <v>374.99493809709708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22.728531220599539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22.728531220599539</v>
      </c>
      <c r="AY183" s="7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5.6843418860808015E-14</v>
      </c>
      <c r="BE183" s="14">
        <f>BD183*VLOOKUP('Données projet'!$B$11,Paramètres!$A$1:$I$89,3,0)*VLOOKUP('Données projet'!$B$11,Paramètres!$A$1:$I$89,5,0)</f>
        <v>4.5224624045658861E-14</v>
      </c>
      <c r="BF183" s="14">
        <f t="shared" si="167"/>
        <v>7.4514601661523691E-13</v>
      </c>
      <c r="BG183" s="22">
        <f t="shared" si="168"/>
        <v>1.3765621991510601E-12</v>
      </c>
      <c r="BH183" s="62">
        <f t="shared" si="116"/>
        <v>293.33333333333468</v>
      </c>
      <c r="BI183" s="62">
        <f ca="1">AVERAGE(OFFSET($BH$3,0,0,'Données projet'!$E$11+1,1))-AVERAGE(OFFSET($H$3,0,0,'Données projet'!$E$11+1,1))</f>
        <v>359.18294335011535</v>
      </c>
      <c r="BJ183" s="62">
        <f t="shared" si="146"/>
        <v>345.47508134331241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20.699198075903137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20.699198075903137</v>
      </c>
      <c r="BT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5.6843418860808015E-14</v>
      </c>
      <c r="BZ183" s="14">
        <f>BY183*VLOOKUP('Données projet'!$B$12,Paramètres!$A$1:$I$89,3,0)*VLOOKUP('Données projet'!$B$12,Paramètres!$A$1:$I$89,5,0)</f>
        <v>4.1677594708744434E-14</v>
      </c>
      <c r="CA183" s="14">
        <f t="shared" si="170"/>
        <v>6.9326303456159188E-13</v>
      </c>
      <c r="CB183" s="22">
        <f t="shared" si="171"/>
        <v>1.2800215959791691E-12</v>
      </c>
      <c r="CC183" s="62">
        <f t="shared" si="119"/>
        <v>293.33333333333462</v>
      </c>
      <c r="CD183" s="62">
        <f ca="1">AVERAGE(OFFSET($CC$3,0,0,'Données projet'!$E$12+1,1))-AVERAGE(OFFSET($H$3,0,0,'Données projet'!$E$12+1,1))</f>
        <v>333.9187211440219</v>
      </c>
      <c r="CE183" s="62">
        <f t="shared" si="148"/>
        <v>321.81422611044997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15.476536926156207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15.476536926156207</v>
      </c>
      <c r="CO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5.6843418860808015E-14</v>
      </c>
      <c r="CU183" s="18">
        <f>CT183*VLOOKUP('Données projet'!$B$13,Paramètres!$A$1:$I$89,3,0)*VLOOKUP('Données projet'!$B$13,Paramètres!$A$1:$I$89,5,0)</f>
        <v>4.6111381379887463E-14</v>
      </c>
      <c r="CV183" s="14">
        <f t="shared" si="173"/>
        <v>7.5804141040779151E-13</v>
      </c>
      <c r="CW183" s="22">
        <f t="shared" si="174"/>
        <v>1.4005661123635408E-12</v>
      </c>
      <c r="CX183" s="62">
        <f t="shared" si="122"/>
        <v>293.33333333333474</v>
      </c>
      <c r="CY183" s="62">
        <f ca="1">AVERAGE(OFFSET($CX$3,0,0,'Données projet'!$E$13+1,1))-AVERAGE(OFFSET($H$3,0,0,'Données projet'!$E$13+1,1))</f>
        <v>365.492319515595</v>
      </c>
      <c r="CZ183" s="62">
        <f t="shared" si="150"/>
        <v>351.38386928091433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17.122977024683461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17.122977024683461</v>
      </c>
      <c r="DJ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>
        <f>VLOOKUP(A183,'Données projet'!$A$165:$I$185,2,0)</f>
        <v>241.62</v>
      </c>
      <c r="DM183" s="13">
        <f>VLOOKUP(A183,'Données projet'!$A$165:$I$185,9,0)</f>
        <v>3.2566666666666606</v>
      </c>
      <c r="DN183" s="13">
        <f t="array" ref="DN183">INDEX(DM:DM,MIN(IF(ISNUMBER(DM183:DM379),ROW(DM183:DM379),"")))</f>
        <v>3.2566666666666606</v>
      </c>
      <c r="DO183" s="13">
        <f>IF('Données projet'!$A$166&gt;35,DO182+DN183-DW182,IF(A183&lt;'Données projet'!$A$166,$DL$205^A183,IF(A183='Données projet'!$A$166,'Données projet'!$B$166,DO182+DN183-DW182)))</f>
        <v>241.62000000000052</v>
      </c>
      <c r="DP183" s="18">
        <f>DO183*VLOOKUP('Données projet'!$B$14,Paramètres!$A$1:$I$89,3,0)*VLOOKUP('Données projet'!$B$14,Paramètres!$A$1:$I$89,5,0)</f>
        <v>203.54068800000047</v>
      </c>
      <c r="DQ183" s="14">
        <f t="shared" si="176"/>
        <v>50.52150726994288</v>
      </c>
      <c r="DR183" s="22">
        <f t="shared" si="177"/>
        <v>442.49165676181798</v>
      </c>
      <c r="DS183" s="62">
        <f t="shared" si="125"/>
        <v>735.82499009515129</v>
      </c>
      <c r="DT183" s="62">
        <f ca="1">AVERAGE(OFFSET($DS$3,0,0,'Données projet'!$E$14+1,1))-AVERAGE(OFFSET($H$3,0,0,'Données projet'!$E$14+1,1))</f>
        <v>544.89250424794909</v>
      </c>
      <c r="DU183" s="62">
        <f t="shared" si="152"/>
        <v>253.98688498110715</v>
      </c>
      <c r="DV183" s="16">
        <f>IF(ISNA(VLOOKUP(A183,'Données projet'!$A$165:$I$185,3,0)),0,VLOOKUP(A183,'Données projet'!$A$165:$I$185,3,0))</f>
        <v>17</v>
      </c>
      <c r="DW183" s="16">
        <f>IF(ISNA(VLOOKUP(A183,'Données projet'!$A$165:$I$185,4,0)),0,VLOOKUP(A183,'Données projet'!$A$165:$I$185,4,0))</f>
        <v>77.72</v>
      </c>
      <c r="DX183" s="17">
        <f>IF(ISNA(VLOOKUP(A183,'Données projet'!$A$165:$I$185,5,0)),0%,VLOOKUP(A183,'Données projet'!$A$165:$I$185,5,0)*VLOOKUP('Données projet'!$B$14,Paramètres!$A$1:$I$89,7,0))</f>
        <v>0.34400000000000003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175.01519992907009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175.01519992907009</v>
      </c>
      <c r="EE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>
        <f>VLOOKUP(A183,'Données projet'!$A$191:$I$211,2,0)</f>
        <v>241.62</v>
      </c>
      <c r="EH183" s="13">
        <f>VLOOKUP(A183,'Données projet'!$A$191:$I$211,9,0)</f>
        <v>3.2566666666666606</v>
      </c>
      <c r="EI183" s="13">
        <f t="array" ref="EI183">INDEX(EH:EH,MIN(IF(ISNUMBER(EH183:EH379),ROW(EH183:EH379),"")))</f>
        <v>3.2566666666666606</v>
      </c>
      <c r="EJ183" s="13">
        <f>IF('Données projet'!$A$192&gt;35,EJ182+EI183-ER182,IF(A183&lt;'Données projet'!$A$192,$EG$205^A183,IF(A183='Données projet'!$A$192,'Données projet'!$B$192,EJ182+EI183-ER182)))</f>
        <v>241.62000000000052</v>
      </c>
      <c r="EK183" s="18">
        <f>EJ183*VLOOKUP('Données projet'!$B$15,Paramètres!$A$1:$I$89,3,0)*VLOOKUP('Données projet'!$B$15,Paramètres!$A$1:$I$89,5,0)</f>
        <v>218.61777600000045</v>
      </c>
      <c r="EL183" s="14">
        <f t="shared" si="179"/>
        <v>53.814356054061541</v>
      </c>
      <c r="EM183" s="22">
        <f t="shared" si="180"/>
        <v>474.48596332749122</v>
      </c>
      <c r="EN183" s="62">
        <f t="shared" si="128"/>
        <v>767.81929666082453</v>
      </c>
      <c r="EO183" s="62">
        <f ca="1">AVERAGE(OFFSET($EN$3,0,0,'Données projet'!$E$15+1,1))-AVERAGE(OFFSET($H$3,0,0,'Données projet'!$E$15+1,1))</f>
        <v>581.88778927327667</v>
      </c>
      <c r="EP183" s="62">
        <f t="shared" si="154"/>
        <v>269.67340993773422</v>
      </c>
      <c r="EQ183" s="16">
        <f>IF(ISNA(VLOOKUP(A183,'Données projet'!$A$191:$I$211,3,0)),0,VLOOKUP(A183,'Données projet'!$A$191:$I$211,3,0))</f>
        <v>17</v>
      </c>
      <c r="ER183" s="16">
        <f>IF(ISNA(VLOOKUP(A183,'Données projet'!$A$191:$I$211,4,0)),0,VLOOKUP(A183,'Données projet'!$A$191:$I$211,4,0))</f>
        <v>77.72</v>
      </c>
      <c r="ES183" s="17">
        <f>IF(ISNA(VLOOKUP(A183,'Données projet'!$A$191:$I$211,5,0)),0%,VLOOKUP(A183,'Données projet'!$A$191:$I$211,5,0)*VLOOKUP('Données projet'!$B$15,Paramètres!$A$1:$I$89,7,0))</f>
        <v>0.34400000000000003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187.97928881270488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187.97928881270488</v>
      </c>
      <c r="EZ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>
        <f>VLOOKUP(A183,'Données projet'!$A$217:$I$237,2,0)</f>
        <v>241.62</v>
      </c>
      <c r="FC183" s="13">
        <f>VLOOKUP(A183,'Données projet'!$A$217:$I$237,9,0)</f>
        <v>3.2566666666666606</v>
      </c>
      <c r="FD183" s="13">
        <f t="array" ref="FD183">INDEX(FC:FC,MIN(IF(ISNUMBER(FC183:FC379),ROW(FC183:FC379),"")))</f>
        <v>3.2566666666666606</v>
      </c>
      <c r="FE183" s="13">
        <f>IF('Données projet'!$A$218&gt;35,FE182+FD183-FM182,IF(A183&lt;'Données projet'!$A$218,$FB$205^A183,IF(A183='Données projet'!$A$218,'Données projet'!$B$218,FE182+FD183-FM182)))</f>
        <v>241.62000000000052</v>
      </c>
      <c r="FF183" s="18">
        <f>FE183*VLOOKUP('Données projet'!$B$16,Paramètres!$A$1:$I$89,3,0)*VLOOKUP('Données projet'!$B$16,Paramètres!$A$1:$I$89,5,0)</f>
        <v>245.00268000000054</v>
      </c>
      <c r="FG183" s="14">
        <f t="shared" si="182"/>
        <v>59.514585697688133</v>
      </c>
      <c r="FH183" s="22">
        <f t="shared" si="183"/>
        <v>530.36757109014115</v>
      </c>
      <c r="FI183" s="62">
        <f t="shared" si="131"/>
        <v>823.70090442347441</v>
      </c>
      <c r="FJ183" s="62">
        <f ca="1">AVERAGE(OFFSET($FI$3,0,0,'Données projet'!$E$16+1,1))-AVERAGE(OFFSET($H$3,0,0,'Données projet'!$E$16+1,1))</f>
        <v>646.50767193970182</v>
      </c>
      <c r="FK183" s="62">
        <f t="shared" si="156"/>
        <v>297.06786598620607</v>
      </c>
      <c r="FL183" s="16">
        <f>IF(ISNA(VLOOKUP(A183,'Données projet'!$A$217:$I$237,3,0)),0,VLOOKUP(A183,'Données projet'!$A$217:$I$237,3,0))</f>
        <v>17</v>
      </c>
      <c r="FM183" s="16">
        <f>IF(ISNA(VLOOKUP(A183,'Données projet'!$A$217:$I$237,4,0)),0,VLOOKUP(A183,'Données projet'!$A$217:$I$237,4,0))</f>
        <v>77.72</v>
      </c>
      <c r="FN183" s="17">
        <f>IF(ISNA(VLOOKUP(A183,'Données projet'!$A$217:$I$237,5,0)),0%,VLOOKUP(A183,'Données projet'!$A$217:$I$237,5,0)*VLOOKUP('Données projet'!$B$16,Paramètres!$A$1:$I$89,7,0))</f>
        <v>0.34400000000000003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210.66644435906579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210.66644435906579</v>
      </c>
      <c r="FU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>
        <f>VLOOKUP(A183,'Données projet'!$A$243:$I$263,2,0)</f>
        <v>241.62</v>
      </c>
      <c r="FX183" s="13">
        <f>VLOOKUP(A183,'Données projet'!$A$243:$I$263,9,0)</f>
        <v>3.2566666666666606</v>
      </c>
      <c r="FY183" s="13">
        <f t="array" ref="FY183">INDEX(FX:FX,MIN(IF(ISNUMBER(FX183:FX379),ROW(FX183:FX379),"")))</f>
        <v>3.2566666666666606</v>
      </c>
      <c r="FZ183" s="13">
        <f>IF('Données projet'!$A$244&gt;35,FZ182+FY183-GH182,IF(A183&lt;'Données projet'!$A$244,$FW$205^A183,IF(A183='Données projet'!$A$244,'Données projet'!$B$244,FZ182+FY183-GH182)))</f>
        <v>241.62000000000052</v>
      </c>
      <c r="GA183" s="18">
        <f>FZ183*VLOOKUP('Données projet'!$B$17,Paramètres!$A$1:$I$89,3,0)*VLOOKUP('Données projet'!$B$17,Paramètres!$A$1:$I$89,5,0)</f>
        <v>162.07869600000035</v>
      </c>
      <c r="GB183" s="14">
        <f t="shared" si="185"/>
        <v>41.311018280291471</v>
      </c>
      <c r="GC183" s="22">
        <f t="shared" si="186"/>
        <v>354.2370857048416</v>
      </c>
      <c r="GD183" s="62">
        <f t="shared" si="134"/>
        <v>647.57041903817492</v>
      </c>
      <c r="GE183" s="62">
        <f ca="1">AVERAGE(OFFSET($GD$3,0,0,'Données projet'!$E$17+1,1))-AVERAGE(OFFSET($H$3,0,0,'Données projet'!$E$17+1,1))</f>
        <v>442.85175349826028</v>
      </c>
      <c r="GF183" s="62">
        <f t="shared" si="158"/>
        <v>210.70697808232501</v>
      </c>
      <c r="GG183" s="16">
        <f>IF(ISNA(VLOOKUP(A183,'Données projet'!$A$243:$I$263,3,0)),0,VLOOKUP(A183,'Données projet'!$A$243:$I$263,3,0))</f>
        <v>17</v>
      </c>
      <c r="GH183" s="16">
        <f>IF(ISNA(VLOOKUP(A183,'Données projet'!$A$243:$I$263,4,0)),0,VLOOKUP(A183,'Données projet'!$A$243:$I$263,4,0))</f>
        <v>77.72</v>
      </c>
      <c r="GI183" s="17">
        <f>IF(ISNA(VLOOKUP(A183,'Données projet'!$A$243:$I$263,5,0)),0%,VLOOKUP(A183,'Données projet'!$A$243:$I$263,5,0)*VLOOKUP('Données projet'!$B$17,Paramètres!$A$1:$I$89,7,0))</f>
        <v>0.42400000000000004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171.77417770816135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171.77417770816135</v>
      </c>
      <c r="GP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-3.4106051316484809E-13</v>
      </c>
      <c r="GV183" s="18">
        <f>GU183*VLOOKUP('Données projet'!$B$18,Paramètres!$A$1:$I$89,3,0)*VLOOKUP('Données projet'!$B$18,Paramètres!$A$1:$I$89,5,0)</f>
        <v>-3.2455318432766944E-13</v>
      </c>
      <c r="GW183" s="14" t="e">
        <f t="shared" si="188"/>
        <v>#NUM!</v>
      </c>
      <c r="GX183" s="22" t="e">
        <f t="shared" si="189"/>
        <v>#NUM!</v>
      </c>
      <c r="GY183" s="62" t="e">
        <f t="shared" si="137"/>
        <v>#NUM!</v>
      </c>
      <c r="GZ183" s="62">
        <f ca="1">AVERAGE(OFFSET($GY$3,0,0,'Données projet'!$E$18+1,1))-AVERAGE(OFFSET($H$3,0,0,'Données projet'!$E$18+1,1))</f>
        <v>420.2510366318939</v>
      </c>
      <c r="HA183" s="62">
        <f t="shared" si="160"/>
        <v>220.59884411514116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54.220569198454136</v>
      </c>
      <c r="HH183" s="23">
        <f>EXP(-LN(2)/25)*HH182+(1-EXP(-LN(2)/25))/(LN(2)/25)*Calculateur!HC183*Calculateur!HE183*VLOOKUP('Données projet'!$B$18,Paramètres!$A$1:$I$89,3,0)*0.475*44/12</f>
        <v>0</v>
      </c>
      <c r="HI183" s="23">
        <f>EXP(-LN(2)/2)*HI182+(1-EXP(-LN(2)/2))/(LN(2)/2)*HC183*HF183*VLOOKUP('Données projet'!$B$18,Paramètres!$A$1:$I$89,3,0)*0.475*44/12</f>
        <v>0</v>
      </c>
      <c r="HJ183" s="24">
        <f t="shared" si="190"/>
        <v>54.220569198454136</v>
      </c>
    </row>
    <row r="184" spans="1:218" x14ac:dyDescent="0.2">
      <c r="A184" s="11">
        <f t="shared" si="161"/>
        <v>181</v>
      </c>
      <c r="B184" s="74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-4.5474735088646412E-13</v>
      </c>
      <c r="O184" s="14">
        <f>N184*VLOOKUP('Données projet'!$B$9,Paramètres!$A$1:$I$89,3,0)*VLOOKUP('Données projet'!$B$9,Paramètres!$A$1:$I$89,5,0)</f>
        <v>-3.9017322706058626E-13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623.31285537237943</v>
      </c>
      <c r="T184" s="62">
        <f t="shared" si="142"/>
        <v>462.33909258902241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56.568071101282122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56.568071101282122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4.9658410716801891E-14</v>
      </c>
      <c r="AK184" s="14">
        <f t="shared" si="164"/>
        <v>8.0934058173791862E-13</v>
      </c>
      <c r="AL184" s="22">
        <f t="shared" si="165"/>
        <v>1.4960899118586383E-12</v>
      </c>
      <c r="AM184" s="62">
        <f t="shared" si="113"/>
        <v>293.33333333333479</v>
      </c>
      <c r="AN184" s="62">
        <f ca="1">AVERAGE(OFFSET($AM$3,0,0,'Données projet'!$E$10+1,1))-AVERAGE(OFFSET($H$3,0,0,'Données projet'!$E$10+1,1))</f>
        <v>390.70479111593545</v>
      </c>
      <c r="AO184" s="62">
        <f t="shared" si="144"/>
        <v>374.99493809709708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22.282838586398764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22.282838586398764</v>
      </c>
      <c r="AY184" s="7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5.6843418860808015E-14</v>
      </c>
      <c r="BE184" s="14">
        <f>BD184*VLOOKUP('Données projet'!$B$11,Paramètres!$A$1:$I$89,3,0)*VLOOKUP('Données projet'!$B$11,Paramètres!$A$1:$I$89,5,0)</f>
        <v>4.5224624045658861E-14</v>
      </c>
      <c r="BF184" s="14">
        <f t="shared" si="167"/>
        <v>7.4514601661523691E-13</v>
      </c>
      <c r="BG184" s="22">
        <f t="shared" si="168"/>
        <v>1.3765621991510601E-12</v>
      </c>
      <c r="BH184" s="62">
        <f t="shared" si="116"/>
        <v>293.33333333333468</v>
      </c>
      <c r="BI184" s="62">
        <f ca="1">AVERAGE(OFFSET($BH$3,0,0,'Données projet'!$E$11+1,1))-AVERAGE(OFFSET($H$3,0,0,'Données projet'!$E$11+1,1))</f>
        <v>359.18294335011535</v>
      </c>
      <c r="BJ184" s="62">
        <f t="shared" si="146"/>
        <v>345.47508134331241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20.293299426898862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20.293299426898862</v>
      </c>
      <c r="BT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5.6843418860808015E-14</v>
      </c>
      <c r="BZ184" s="14">
        <f>BY184*VLOOKUP('Données projet'!$B$12,Paramètres!$A$1:$I$89,3,0)*VLOOKUP('Données projet'!$B$12,Paramètres!$A$1:$I$89,5,0)</f>
        <v>4.1677594708744434E-14</v>
      </c>
      <c r="CA184" s="14">
        <f t="shared" si="170"/>
        <v>6.9326303456159188E-13</v>
      </c>
      <c r="CB184" s="22">
        <f t="shared" si="171"/>
        <v>1.2800215959791691E-12</v>
      </c>
      <c r="CC184" s="62">
        <f t="shared" si="119"/>
        <v>293.33333333333462</v>
      </c>
      <c r="CD184" s="62">
        <f ca="1">AVERAGE(OFFSET($CC$3,0,0,'Données projet'!$E$12+1,1))-AVERAGE(OFFSET($H$3,0,0,'Données projet'!$E$12+1,1))</f>
        <v>333.9187211440219</v>
      </c>
      <c r="CE184" s="62">
        <f t="shared" si="148"/>
        <v>321.81422611044997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15.173051476789711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15.173051476789711</v>
      </c>
      <c r="CO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5.6843418860808015E-14</v>
      </c>
      <c r="CU184" s="18">
        <f>CT184*VLOOKUP('Données projet'!$B$13,Paramètres!$A$1:$I$89,3,0)*VLOOKUP('Données projet'!$B$13,Paramètres!$A$1:$I$89,5,0)</f>
        <v>4.6111381379887463E-14</v>
      </c>
      <c r="CV184" s="14">
        <f t="shared" si="173"/>
        <v>7.5804141040779151E-13</v>
      </c>
      <c r="CW184" s="22">
        <f t="shared" si="174"/>
        <v>1.4005661123635408E-12</v>
      </c>
      <c r="CX184" s="62">
        <f t="shared" si="122"/>
        <v>293.33333333333474</v>
      </c>
      <c r="CY184" s="62">
        <f ca="1">AVERAGE(OFFSET($CX$3,0,0,'Données projet'!$E$13+1,1))-AVERAGE(OFFSET($H$3,0,0,'Données projet'!$E$13+1,1))</f>
        <v>365.492319515595</v>
      </c>
      <c r="CZ184" s="62">
        <f t="shared" si="150"/>
        <v>351.38386928091433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16.787205889214146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16.787205889214146</v>
      </c>
      <c r="DJ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1.9533333333333285</v>
      </c>
      <c r="DO184" s="13">
        <f>IF('Données projet'!$A$166&gt;35,DO183+DN184-DW183,IF(A184&lt;'Données projet'!$A$166,$DL$205^A184,IF(A184='Données projet'!$A$166,'Données projet'!$B$166,DO183+DN184-DW183)))</f>
        <v>165.85333333333384</v>
      </c>
      <c r="DP184" s="18">
        <f>DO184*VLOOKUP('Données projet'!$B$14,Paramètres!$A$1:$I$89,3,0)*VLOOKUP('Données projet'!$B$14,Paramètres!$A$1:$I$89,5,0)</f>
        <v>139.71484800000042</v>
      </c>
      <c r="DQ184" s="14">
        <f t="shared" si="176"/>
        <v>36.231673426508593</v>
      </c>
      <c r="DR184" s="22">
        <f t="shared" si="177"/>
        <v>306.44019148450315</v>
      </c>
      <c r="DS184" s="62">
        <f t="shared" si="125"/>
        <v>599.77352481783646</v>
      </c>
      <c r="DT184" s="62">
        <f ca="1">AVERAGE(OFFSET($DS$3,0,0,'Données projet'!$E$14+1,1))-AVERAGE(OFFSET($H$3,0,0,'Données projet'!$E$14+1,1))</f>
        <v>544.89250424794909</v>
      </c>
      <c r="DU184" s="62">
        <f t="shared" si="152"/>
        <v>253.98688498110715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171.58325860719242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171.58325860719242</v>
      </c>
      <c r="EE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1.9533333333333285</v>
      </c>
      <c r="EJ184" s="13">
        <f>IF('Données projet'!$A$192&gt;35,EJ183+EI184-ER183,IF(A184&lt;'Données projet'!$A$192,$EG$205^A184,IF(A184='Données projet'!$A$192,'Données projet'!$B$192,EJ183+EI184-ER183)))</f>
        <v>165.85333333333384</v>
      </c>
      <c r="EK184" s="18">
        <f>EJ184*VLOOKUP('Données projet'!$B$15,Paramètres!$A$1:$I$89,3,0)*VLOOKUP('Données projet'!$B$15,Paramètres!$A$1:$I$89,5,0)</f>
        <v>150.06409600000046</v>
      </c>
      <c r="EL184" s="14">
        <f t="shared" si="179"/>
        <v>38.593151304664545</v>
      </c>
      <c r="EM184" s="22">
        <f t="shared" si="180"/>
        <v>328.57803905562486</v>
      </c>
      <c r="EN184" s="62">
        <f t="shared" si="128"/>
        <v>621.91137238895817</v>
      </c>
      <c r="EO184" s="62">
        <f ca="1">AVERAGE(OFFSET($EN$3,0,0,'Données projet'!$E$15+1,1))-AVERAGE(OFFSET($H$3,0,0,'Données projet'!$E$15+1,1))</f>
        <v>581.88778927327667</v>
      </c>
      <c r="EP184" s="62">
        <f t="shared" si="154"/>
        <v>269.67340993773422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184.29312961513256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184.29312961513256</v>
      </c>
      <c r="EZ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1.9533333333333285</v>
      </c>
      <c r="FE184" s="13">
        <f>IF('Données projet'!$A$218&gt;35,FE183+FD184-FM183,IF(A184&lt;'Données projet'!$A$218,$FB$205^A184,IF(A184='Données projet'!$A$218,'Données projet'!$B$218,FE183+FD184-FM183)))</f>
        <v>165.85333333333384</v>
      </c>
      <c r="FF184" s="18">
        <f>FE184*VLOOKUP('Données projet'!$B$16,Paramètres!$A$1:$I$89,3,0)*VLOOKUP('Données projet'!$B$16,Paramètres!$A$1:$I$89,5,0)</f>
        <v>168.17528000000053</v>
      </c>
      <c r="FG184" s="14">
        <f t="shared" si="182"/>
        <v>42.681090680670735</v>
      </c>
      <c r="FH184" s="22">
        <f t="shared" si="183"/>
        <v>367.24151226883578</v>
      </c>
      <c r="FI184" s="62">
        <f t="shared" si="131"/>
        <v>660.57484560216903</v>
      </c>
      <c r="FJ184" s="62">
        <f ca="1">AVERAGE(OFFSET($FI$3,0,0,'Données projet'!$E$16+1,1))-AVERAGE(OFFSET($H$3,0,0,'Données projet'!$E$16+1,1))</f>
        <v>646.50767193970182</v>
      </c>
      <c r="FK184" s="62">
        <f t="shared" si="156"/>
        <v>297.06786598620607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206.53540387902785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206.53540387902785</v>
      </c>
      <c r="FU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1.9533333333333285</v>
      </c>
      <c r="FZ184" s="13">
        <f>IF('Données projet'!$A$244&gt;35,FZ183+FY184-GH183,IF(A184&lt;'Données projet'!$A$244,$FW$205^A184,IF(A184='Données projet'!$A$244,'Données projet'!$B$244,FZ183+FY184-GH183)))</f>
        <v>165.85333333333384</v>
      </c>
      <c r="GA184" s="18">
        <f>FZ184*VLOOKUP('Données projet'!$B$17,Paramètres!$A$1:$I$89,3,0)*VLOOKUP('Données projet'!$B$17,Paramètres!$A$1:$I$89,5,0)</f>
        <v>111.25441600000035</v>
      </c>
      <c r="GB184" s="14">
        <f t="shared" si="185"/>
        <v>29.626339436997185</v>
      </c>
      <c r="GC184" s="22">
        <f t="shared" si="186"/>
        <v>245.36731571943736</v>
      </c>
      <c r="GD184" s="62">
        <f t="shared" si="134"/>
        <v>538.7006490527707</v>
      </c>
      <c r="GE184" s="62">
        <f ca="1">AVERAGE(OFFSET($GD$3,0,0,'Données projet'!$E$17+1,1))-AVERAGE(OFFSET($H$3,0,0,'Données projet'!$E$17+1,1))</f>
        <v>442.85175349826028</v>
      </c>
      <c r="GF184" s="62">
        <f t="shared" si="158"/>
        <v>210.70697808232501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168.40579085520733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168.40579085520733</v>
      </c>
      <c r="GP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-3.4106051316484809E-13</v>
      </c>
      <c r="GV184" s="18">
        <f>GU184*VLOOKUP('Données projet'!$B$18,Paramètres!$A$1:$I$89,3,0)*VLOOKUP('Données projet'!$B$18,Paramètres!$A$1:$I$89,5,0)</f>
        <v>-3.2455318432766944E-13</v>
      </c>
      <c r="GW184" s="14" t="e">
        <f t="shared" si="188"/>
        <v>#NUM!</v>
      </c>
      <c r="GX184" s="22" t="e">
        <f t="shared" si="189"/>
        <v>#NUM!</v>
      </c>
      <c r="GY184" s="62" t="e">
        <f t="shared" si="137"/>
        <v>#NUM!</v>
      </c>
      <c r="GZ184" s="62">
        <f ca="1">AVERAGE(OFFSET($GY$3,0,0,'Données projet'!$E$18+1,1))-AVERAGE(OFFSET($H$3,0,0,'Données projet'!$E$18+1,1))</f>
        <v>420.2510366318939</v>
      </c>
      <c r="HA184" s="62">
        <f t="shared" si="160"/>
        <v>220.59884411514116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53.157336907754143</v>
      </c>
      <c r="HH184" s="23">
        <f>EXP(-LN(2)/25)*HH183+(1-EXP(-LN(2)/25))/(LN(2)/25)*Calculateur!HC184*Calculateur!HE184*VLOOKUP('Données projet'!$B$18,Paramètres!$A$1:$I$89,3,0)*0.475*44/12</f>
        <v>0</v>
      </c>
      <c r="HI184" s="23">
        <f>EXP(-LN(2)/2)*HI183+(1-EXP(-LN(2)/2))/(LN(2)/2)*HC184*HF184*VLOOKUP('Données projet'!$B$18,Paramètres!$A$1:$I$89,3,0)*0.475*44/12</f>
        <v>0</v>
      </c>
      <c r="HJ184" s="24">
        <f t="shared" si="190"/>
        <v>53.157336907754143</v>
      </c>
    </row>
    <row r="185" spans="1:218" x14ac:dyDescent="0.2">
      <c r="A185" s="11">
        <f t="shared" si="161"/>
        <v>182</v>
      </c>
      <c r="B185" s="74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-4.5474735088646412E-13</v>
      </c>
      <c r="O185" s="14">
        <f>N185*VLOOKUP('Données projet'!$B$9,Paramètres!$A$1:$I$89,3,0)*VLOOKUP('Données projet'!$B$9,Paramètres!$A$1:$I$89,5,0)</f>
        <v>-3.9017322706058626E-13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623.31285537237943</v>
      </c>
      <c r="T185" s="62">
        <f t="shared" si="142"/>
        <v>462.33909258902241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55.458805730102455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55.458805730102455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4.9658410716801891E-14</v>
      </c>
      <c r="AK185" s="14">
        <f t="shared" si="164"/>
        <v>8.0934058173791862E-13</v>
      </c>
      <c r="AL185" s="22">
        <f t="shared" si="165"/>
        <v>1.4960899118586383E-12</v>
      </c>
      <c r="AM185" s="62">
        <f t="shared" si="113"/>
        <v>293.33333333333479</v>
      </c>
      <c r="AN185" s="62">
        <f ca="1">AVERAGE(OFFSET($AM$3,0,0,'Données projet'!$E$10+1,1))-AVERAGE(OFFSET($H$3,0,0,'Données projet'!$E$10+1,1))</f>
        <v>390.70479111593545</v>
      </c>
      <c r="AO185" s="62">
        <f t="shared" si="144"/>
        <v>374.99493809709708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21.845885712909002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21.845885712909002</v>
      </c>
      <c r="AY185" s="7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5.6843418860808015E-14</v>
      </c>
      <c r="BE185" s="14">
        <f>BD185*VLOOKUP('Données projet'!$B$11,Paramètres!$A$1:$I$89,3,0)*VLOOKUP('Données projet'!$B$11,Paramètres!$A$1:$I$89,5,0)</f>
        <v>4.5224624045658861E-14</v>
      </c>
      <c r="BF185" s="14">
        <f t="shared" si="167"/>
        <v>7.4514601661523691E-13</v>
      </c>
      <c r="BG185" s="22">
        <f t="shared" si="168"/>
        <v>1.3765621991510601E-12</v>
      </c>
      <c r="BH185" s="62">
        <f t="shared" si="116"/>
        <v>293.33333333333468</v>
      </c>
      <c r="BI185" s="62">
        <f ca="1">AVERAGE(OFFSET($BH$3,0,0,'Données projet'!$E$11+1,1))-AVERAGE(OFFSET($H$3,0,0,'Données projet'!$E$11+1,1))</f>
        <v>359.18294335011535</v>
      </c>
      <c r="BJ185" s="62">
        <f t="shared" si="146"/>
        <v>345.47508134331241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19.895360202827831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19.895360202827831</v>
      </c>
      <c r="BT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5.6843418860808015E-14</v>
      </c>
      <c r="BZ185" s="14">
        <f>BY185*VLOOKUP('Données projet'!$B$12,Paramètres!$A$1:$I$89,3,0)*VLOOKUP('Données projet'!$B$12,Paramètres!$A$1:$I$89,5,0)</f>
        <v>4.1677594708744434E-14</v>
      </c>
      <c r="CA185" s="14">
        <f t="shared" si="170"/>
        <v>6.9326303456159188E-13</v>
      </c>
      <c r="CB185" s="22">
        <f t="shared" si="171"/>
        <v>1.2800215959791691E-12</v>
      </c>
      <c r="CC185" s="62">
        <f t="shared" si="119"/>
        <v>293.33333333333462</v>
      </c>
      <c r="CD185" s="62">
        <f ca="1">AVERAGE(OFFSET($CC$3,0,0,'Données projet'!$E$12+1,1))-AVERAGE(OFFSET($H$3,0,0,'Données projet'!$E$12+1,1))</f>
        <v>333.9187211440219</v>
      </c>
      <c r="CE185" s="62">
        <f t="shared" si="148"/>
        <v>321.81422611044997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14.875517191977446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14.875517191977446</v>
      </c>
      <c r="CO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5.6843418860808015E-14</v>
      </c>
      <c r="CU185" s="18">
        <f>CT185*VLOOKUP('Données projet'!$B$13,Paramètres!$A$1:$I$89,3,0)*VLOOKUP('Données projet'!$B$13,Paramètres!$A$1:$I$89,5,0)</f>
        <v>4.6111381379887463E-14</v>
      </c>
      <c r="CV185" s="14">
        <f t="shared" si="173"/>
        <v>7.5804141040779151E-13</v>
      </c>
      <c r="CW185" s="22">
        <f t="shared" si="174"/>
        <v>1.4005661123635408E-12</v>
      </c>
      <c r="CX185" s="62">
        <f t="shared" si="122"/>
        <v>293.33333333333474</v>
      </c>
      <c r="CY185" s="62">
        <f ca="1">AVERAGE(OFFSET($CX$3,0,0,'Données projet'!$E$13+1,1))-AVERAGE(OFFSET($H$3,0,0,'Données projet'!$E$13+1,1))</f>
        <v>365.492319515595</v>
      </c>
      <c r="CZ185" s="62">
        <f t="shared" si="150"/>
        <v>351.38386928091433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16.458019020911212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16.458019020911212</v>
      </c>
      <c r="DJ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1.9533333333333285</v>
      </c>
      <c r="DO185" s="13">
        <f>IF('Données projet'!$A$166&gt;35,DO184+DN185-DW184,IF(A185&lt;'Données projet'!$A$166,$DL$205^A185,IF(A185='Données projet'!$A$166,'Données projet'!$B$166,DO184+DN185-DW184)))</f>
        <v>167.80666666666716</v>
      </c>
      <c r="DP185" s="18">
        <f>DO185*VLOOKUP('Données projet'!$B$14,Paramètres!$A$1:$I$89,3,0)*VLOOKUP('Données projet'!$B$14,Paramètres!$A$1:$I$89,5,0)</f>
        <v>141.36033600000042</v>
      </c>
      <c r="DQ185" s="14">
        <f t="shared" si="176"/>
        <v>36.608463771706845</v>
      </c>
      <c r="DR185" s="22">
        <f t="shared" si="177"/>
        <v>309.9623262690568</v>
      </c>
      <c r="DS185" s="62">
        <f t="shared" si="125"/>
        <v>603.29565960239006</v>
      </c>
      <c r="DT185" s="62">
        <f ca="1">AVERAGE(OFFSET($DS$3,0,0,'Données projet'!$E$14+1,1))-AVERAGE(OFFSET($H$3,0,0,'Données projet'!$E$14+1,1))</f>
        <v>544.89250424794909</v>
      </c>
      <c r="DU185" s="62">
        <f t="shared" si="152"/>
        <v>253.98688498110715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168.21861556135926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168.21861556135926</v>
      </c>
      <c r="EE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1.9533333333333285</v>
      </c>
      <c r="EJ185" s="13">
        <f>IF('Données projet'!$A$192&gt;35,EJ184+EI185-ER184,IF(A185&lt;'Données projet'!$A$192,$EG$205^A185,IF(A185='Données projet'!$A$192,'Données projet'!$B$192,EJ184+EI185-ER184)))</f>
        <v>167.80666666666716</v>
      </c>
      <c r="EK185" s="18">
        <f>EJ185*VLOOKUP('Données projet'!$B$15,Paramètres!$A$1:$I$89,3,0)*VLOOKUP('Données projet'!$B$15,Paramètres!$A$1:$I$89,5,0)</f>
        <v>151.83147200000045</v>
      </c>
      <c r="EL185" s="14">
        <f t="shared" si="179"/>
        <v>38.994499777620597</v>
      </c>
      <c r="EM185" s="22">
        <f t="shared" si="180"/>
        <v>332.35523417935661</v>
      </c>
      <c r="EN185" s="62">
        <f t="shared" si="128"/>
        <v>625.68856751268993</v>
      </c>
      <c r="EO185" s="62">
        <f ca="1">AVERAGE(OFFSET($EN$3,0,0,'Données projet'!$E$15+1,1))-AVERAGE(OFFSET($H$3,0,0,'Données projet'!$E$15+1,1))</f>
        <v>581.88778927327667</v>
      </c>
      <c r="EP185" s="62">
        <f t="shared" si="154"/>
        <v>269.67340993773422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180.67925375108953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180.67925375108953</v>
      </c>
      <c r="EZ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1.9533333333333285</v>
      </c>
      <c r="FE185" s="13">
        <f>IF('Données projet'!$A$218&gt;35,FE184+FD185-FM184,IF(A185&lt;'Données projet'!$A$218,$FB$205^A185,IF(A185='Données projet'!$A$218,'Données projet'!$B$218,FE184+FD185-FM184)))</f>
        <v>167.80666666666716</v>
      </c>
      <c r="FF185" s="18">
        <f>FE185*VLOOKUP('Données projet'!$B$16,Paramètres!$A$1:$I$89,3,0)*VLOOKUP('Données projet'!$B$16,Paramètres!$A$1:$I$89,5,0)</f>
        <v>170.1559600000005</v>
      </c>
      <c r="FG185" s="14">
        <f t="shared" si="182"/>
        <v>43.124951572816009</v>
      </c>
      <c r="FH185" s="22">
        <f t="shared" si="183"/>
        <v>371.46425432265534</v>
      </c>
      <c r="FI185" s="62">
        <f t="shared" si="131"/>
        <v>664.79758765598865</v>
      </c>
      <c r="FJ185" s="62">
        <f ca="1">AVERAGE(OFFSET($FI$3,0,0,'Données projet'!$E$16+1,1))-AVERAGE(OFFSET($H$3,0,0,'Données projet'!$E$16+1,1))</f>
        <v>646.50767193970182</v>
      </c>
      <c r="FK185" s="62">
        <f t="shared" si="156"/>
        <v>297.06786598620607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202.48537058311757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202.48537058311757</v>
      </c>
      <c r="FU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1.9533333333333285</v>
      </c>
      <c r="FZ185" s="13">
        <f>IF('Données projet'!$A$244&gt;35,FZ184+FY185-GH184,IF(A185&lt;'Données projet'!$A$244,$FW$205^A185,IF(A185='Données projet'!$A$244,'Données projet'!$B$244,FZ184+FY185-GH184)))</f>
        <v>167.80666666666716</v>
      </c>
      <c r="GA185" s="18">
        <f>FZ185*VLOOKUP('Données projet'!$B$17,Paramètres!$A$1:$I$89,3,0)*VLOOKUP('Données projet'!$B$17,Paramètres!$A$1:$I$89,5,0)</f>
        <v>112.56471200000033</v>
      </c>
      <c r="GB185" s="14">
        <f t="shared" si="185"/>
        <v>29.934437783215401</v>
      </c>
      <c r="GC185" s="22">
        <f t="shared" si="186"/>
        <v>248.18601920576737</v>
      </c>
      <c r="GD185" s="62">
        <f t="shared" si="134"/>
        <v>541.51935253910074</v>
      </c>
      <c r="GE185" s="62">
        <f ca="1">AVERAGE(OFFSET($GD$3,0,0,'Données projet'!$E$17+1,1))-AVERAGE(OFFSET($H$3,0,0,'Données projet'!$E$17+1,1))</f>
        <v>442.85175349826028</v>
      </c>
      <c r="GF185" s="62">
        <f t="shared" si="158"/>
        <v>210.70697808232501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165.10345601392663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165.10345601392663</v>
      </c>
      <c r="GP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-3.4106051316484809E-13</v>
      </c>
      <c r="GV185" s="18">
        <f>GU185*VLOOKUP('Données projet'!$B$18,Paramètres!$A$1:$I$89,3,0)*VLOOKUP('Données projet'!$B$18,Paramètres!$A$1:$I$89,5,0)</f>
        <v>-3.2455318432766944E-13</v>
      </c>
      <c r="GW185" s="14" t="e">
        <f t="shared" si="188"/>
        <v>#NUM!</v>
      </c>
      <c r="GX185" s="22" t="e">
        <f t="shared" si="189"/>
        <v>#NUM!</v>
      </c>
      <c r="GY185" s="62" t="e">
        <f t="shared" si="137"/>
        <v>#NUM!</v>
      </c>
      <c r="GZ185" s="62">
        <f ca="1">AVERAGE(OFFSET($GY$3,0,0,'Données projet'!$E$18+1,1))-AVERAGE(OFFSET($H$3,0,0,'Données projet'!$E$18+1,1))</f>
        <v>420.2510366318939</v>
      </c>
      <c r="HA185" s="62">
        <f t="shared" si="160"/>
        <v>220.59884411514116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52.114953953767113</v>
      </c>
      <c r="HH185" s="23">
        <f>EXP(-LN(2)/25)*HH184+(1-EXP(-LN(2)/25))/(LN(2)/25)*Calculateur!HC185*Calculateur!HE185*VLOOKUP('Données projet'!$B$18,Paramètres!$A$1:$I$89,3,0)*0.475*44/12</f>
        <v>0</v>
      </c>
      <c r="HI185" s="23">
        <f>EXP(-LN(2)/2)*HI184+(1-EXP(-LN(2)/2))/(LN(2)/2)*HC185*HF185*VLOOKUP('Données projet'!$B$18,Paramètres!$A$1:$I$89,3,0)*0.475*44/12</f>
        <v>0</v>
      </c>
      <c r="HJ185" s="24">
        <f t="shared" si="190"/>
        <v>52.114953953767113</v>
      </c>
    </row>
    <row r="186" spans="1:218" x14ac:dyDescent="0.2">
      <c r="A186" s="11">
        <f t="shared" si="161"/>
        <v>183</v>
      </c>
      <c r="B186" s="74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-4.5474735088646412E-13</v>
      </c>
      <c r="O186" s="14">
        <f>N186*VLOOKUP('Données projet'!$B$9,Paramètres!$A$1:$I$89,3,0)*VLOOKUP('Données projet'!$B$9,Paramètres!$A$1:$I$89,5,0)</f>
        <v>-3.9017322706058626E-13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623.31285537237943</v>
      </c>
      <c r="T186" s="62">
        <f t="shared" si="142"/>
        <v>462.33909258902241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54.371292376266545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54.371292376266545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4.9658410716801891E-14</v>
      </c>
      <c r="AK186" s="14">
        <f t="shared" si="164"/>
        <v>8.0934058173791862E-13</v>
      </c>
      <c r="AL186" s="22">
        <f t="shared" si="165"/>
        <v>1.4960899118586383E-12</v>
      </c>
      <c r="AM186" s="62">
        <f t="shared" si="113"/>
        <v>293.33333333333479</v>
      </c>
      <c r="AN186" s="62">
        <f ca="1">AVERAGE(OFFSET($AM$3,0,0,'Données projet'!$E$10+1,1))-AVERAGE(OFFSET($H$3,0,0,'Données projet'!$E$10+1,1))</f>
        <v>390.70479111593545</v>
      </c>
      <c r="AO186" s="62">
        <f t="shared" si="144"/>
        <v>374.99493809709708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21.41750121875344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21.41750121875344</v>
      </c>
      <c r="AY186" s="7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5.6843418860808015E-14</v>
      </c>
      <c r="BE186" s="14">
        <f>BD186*VLOOKUP('Données projet'!$B$11,Paramètres!$A$1:$I$89,3,0)*VLOOKUP('Données projet'!$B$11,Paramètres!$A$1:$I$89,5,0)</f>
        <v>4.5224624045658861E-14</v>
      </c>
      <c r="BF186" s="14">
        <f t="shared" si="167"/>
        <v>7.4514601661523691E-13</v>
      </c>
      <c r="BG186" s="22">
        <f t="shared" si="168"/>
        <v>1.3765621991510601E-12</v>
      </c>
      <c r="BH186" s="62">
        <f t="shared" si="116"/>
        <v>293.33333333333468</v>
      </c>
      <c r="BI186" s="62">
        <f ca="1">AVERAGE(OFFSET($BH$3,0,0,'Données projet'!$E$11+1,1))-AVERAGE(OFFSET($H$3,0,0,'Données projet'!$E$11+1,1))</f>
        <v>359.18294335011535</v>
      </c>
      <c r="BJ186" s="62">
        <f t="shared" si="146"/>
        <v>345.47508134331241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19.505224324221871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19.505224324221871</v>
      </c>
      <c r="BT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5.6843418860808015E-14</v>
      </c>
      <c r="BZ186" s="14">
        <f>BY186*VLOOKUP('Données projet'!$B$12,Paramètres!$A$1:$I$89,3,0)*VLOOKUP('Données projet'!$B$12,Paramètres!$A$1:$I$89,5,0)</f>
        <v>4.1677594708744434E-14</v>
      </c>
      <c r="CA186" s="14">
        <f t="shared" si="170"/>
        <v>6.9326303456159188E-13</v>
      </c>
      <c r="CB186" s="22">
        <f t="shared" si="171"/>
        <v>1.2800215959791691E-12</v>
      </c>
      <c r="CC186" s="62">
        <f t="shared" si="119"/>
        <v>293.33333333333462</v>
      </c>
      <c r="CD186" s="62">
        <f ca="1">AVERAGE(OFFSET($CC$3,0,0,'Données projet'!$E$12+1,1))-AVERAGE(OFFSET($H$3,0,0,'Données projet'!$E$12+1,1))</f>
        <v>333.9187211440219</v>
      </c>
      <c r="CE186" s="62">
        <f t="shared" si="148"/>
        <v>321.81422611044997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14.583817373012353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14.583817373012353</v>
      </c>
      <c r="CO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5.6843418860808015E-14</v>
      </c>
      <c r="CU186" s="18">
        <f>CT186*VLOOKUP('Données projet'!$B$13,Paramètres!$A$1:$I$89,3,0)*VLOOKUP('Données projet'!$B$13,Paramètres!$A$1:$I$89,5,0)</f>
        <v>4.6111381379887463E-14</v>
      </c>
      <c r="CV186" s="14">
        <f t="shared" si="173"/>
        <v>7.5804141040779151E-13</v>
      </c>
      <c r="CW186" s="22">
        <f t="shared" si="174"/>
        <v>1.4005661123635408E-12</v>
      </c>
      <c r="CX186" s="62">
        <f t="shared" si="122"/>
        <v>293.33333333333474</v>
      </c>
      <c r="CY186" s="62">
        <f ca="1">AVERAGE(OFFSET($CX$3,0,0,'Données projet'!$E$13+1,1))-AVERAGE(OFFSET($H$3,0,0,'Données projet'!$E$13+1,1))</f>
        <v>365.492319515595</v>
      </c>
      <c r="CZ186" s="62">
        <f t="shared" si="150"/>
        <v>351.38386928091433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16.135287306311536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16.135287306311536</v>
      </c>
      <c r="DJ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>
        <f>VLOOKUP(A186,'Données projet'!$A$165:$I$185,2,0)</f>
        <v>169.76</v>
      </c>
      <c r="DM186" s="13">
        <f>VLOOKUP(A186,'Données projet'!$A$165:$I$185,9,0)</f>
        <v>1.9533333333333285</v>
      </c>
      <c r="DN186" s="13">
        <f t="array" ref="DN186">INDEX(DM:DM,MIN(IF(ISNUMBER(DM186:DM382),ROW(DM186:DM382),"")))</f>
        <v>1.9533333333333285</v>
      </c>
      <c r="DO186" s="13">
        <f>IF('Données projet'!$A$166&gt;35,DO185+DN186-DW185,IF(A186&lt;'Données projet'!$A$166,$DL$205^A186,IF(A186='Données projet'!$A$166,'Données projet'!$B$166,DO185+DN186-DW185)))</f>
        <v>169.76000000000047</v>
      </c>
      <c r="DP186" s="18">
        <f>DO186*VLOOKUP('Données projet'!$B$14,Paramètres!$A$1:$I$89,3,0)*VLOOKUP('Données projet'!$B$14,Paramètres!$A$1:$I$89,5,0)</f>
        <v>143.00582400000042</v>
      </c>
      <c r="DQ186" s="14">
        <f t="shared" si="176"/>
        <v>36.984743922043101</v>
      </c>
      <c r="DR186" s="22">
        <f t="shared" si="177"/>
        <v>313.48357246422574</v>
      </c>
      <c r="DS186" s="62">
        <f t="shared" si="125"/>
        <v>606.816905797559</v>
      </c>
      <c r="DT186" s="62">
        <f ca="1">AVERAGE(OFFSET($DS$3,0,0,'Données projet'!$E$14+1,1))-AVERAGE(OFFSET($H$3,0,0,'Données projet'!$E$14+1,1))</f>
        <v>544.89250424794909</v>
      </c>
      <c r="DU186" s="62">
        <f t="shared" si="152"/>
        <v>253.98688498110715</v>
      </c>
      <c r="DV186" s="16">
        <f>IF(ISNA(VLOOKUP(A186,'Données projet'!$A$165:$I$185,3,0)),0,VLOOKUP(A186,'Données projet'!$A$165:$I$185,3,0))</f>
        <v>18</v>
      </c>
      <c r="DW186" s="16">
        <f>IF(ISNA(VLOOKUP(A186,'Données projet'!$A$165:$I$185,4,0)),0,VLOOKUP(A186,'Données projet'!$A$165:$I$185,4,0))</f>
        <v>169.76</v>
      </c>
      <c r="DX186" s="17">
        <f>IF(ISNA(VLOOKUP(A186,'Données projet'!$A$165:$I$185,5,0)),0%,VLOOKUP(A186,'Données projet'!$A$165:$I$185,5,0)*VLOOKUP('Données projet'!$B$14,Paramètres!$A$1:$I$89,7,0))</f>
        <v>0.34400000000000003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219.30246478467487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219.30246478467487</v>
      </c>
      <c r="EE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>
        <f>VLOOKUP(A186,'Données projet'!$A$191:$I$211,2,0)</f>
        <v>169.76</v>
      </c>
      <c r="EH186" s="13">
        <f>VLOOKUP(A186,'Données projet'!$A$191:$I$211,9,0)</f>
        <v>1.9533333333333285</v>
      </c>
      <c r="EI186" s="13">
        <f t="array" ref="EI186">INDEX(EH:EH,MIN(IF(ISNUMBER(EH186:EH382),ROW(EH186:EH382),"")))</f>
        <v>1.9533333333333285</v>
      </c>
      <c r="EJ186" s="13">
        <f>IF('Données projet'!$A$192&gt;35,EJ185+EI186-ER185,IF(A186&lt;'Données projet'!$A$192,$EG$205^A186,IF(A186='Données projet'!$A$192,'Données projet'!$B$192,EJ185+EI186-ER185)))</f>
        <v>169.76000000000047</v>
      </c>
      <c r="EK186" s="18">
        <f>EJ186*VLOOKUP('Données projet'!$B$15,Paramètres!$A$1:$I$89,3,0)*VLOOKUP('Données projet'!$B$15,Paramètres!$A$1:$I$89,5,0)</f>
        <v>153.5988480000004</v>
      </c>
      <c r="EL186" s="14">
        <f t="shared" si="179"/>
        <v>39.395304802658316</v>
      </c>
      <c r="EM186" s="22">
        <f t="shared" si="180"/>
        <v>336.13148279796388</v>
      </c>
      <c r="EN186" s="62">
        <f t="shared" si="128"/>
        <v>629.4648161312972</v>
      </c>
      <c r="EO186" s="62">
        <f ca="1">AVERAGE(OFFSET($EN$3,0,0,'Données projet'!$E$15+1,1))-AVERAGE(OFFSET($H$3,0,0,'Données projet'!$E$15+1,1))</f>
        <v>581.88778927327667</v>
      </c>
      <c r="EP186" s="62">
        <f t="shared" si="154"/>
        <v>269.67340993773422</v>
      </c>
      <c r="EQ186" s="16">
        <f>IF(ISNA(VLOOKUP(A186,'Données projet'!$A$191:$I$211,3,0)),0,VLOOKUP(A186,'Données projet'!$A$191:$I$211,3,0))</f>
        <v>18</v>
      </c>
      <c r="ER186" s="16">
        <f>IF(ISNA(VLOOKUP(A186,'Données projet'!$A$191:$I$211,4,0)),0,VLOOKUP(A186,'Données projet'!$A$191:$I$211,4,0))</f>
        <v>169.76</v>
      </c>
      <c r="ES186" s="17">
        <f>IF(ISNA(VLOOKUP(A186,'Données projet'!$A$191:$I$211,5,0)),0%,VLOOKUP(A186,'Données projet'!$A$191:$I$211,5,0)*VLOOKUP('Données projet'!$B$15,Paramètres!$A$1:$I$89,7,0))</f>
        <v>0.34400000000000003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235.54709180576182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235.54709180576182</v>
      </c>
      <c r="EZ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>
        <f>VLOOKUP(A186,'Données projet'!$A$217:$I$237,2,0)</f>
        <v>169.76</v>
      </c>
      <c r="FC186" s="13">
        <f>VLOOKUP(A186,'Données projet'!$A$217:$I$237,9,0)</f>
        <v>1.9533333333333285</v>
      </c>
      <c r="FD186" s="13">
        <f t="array" ref="FD186">INDEX(FC:FC,MIN(IF(ISNUMBER(FC186:FC382),ROW(FC186:FC382),"")))</f>
        <v>1.9533333333333285</v>
      </c>
      <c r="FE186" s="13">
        <f>IF('Données projet'!$A$218&gt;35,FE185+FD186-FM185,IF(A186&lt;'Données projet'!$A$218,$FB$205^A186,IF(A186='Données projet'!$A$218,'Données projet'!$B$218,FE185+FD186-FM185)))</f>
        <v>169.76000000000047</v>
      </c>
      <c r="FF186" s="18">
        <f>FE186*VLOOKUP('Données projet'!$B$16,Paramètres!$A$1:$I$89,3,0)*VLOOKUP('Données projet'!$B$16,Paramètres!$A$1:$I$89,5,0)</f>
        <v>172.13664000000048</v>
      </c>
      <c r="FG186" s="14">
        <f t="shared" si="182"/>
        <v>43.568211452887901</v>
      </c>
      <c r="FH186" s="22">
        <f t="shared" si="183"/>
        <v>375.68594961378062</v>
      </c>
      <c r="FI186" s="62">
        <f t="shared" si="131"/>
        <v>669.01928294711388</v>
      </c>
      <c r="FJ186" s="62">
        <f ca="1">AVERAGE(OFFSET($FI$3,0,0,'Données projet'!$E$16+1,1))-AVERAGE(OFFSET($H$3,0,0,'Données projet'!$E$16+1,1))</f>
        <v>646.50767193970182</v>
      </c>
      <c r="FK186" s="62">
        <f t="shared" si="156"/>
        <v>297.06786598620607</v>
      </c>
      <c r="FL186" s="16">
        <f>IF(ISNA(VLOOKUP(A186,'Données projet'!$A$217:$I$237,3,0)),0,VLOOKUP(A186,'Données projet'!$A$217:$I$237,3,0))</f>
        <v>18</v>
      </c>
      <c r="FM186" s="16">
        <f>IF(ISNA(VLOOKUP(A186,'Données projet'!$A$217:$I$237,4,0)),0,VLOOKUP(A186,'Données projet'!$A$217:$I$237,4,0))</f>
        <v>169.76</v>
      </c>
      <c r="FN186" s="17">
        <f>IF(ISNA(VLOOKUP(A186,'Données projet'!$A$217:$I$237,5,0)),0%,VLOOKUP(A186,'Données projet'!$A$217:$I$237,5,0)*VLOOKUP('Données projet'!$B$16,Paramètres!$A$1:$I$89,7,0))</f>
        <v>0.34400000000000003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263.9751890926641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263.9751890926641</v>
      </c>
      <c r="FU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>
        <f>VLOOKUP(A186,'Données projet'!$A$243:$I$263,2,0)</f>
        <v>169.76</v>
      </c>
      <c r="FX186" s="13">
        <f>VLOOKUP(A186,'Données projet'!$A$243:$I$263,9,0)</f>
        <v>1.9533333333333285</v>
      </c>
      <c r="FY186" s="13">
        <f t="array" ref="FY186">INDEX(FX:FX,MIN(IF(ISNUMBER(FX186:FX382),ROW(FX186:FX382),"")))</f>
        <v>1.9533333333333285</v>
      </c>
      <c r="FZ186" s="13">
        <f>IF('Données projet'!$A$244&gt;35,FZ185+FY186-GH185,IF(A186&lt;'Données projet'!$A$244,$FW$205^A186,IF(A186='Données projet'!$A$244,'Données projet'!$B$244,FZ185+FY186-GH185)))</f>
        <v>169.76000000000047</v>
      </c>
      <c r="GA186" s="18">
        <f>FZ186*VLOOKUP('Données projet'!$B$17,Paramètres!$A$1:$I$89,3,0)*VLOOKUP('Données projet'!$B$17,Paramètres!$A$1:$I$89,5,0)</f>
        <v>113.87500800000032</v>
      </c>
      <c r="GB186" s="14">
        <f t="shared" si="185"/>
        <v>30.242118947318353</v>
      </c>
      <c r="GC186" s="22">
        <f t="shared" si="186"/>
        <v>251.00399609991334</v>
      </c>
      <c r="GD186" s="62">
        <f t="shared" si="134"/>
        <v>544.33732943324662</v>
      </c>
      <c r="GE186" s="62">
        <f ca="1">AVERAGE(OFFSET($GD$3,0,0,'Données projet'!$E$17+1,1))-AVERAGE(OFFSET($H$3,0,0,'Données projet'!$E$17+1,1))</f>
        <v>442.85175349826028</v>
      </c>
      <c r="GF186" s="62">
        <f t="shared" si="158"/>
        <v>210.70697808232501</v>
      </c>
      <c r="GG186" s="16">
        <f>IF(ISNA(VLOOKUP(A186,'Données projet'!$A$243:$I$263,3,0)),0,VLOOKUP(A186,'Données projet'!$A$243:$I$263,3,0))</f>
        <v>18</v>
      </c>
      <c r="GH186" s="16">
        <f>IF(ISNA(VLOOKUP(A186,'Données projet'!$A$243:$I$263,4,0)),0,VLOOKUP(A186,'Données projet'!$A$243:$I$263,4,0))</f>
        <v>169.76</v>
      </c>
      <c r="GI186" s="17">
        <f>IF(ISNA(VLOOKUP(A186,'Données projet'!$A$243:$I$263,5,0)),0%,VLOOKUP(A186,'Données projet'!$A$243:$I$263,5,0)*VLOOKUP('Données projet'!$B$17,Paramètres!$A$1:$I$89,7,0))</f>
        <v>0.42400000000000004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215.24130802940303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215.24130802940303</v>
      </c>
      <c r="GP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-3.4106051316484809E-13</v>
      </c>
      <c r="GV186" s="18">
        <f>GU186*VLOOKUP('Données projet'!$B$18,Paramètres!$A$1:$I$89,3,0)*VLOOKUP('Données projet'!$B$18,Paramètres!$A$1:$I$89,5,0)</f>
        <v>-3.2455318432766944E-13</v>
      </c>
      <c r="GW186" s="14" t="e">
        <f t="shared" si="188"/>
        <v>#NUM!</v>
      </c>
      <c r="GX186" s="22" t="e">
        <f t="shared" si="189"/>
        <v>#NUM!</v>
      </c>
      <c r="GY186" s="62" t="e">
        <f t="shared" si="137"/>
        <v>#NUM!</v>
      </c>
      <c r="GZ186" s="62">
        <f ca="1">AVERAGE(OFFSET($GY$3,0,0,'Données projet'!$E$18+1,1))-AVERAGE(OFFSET($H$3,0,0,'Données projet'!$E$18+1,1))</f>
        <v>420.2510366318939</v>
      </c>
      <c r="HA186" s="62">
        <f t="shared" si="160"/>
        <v>220.59884411514116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51.093011493716951</v>
      </c>
      <c r="HH186" s="23">
        <f>EXP(-LN(2)/25)*HH185+(1-EXP(-LN(2)/25))/(LN(2)/25)*Calculateur!HC186*Calculateur!HE186*VLOOKUP('Données projet'!$B$18,Paramètres!$A$1:$I$89,3,0)*0.475*44/12</f>
        <v>0</v>
      </c>
      <c r="HI186" s="23">
        <f>EXP(-LN(2)/2)*HI185+(1-EXP(-LN(2)/2))/(LN(2)/2)*HC186*HF186*VLOOKUP('Données projet'!$B$18,Paramètres!$A$1:$I$89,3,0)*0.475*44/12</f>
        <v>0</v>
      </c>
      <c r="HJ186" s="24">
        <f t="shared" si="190"/>
        <v>51.093011493716951</v>
      </c>
    </row>
    <row r="187" spans="1:218" x14ac:dyDescent="0.2">
      <c r="A187" s="11">
        <f t="shared" si="161"/>
        <v>184</v>
      </c>
      <c r="B187" s="74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-4.5474735088646412E-13</v>
      </c>
      <c r="O187" s="14">
        <f>N187*VLOOKUP('Données projet'!$B$9,Paramètres!$A$1:$I$89,3,0)*VLOOKUP('Données projet'!$B$9,Paramètres!$A$1:$I$89,5,0)</f>
        <v>-3.9017322706058626E-13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623.31285537237943</v>
      </c>
      <c r="T187" s="62">
        <f t="shared" si="142"/>
        <v>462.33909258902241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53.305104495981709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53.305104495981709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4.9658410716801891E-14</v>
      </c>
      <c r="AK187" s="14">
        <f t="shared" si="164"/>
        <v>8.0934058173791862E-13</v>
      </c>
      <c r="AL187" s="22">
        <f t="shared" si="165"/>
        <v>1.4960899118586383E-12</v>
      </c>
      <c r="AM187" s="62">
        <f t="shared" si="113"/>
        <v>293.33333333333479</v>
      </c>
      <c r="AN187" s="62">
        <f ca="1">AVERAGE(OFFSET($AM$3,0,0,'Données projet'!$E$10+1,1))-AVERAGE(OFFSET($H$3,0,0,'Données projet'!$E$10+1,1))</f>
        <v>390.70479111593545</v>
      </c>
      <c r="AO187" s="62">
        <f t="shared" si="144"/>
        <v>374.99493809709708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20.997517083239526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20.997517083239526</v>
      </c>
      <c r="AY187" s="7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5.6843418860808015E-14</v>
      </c>
      <c r="BE187" s="14">
        <f>BD187*VLOOKUP('Données projet'!$B$11,Paramètres!$A$1:$I$89,3,0)*VLOOKUP('Données projet'!$B$11,Paramètres!$A$1:$I$89,5,0)</f>
        <v>4.5224624045658861E-14</v>
      </c>
      <c r="BF187" s="14">
        <f t="shared" si="167"/>
        <v>7.4514601661523691E-13</v>
      </c>
      <c r="BG187" s="22">
        <f t="shared" si="168"/>
        <v>1.3765621991510601E-12</v>
      </c>
      <c r="BH187" s="62">
        <f t="shared" si="116"/>
        <v>293.33333333333468</v>
      </c>
      <c r="BI187" s="62">
        <f ca="1">AVERAGE(OFFSET($BH$3,0,0,'Données projet'!$E$11+1,1))-AVERAGE(OFFSET($H$3,0,0,'Données projet'!$E$11+1,1))</f>
        <v>359.18294335011535</v>
      </c>
      <c r="BJ187" s="62">
        <f t="shared" si="146"/>
        <v>345.47508134331241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19.122738772235984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19.122738772235984</v>
      </c>
      <c r="BT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5.6843418860808015E-14</v>
      </c>
      <c r="BZ187" s="14">
        <f>BY187*VLOOKUP('Données projet'!$B$12,Paramètres!$A$1:$I$89,3,0)*VLOOKUP('Données projet'!$B$12,Paramètres!$A$1:$I$89,5,0)</f>
        <v>4.1677594708744434E-14</v>
      </c>
      <c r="CA187" s="14">
        <f t="shared" si="170"/>
        <v>6.9326303456159188E-13</v>
      </c>
      <c r="CB187" s="22">
        <f t="shared" si="171"/>
        <v>1.2800215959791691E-12</v>
      </c>
      <c r="CC187" s="62">
        <f t="shared" si="119"/>
        <v>293.33333333333462</v>
      </c>
      <c r="CD187" s="62">
        <f ca="1">AVERAGE(OFFSET($CC$3,0,0,'Données projet'!$E$12+1,1))-AVERAGE(OFFSET($H$3,0,0,'Données projet'!$E$12+1,1))</f>
        <v>333.9187211440219</v>
      </c>
      <c r="CE187" s="62">
        <f t="shared" si="148"/>
        <v>321.81422611044997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14.297837609577845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14.297837609577845</v>
      </c>
      <c r="CO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5.6843418860808015E-14</v>
      </c>
      <c r="CU187" s="18">
        <f>CT187*VLOOKUP('Données projet'!$B$13,Paramètres!$A$1:$I$89,3,0)*VLOOKUP('Données projet'!$B$13,Paramètres!$A$1:$I$89,5,0)</f>
        <v>4.6111381379887463E-14</v>
      </c>
      <c r="CV187" s="14">
        <f t="shared" si="173"/>
        <v>7.5804141040779151E-13</v>
      </c>
      <c r="CW187" s="22">
        <f t="shared" si="174"/>
        <v>1.4005661123635408E-12</v>
      </c>
      <c r="CX187" s="62">
        <f t="shared" si="122"/>
        <v>293.33333333333474</v>
      </c>
      <c r="CY187" s="62">
        <f ca="1">AVERAGE(OFFSET($CX$3,0,0,'Données projet'!$E$13+1,1))-AVERAGE(OFFSET($H$3,0,0,'Données projet'!$E$13+1,1))</f>
        <v>365.492319515595</v>
      </c>
      <c r="CZ187" s="62">
        <f t="shared" si="150"/>
        <v>351.38386928091433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15.818884163788251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15.818884163788251</v>
      </c>
      <c r="DJ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4.8316906031686813E-13</v>
      </c>
      <c r="DP187" s="18">
        <f>DO187*VLOOKUP('Données projet'!$B$14,Paramètres!$A$1:$I$89,3,0)*VLOOKUP('Données projet'!$B$14,Paramètres!$A$1:$I$89,5,0)</f>
        <v>4.0702161641092972E-13</v>
      </c>
      <c r="DQ187" s="14">
        <f t="shared" si="176"/>
        <v>5.1929012680997463E-12</v>
      </c>
      <c r="DR187" s="22">
        <f t="shared" si="177"/>
        <v>9.7531990238560927E-12</v>
      </c>
      <c r="DS187" s="62">
        <f t="shared" si="125"/>
        <v>293.33333333334309</v>
      </c>
      <c r="DT187" s="62">
        <f ca="1">AVERAGE(OFFSET($DS$3,0,0,'Données projet'!$E$14+1,1))-AVERAGE(OFFSET($H$3,0,0,'Données projet'!$E$14+1,1))</f>
        <v>544.89250424794909</v>
      </c>
      <c r="DU187" s="62">
        <f t="shared" si="152"/>
        <v>253.98688498110715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215.00207721154308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215.00207721154308</v>
      </c>
      <c r="EE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4.8316906031686813E-13</v>
      </c>
      <c r="EK187" s="18">
        <f>EJ187*VLOOKUP('Données projet'!$B$15,Paramètres!$A$1:$I$89,3,0)*VLOOKUP('Données projet'!$B$15,Paramètres!$A$1:$I$89,5,0)</f>
        <v>4.3717136577470225E-13</v>
      </c>
      <c r="EL187" s="14">
        <f t="shared" si="179"/>
        <v>5.5313598682231701E-12</v>
      </c>
      <c r="EM187" s="22">
        <f t="shared" si="180"/>
        <v>1.039519189921296E-11</v>
      </c>
      <c r="EN187" s="62">
        <f t="shared" si="128"/>
        <v>293.33333333334372</v>
      </c>
      <c r="EO187" s="62">
        <f ca="1">AVERAGE(OFFSET($EN$3,0,0,'Données projet'!$E$15+1,1))-AVERAGE(OFFSET($H$3,0,0,'Données projet'!$E$15+1,1))</f>
        <v>581.88778927327667</v>
      </c>
      <c r="EP187" s="62">
        <f t="shared" si="154"/>
        <v>269.67340993773422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230.92815700499065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230.92815700499065</v>
      </c>
      <c r="EZ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4.8316906031686813E-13</v>
      </c>
      <c r="FF187" s="18">
        <f>FE187*VLOOKUP('Données projet'!$B$16,Paramètres!$A$1:$I$89,3,0)*VLOOKUP('Données projet'!$B$16,Paramètres!$A$1:$I$89,5,0)</f>
        <v>4.8993342716130437E-13</v>
      </c>
      <c r="FG187" s="14">
        <f t="shared" si="182"/>
        <v>6.1172634040517391E-12</v>
      </c>
      <c r="FH187" s="22">
        <f t="shared" si="183"/>
        <v>1.1507534481029384E-11</v>
      </c>
      <c r="FI187" s="62">
        <f t="shared" si="131"/>
        <v>293.3333333333448</v>
      </c>
      <c r="FJ187" s="62">
        <f ca="1">AVERAGE(OFFSET($FI$3,0,0,'Données projet'!$E$16+1,1))-AVERAGE(OFFSET($H$3,0,0,'Données projet'!$E$16+1,1))</f>
        <v>646.50767193970182</v>
      </c>
      <c r="FK187" s="62">
        <f t="shared" si="156"/>
        <v>297.06786598620607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258.79879664352399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258.79879664352399</v>
      </c>
      <c r="FU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4.8316906031686813E-13</v>
      </c>
      <c r="GA187" s="18">
        <f>FZ187*VLOOKUP('Données projet'!$B$17,Paramètres!$A$1:$I$89,3,0)*VLOOKUP('Données projet'!$B$17,Paramètres!$A$1:$I$89,5,0)</f>
        <v>3.2410980566055511E-13</v>
      </c>
      <c r="GB187" s="14">
        <f t="shared" si="185"/>
        <v>4.246192380365624E-12</v>
      </c>
      <c r="GC187" s="22">
        <f t="shared" si="186"/>
        <v>7.9599429739955953E-12</v>
      </c>
      <c r="GD187" s="62">
        <f t="shared" si="134"/>
        <v>293.33333333334127</v>
      </c>
      <c r="GE187" s="62">
        <f ca="1">AVERAGE(OFFSET($GD$3,0,0,'Données projet'!$E$17+1,1))-AVERAGE(OFFSET($H$3,0,0,'Données projet'!$E$17+1,1))</f>
        <v>442.85175349826028</v>
      </c>
      <c r="GF187" s="62">
        <f t="shared" si="158"/>
        <v>210.70697808232501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211.0205572631811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211.0205572631811</v>
      </c>
      <c r="GP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-3.4106051316484809E-13</v>
      </c>
      <c r="GV187" s="18">
        <f>GU187*VLOOKUP('Données projet'!$B$18,Paramètres!$A$1:$I$89,3,0)*VLOOKUP('Données projet'!$B$18,Paramètres!$A$1:$I$89,5,0)</f>
        <v>-3.2455318432766944E-13</v>
      </c>
      <c r="GW187" s="14" t="e">
        <f t="shared" si="188"/>
        <v>#NUM!</v>
      </c>
      <c r="GX187" s="22" t="e">
        <f t="shared" si="189"/>
        <v>#NUM!</v>
      </c>
      <c r="GY187" s="62" t="e">
        <f t="shared" si="137"/>
        <v>#NUM!</v>
      </c>
      <c r="GZ187" s="62">
        <f ca="1">AVERAGE(OFFSET($GY$3,0,0,'Données projet'!$E$18+1,1))-AVERAGE(OFFSET($H$3,0,0,'Données projet'!$E$18+1,1))</f>
        <v>420.2510366318939</v>
      </c>
      <c r="HA187" s="62">
        <f t="shared" si="160"/>
        <v>220.59884411514116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50.091108701985014</v>
      </c>
      <c r="HH187" s="23">
        <f>EXP(-LN(2)/25)*HH186+(1-EXP(-LN(2)/25))/(LN(2)/25)*Calculateur!HC187*Calculateur!HE187*VLOOKUP('Données projet'!$B$18,Paramètres!$A$1:$I$89,3,0)*0.475*44/12</f>
        <v>0</v>
      </c>
      <c r="HI187" s="23">
        <f>EXP(-LN(2)/2)*HI186+(1-EXP(-LN(2)/2))/(LN(2)/2)*HC187*HF187*VLOOKUP('Données projet'!$B$18,Paramètres!$A$1:$I$89,3,0)*0.475*44/12</f>
        <v>0</v>
      </c>
      <c r="HJ187" s="24">
        <f t="shared" si="190"/>
        <v>50.091108701985014</v>
      </c>
    </row>
    <row r="188" spans="1:218" x14ac:dyDescent="0.2">
      <c r="A188" s="11">
        <f t="shared" si="161"/>
        <v>185</v>
      </c>
      <c r="B188" s="74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-4.5474735088646412E-13</v>
      </c>
      <c r="O188" s="14">
        <f>N188*VLOOKUP('Données projet'!$B$9,Paramètres!$A$1:$I$89,3,0)*VLOOKUP('Données projet'!$B$9,Paramètres!$A$1:$I$89,5,0)</f>
        <v>-3.9017322706058626E-13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623.31285537237943</v>
      </c>
      <c r="T188" s="62">
        <f t="shared" si="142"/>
        <v>462.33909258902241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52.259823909718868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52.259823909718868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4.9658410716801891E-14</v>
      </c>
      <c r="AK188" s="14">
        <f t="shared" si="164"/>
        <v>8.0934058173791862E-13</v>
      </c>
      <c r="AL188" s="22">
        <f t="shared" si="165"/>
        <v>1.4960899118586383E-12</v>
      </c>
      <c r="AM188" s="62">
        <f t="shared" si="113"/>
        <v>293.33333333333479</v>
      </c>
      <c r="AN188" s="62">
        <f ca="1">AVERAGE(OFFSET($AM$3,0,0,'Données projet'!$E$10+1,1))-AVERAGE(OFFSET($H$3,0,0,'Données projet'!$E$10+1,1))</f>
        <v>390.70479111593545</v>
      </c>
      <c r="AO188" s="62">
        <f t="shared" si="144"/>
        <v>374.99493809709708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20.585768580458012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20.585768580458012</v>
      </c>
      <c r="AY188" s="7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5.6843418860808015E-14</v>
      </c>
      <c r="BE188" s="14">
        <f>BD188*VLOOKUP('Données projet'!$B$11,Paramètres!$A$1:$I$89,3,0)*VLOOKUP('Données projet'!$B$11,Paramètres!$A$1:$I$89,5,0)</f>
        <v>4.5224624045658861E-14</v>
      </c>
      <c r="BF188" s="14">
        <f t="shared" si="167"/>
        <v>7.4514601661523691E-13</v>
      </c>
      <c r="BG188" s="22">
        <f t="shared" si="168"/>
        <v>1.3765621991510601E-12</v>
      </c>
      <c r="BH188" s="62">
        <f t="shared" si="116"/>
        <v>293.33333333333468</v>
      </c>
      <c r="BI188" s="62">
        <f ca="1">AVERAGE(OFFSET($BH$3,0,0,'Données projet'!$E$11+1,1))-AVERAGE(OFFSET($H$3,0,0,'Données projet'!$E$11+1,1))</f>
        <v>359.18294335011535</v>
      </c>
      <c r="BJ188" s="62">
        <f t="shared" si="146"/>
        <v>345.47508134331241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18.747753528631389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18.747753528631389</v>
      </c>
      <c r="BT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5.6843418860808015E-14</v>
      </c>
      <c r="BZ188" s="14">
        <f>BY188*VLOOKUP('Données projet'!$B$12,Paramètres!$A$1:$I$89,3,0)*VLOOKUP('Données projet'!$B$12,Paramètres!$A$1:$I$89,5,0)</f>
        <v>4.1677594708744434E-14</v>
      </c>
      <c r="CA188" s="14">
        <f t="shared" si="170"/>
        <v>6.9326303456159188E-13</v>
      </c>
      <c r="CB188" s="22">
        <f t="shared" si="171"/>
        <v>1.2800215959791691E-12</v>
      </c>
      <c r="CC188" s="62">
        <f t="shared" si="119"/>
        <v>293.33333333333462</v>
      </c>
      <c r="CD188" s="62">
        <f ca="1">AVERAGE(OFFSET($CC$3,0,0,'Données projet'!$E$12+1,1))-AVERAGE(OFFSET($H$3,0,0,'Données projet'!$E$12+1,1))</f>
        <v>333.9187211440219</v>
      </c>
      <c r="CE188" s="62">
        <f t="shared" si="148"/>
        <v>321.81422611044997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14.017465734873856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14.017465734873856</v>
      </c>
      <c r="CO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5.6843418860808015E-14</v>
      </c>
      <c r="CU188" s="18">
        <f>CT188*VLOOKUP('Données projet'!$B$13,Paramètres!$A$1:$I$89,3,0)*VLOOKUP('Données projet'!$B$13,Paramètres!$A$1:$I$89,5,0)</f>
        <v>4.6111381379887463E-14</v>
      </c>
      <c r="CV188" s="14">
        <f t="shared" si="173"/>
        <v>7.5804141040779151E-13</v>
      </c>
      <c r="CW188" s="22">
        <f t="shared" si="174"/>
        <v>1.4005661123635408E-12</v>
      </c>
      <c r="CX188" s="62">
        <f t="shared" si="122"/>
        <v>293.33333333333474</v>
      </c>
      <c r="CY188" s="62">
        <f ca="1">AVERAGE(OFFSET($CX$3,0,0,'Données projet'!$E$13+1,1))-AVERAGE(OFFSET($H$3,0,0,'Données projet'!$E$13+1,1))</f>
        <v>365.492319515595</v>
      </c>
      <c r="CZ188" s="62">
        <f t="shared" si="150"/>
        <v>351.38386928091433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15.508685493902986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15.508685493902986</v>
      </c>
      <c r="DJ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4.8316906031686813E-13</v>
      </c>
      <c r="DP188" s="18">
        <f>DO188*VLOOKUP('Données projet'!$B$14,Paramètres!$A$1:$I$89,3,0)*VLOOKUP('Données projet'!$B$14,Paramètres!$A$1:$I$89,5,0)</f>
        <v>4.0702161641092972E-13</v>
      </c>
      <c r="DQ188" s="14">
        <f t="shared" si="176"/>
        <v>5.1929012680997463E-12</v>
      </c>
      <c r="DR188" s="22">
        <f t="shared" si="177"/>
        <v>9.7531990238560927E-12</v>
      </c>
      <c r="DS188" s="62">
        <f t="shared" si="125"/>
        <v>293.33333333334309</v>
      </c>
      <c r="DT188" s="62">
        <f ca="1">AVERAGE(OFFSET($DS$3,0,0,'Données projet'!$E$14+1,1))-AVERAGE(OFFSET($H$3,0,0,'Données projet'!$E$14+1,1))</f>
        <v>544.89250424794909</v>
      </c>
      <c r="DU188" s="62">
        <f t="shared" si="152"/>
        <v>253.98688498110715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210.78601761574299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210.78601761574299</v>
      </c>
      <c r="EE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4.8316906031686813E-13</v>
      </c>
      <c r="EK188" s="18">
        <f>EJ188*VLOOKUP('Données projet'!$B$15,Paramètres!$A$1:$I$89,3,0)*VLOOKUP('Données projet'!$B$15,Paramètres!$A$1:$I$89,5,0)</f>
        <v>4.3717136577470225E-13</v>
      </c>
      <c r="EL188" s="14">
        <f t="shared" si="179"/>
        <v>5.5313598682231701E-12</v>
      </c>
      <c r="EM188" s="22">
        <f t="shared" si="180"/>
        <v>1.039519189921296E-11</v>
      </c>
      <c r="EN188" s="62">
        <f t="shared" si="128"/>
        <v>293.33333333334372</v>
      </c>
      <c r="EO188" s="62">
        <f ca="1">AVERAGE(OFFSET($EN$3,0,0,'Données projet'!$E$15+1,1))-AVERAGE(OFFSET($H$3,0,0,'Données projet'!$E$15+1,1))</f>
        <v>581.88778927327667</v>
      </c>
      <c r="EP188" s="62">
        <f t="shared" si="154"/>
        <v>269.67340993773422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226.39979669839056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226.39979669839056</v>
      </c>
      <c r="EZ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4.8316906031686813E-13</v>
      </c>
      <c r="FF188" s="18">
        <f>FE188*VLOOKUP('Données projet'!$B$16,Paramètres!$A$1:$I$89,3,0)*VLOOKUP('Données projet'!$B$16,Paramètres!$A$1:$I$89,5,0)</f>
        <v>4.8993342716130437E-13</v>
      </c>
      <c r="FG188" s="14">
        <f t="shared" si="182"/>
        <v>6.1172634040517391E-12</v>
      </c>
      <c r="FH188" s="22">
        <f t="shared" si="183"/>
        <v>1.1507534481029384E-11</v>
      </c>
      <c r="FI188" s="62">
        <f t="shared" si="131"/>
        <v>293.3333333333448</v>
      </c>
      <c r="FJ188" s="62">
        <f ca="1">AVERAGE(OFFSET($FI$3,0,0,'Données projet'!$E$16+1,1))-AVERAGE(OFFSET($H$3,0,0,'Données projet'!$E$16+1,1))</f>
        <v>646.50767193970182</v>
      </c>
      <c r="FK188" s="62">
        <f t="shared" si="156"/>
        <v>297.06786598620607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253.72391009302387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253.72391009302387</v>
      </c>
      <c r="FU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4.8316906031686813E-13</v>
      </c>
      <c r="GA188" s="18">
        <f>FZ188*VLOOKUP('Données projet'!$B$17,Paramètres!$A$1:$I$89,3,0)*VLOOKUP('Données projet'!$B$17,Paramètres!$A$1:$I$89,5,0)</f>
        <v>3.2410980566055511E-13</v>
      </c>
      <c r="GB188" s="14">
        <f t="shared" si="185"/>
        <v>4.246192380365624E-12</v>
      </c>
      <c r="GC188" s="22">
        <f t="shared" si="186"/>
        <v>7.9599429739955953E-12</v>
      </c>
      <c r="GD188" s="62">
        <f t="shared" si="134"/>
        <v>293.33333333334127</v>
      </c>
      <c r="GE188" s="62">
        <f ca="1">AVERAGE(OFFSET($GD$3,0,0,'Données projet'!$E$17+1,1))-AVERAGE(OFFSET($H$3,0,0,'Données projet'!$E$17+1,1))</f>
        <v>442.85175349826028</v>
      </c>
      <c r="GF188" s="62">
        <f t="shared" si="158"/>
        <v>210.70697808232501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206.882572845081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206.882572845081</v>
      </c>
      <c r="GP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-3.4106051316484809E-13</v>
      </c>
      <c r="GV188" s="18">
        <f>GU188*VLOOKUP('Données projet'!$B$18,Paramètres!$A$1:$I$89,3,0)*VLOOKUP('Données projet'!$B$18,Paramètres!$A$1:$I$89,5,0)</f>
        <v>-3.2455318432766944E-13</v>
      </c>
      <c r="GW188" s="14" t="e">
        <f t="shared" si="188"/>
        <v>#NUM!</v>
      </c>
      <c r="GX188" s="22" t="e">
        <f t="shared" si="189"/>
        <v>#NUM!</v>
      </c>
      <c r="GY188" s="62" t="e">
        <f t="shared" si="137"/>
        <v>#NUM!</v>
      </c>
      <c r="GZ188" s="62">
        <f ca="1">AVERAGE(OFFSET($GY$3,0,0,'Données projet'!$E$18+1,1))-AVERAGE(OFFSET($H$3,0,0,'Données projet'!$E$18+1,1))</f>
        <v>420.2510366318939</v>
      </c>
      <c r="HA188" s="62">
        <f t="shared" si="160"/>
        <v>220.59884411514116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49.108852612898581</v>
      </c>
      <c r="HH188" s="23">
        <f>EXP(-LN(2)/25)*HH187+(1-EXP(-LN(2)/25))/(LN(2)/25)*Calculateur!HC188*Calculateur!HE188*VLOOKUP('Données projet'!$B$18,Paramètres!$A$1:$I$89,3,0)*0.475*44/12</f>
        <v>0</v>
      </c>
      <c r="HI188" s="23">
        <f>EXP(-LN(2)/2)*HI187+(1-EXP(-LN(2)/2))/(LN(2)/2)*HC188*HF188*VLOOKUP('Données projet'!$B$18,Paramètres!$A$1:$I$89,3,0)*0.475*44/12</f>
        <v>0</v>
      </c>
      <c r="HJ188" s="24">
        <f t="shared" si="190"/>
        <v>49.108852612898581</v>
      </c>
    </row>
    <row r="189" spans="1:218" x14ac:dyDescent="0.2">
      <c r="A189" s="11">
        <f t="shared" si="161"/>
        <v>186</v>
      </c>
      <c r="B189" s="74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-4.5474735088646412E-13</v>
      </c>
      <c r="O189" s="14">
        <f>N189*VLOOKUP('Données projet'!$B$9,Paramètres!$A$1:$I$89,3,0)*VLOOKUP('Données projet'!$B$9,Paramètres!$A$1:$I$89,5,0)</f>
        <v>-3.9017322706058626E-13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623.31285537237943</v>
      </c>
      <c r="T189" s="62">
        <f t="shared" si="142"/>
        <v>462.33909258902241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51.235040638194434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51.235040638194434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4.9658410716801891E-14</v>
      </c>
      <c r="AK189" s="14">
        <f t="shared" si="164"/>
        <v>8.0934058173791862E-13</v>
      </c>
      <c r="AL189" s="22">
        <f t="shared" si="165"/>
        <v>1.4960899118586383E-12</v>
      </c>
      <c r="AM189" s="62">
        <f t="shared" si="113"/>
        <v>293.33333333333479</v>
      </c>
      <c r="AN189" s="62">
        <f ca="1">AVERAGE(OFFSET($AM$3,0,0,'Données projet'!$E$10+1,1))-AVERAGE(OFFSET($H$3,0,0,'Données projet'!$E$10+1,1))</f>
        <v>390.70479111593545</v>
      </c>
      <c r="AO189" s="62">
        <f t="shared" si="144"/>
        <v>374.99493809709708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20.182094214674255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20.182094214674255</v>
      </c>
      <c r="AY189" s="7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5.6843418860808015E-14</v>
      </c>
      <c r="BE189" s="14">
        <f>BD189*VLOOKUP('Données projet'!$B$11,Paramètres!$A$1:$I$89,3,0)*VLOOKUP('Données projet'!$B$11,Paramètres!$A$1:$I$89,5,0)</f>
        <v>4.5224624045658861E-14</v>
      </c>
      <c r="BF189" s="14">
        <f t="shared" si="167"/>
        <v>7.4514601661523691E-13</v>
      </c>
      <c r="BG189" s="22">
        <f t="shared" si="168"/>
        <v>1.3765621991510601E-12</v>
      </c>
      <c r="BH189" s="62">
        <f t="shared" si="116"/>
        <v>293.33333333333468</v>
      </c>
      <c r="BI189" s="62">
        <f ca="1">AVERAGE(OFFSET($BH$3,0,0,'Données projet'!$E$11+1,1))-AVERAGE(OFFSET($H$3,0,0,'Données projet'!$E$11+1,1))</f>
        <v>359.18294335011535</v>
      </c>
      <c r="BJ189" s="62">
        <f t="shared" si="146"/>
        <v>345.47508134331241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18.380121516935468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18.380121516935468</v>
      </c>
      <c r="BT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5.6843418860808015E-14</v>
      </c>
      <c r="BZ189" s="14">
        <f>BY189*VLOOKUP('Données projet'!$B$12,Paramètres!$A$1:$I$89,3,0)*VLOOKUP('Données projet'!$B$12,Paramètres!$A$1:$I$89,5,0)</f>
        <v>4.1677594708744434E-14</v>
      </c>
      <c r="CA189" s="14">
        <f t="shared" si="170"/>
        <v>6.9326303456159188E-13</v>
      </c>
      <c r="CB189" s="22">
        <f t="shared" si="171"/>
        <v>1.2800215959791691E-12</v>
      </c>
      <c r="CC189" s="62">
        <f t="shared" si="119"/>
        <v>293.33333333333462</v>
      </c>
      <c r="CD189" s="62">
        <f ca="1">AVERAGE(OFFSET($CC$3,0,0,'Données projet'!$E$12+1,1))-AVERAGE(OFFSET($H$3,0,0,'Données projet'!$E$12+1,1))</f>
        <v>333.9187211440219</v>
      </c>
      <c r="CE189" s="62">
        <f t="shared" si="148"/>
        <v>321.81422611044997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13.742591781622854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13.742591781622854</v>
      </c>
      <c r="CO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5.6843418860808015E-14</v>
      </c>
      <c r="CU189" s="18">
        <f>CT189*VLOOKUP('Données projet'!$B$13,Paramètres!$A$1:$I$89,3,0)*VLOOKUP('Données projet'!$B$13,Paramètres!$A$1:$I$89,5,0)</f>
        <v>4.6111381379887463E-14</v>
      </c>
      <c r="CV189" s="14">
        <f t="shared" si="173"/>
        <v>7.5804141040779151E-13</v>
      </c>
      <c r="CW189" s="22">
        <f t="shared" si="174"/>
        <v>1.4005661123635408E-12</v>
      </c>
      <c r="CX189" s="62">
        <f t="shared" si="122"/>
        <v>293.33333333333474</v>
      </c>
      <c r="CY189" s="62">
        <f ca="1">AVERAGE(OFFSET($CX$3,0,0,'Données projet'!$E$13+1,1))-AVERAGE(OFFSET($H$3,0,0,'Données projet'!$E$13+1,1))</f>
        <v>365.492319515595</v>
      </c>
      <c r="CZ189" s="62">
        <f t="shared" si="150"/>
        <v>351.38386928091433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15.204569630731665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15.204569630731665</v>
      </c>
      <c r="DJ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4.8316906031686813E-13</v>
      </c>
      <c r="DP189" s="18">
        <f>DO189*VLOOKUP('Données projet'!$B$14,Paramètres!$A$1:$I$89,3,0)*VLOOKUP('Données projet'!$B$14,Paramètres!$A$1:$I$89,5,0)</f>
        <v>4.0702161641092972E-13</v>
      </c>
      <c r="DQ189" s="14">
        <f t="shared" si="176"/>
        <v>5.1929012680997463E-12</v>
      </c>
      <c r="DR189" s="22">
        <f t="shared" si="177"/>
        <v>9.7531990238560927E-12</v>
      </c>
      <c r="DS189" s="62">
        <f t="shared" si="125"/>
        <v>293.33333333334309</v>
      </c>
      <c r="DT189" s="62">
        <f ca="1">AVERAGE(OFFSET($DS$3,0,0,'Données projet'!$E$14+1,1))-AVERAGE(OFFSET($H$3,0,0,'Données projet'!$E$14+1,1))</f>
        <v>544.89250424794909</v>
      </c>
      <c r="DU189" s="62">
        <f t="shared" si="152"/>
        <v>253.98688498110715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206.6526323770741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206.6526323770741</v>
      </c>
      <c r="EE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4.8316906031686813E-13</v>
      </c>
      <c r="EK189" s="18">
        <f>EJ189*VLOOKUP('Données projet'!$B$15,Paramètres!$A$1:$I$89,3,0)*VLOOKUP('Données projet'!$B$15,Paramètres!$A$1:$I$89,5,0)</f>
        <v>4.3717136577470225E-13</v>
      </c>
      <c r="EL189" s="14">
        <f t="shared" si="179"/>
        <v>5.5313598682231701E-12</v>
      </c>
      <c r="EM189" s="22">
        <f t="shared" si="180"/>
        <v>1.039519189921296E-11</v>
      </c>
      <c r="EN189" s="62">
        <f t="shared" si="128"/>
        <v>293.33333333334372</v>
      </c>
      <c r="EO189" s="62">
        <f ca="1">AVERAGE(OFFSET($EN$3,0,0,'Données projet'!$E$15+1,1))-AVERAGE(OFFSET($H$3,0,0,'Données projet'!$E$15+1,1))</f>
        <v>581.88778927327667</v>
      </c>
      <c r="EP189" s="62">
        <f t="shared" si="154"/>
        <v>269.67340993773422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221.96023477537582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221.96023477537582</v>
      </c>
      <c r="EZ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4.8316906031686813E-13</v>
      </c>
      <c r="FF189" s="18">
        <f>FE189*VLOOKUP('Données projet'!$B$16,Paramètres!$A$1:$I$89,3,0)*VLOOKUP('Données projet'!$B$16,Paramètres!$A$1:$I$89,5,0)</f>
        <v>4.8993342716130437E-13</v>
      </c>
      <c r="FG189" s="14">
        <f t="shared" si="182"/>
        <v>6.1172634040517391E-12</v>
      </c>
      <c r="FH189" s="22">
        <f t="shared" si="183"/>
        <v>1.1507534481029384E-11</v>
      </c>
      <c r="FI189" s="62">
        <f t="shared" si="131"/>
        <v>293.3333333333448</v>
      </c>
      <c r="FJ189" s="62">
        <f ca="1">AVERAGE(OFFSET($FI$3,0,0,'Données projet'!$E$16+1,1))-AVERAGE(OFFSET($H$3,0,0,'Données projet'!$E$16+1,1))</f>
        <v>646.50767193970182</v>
      </c>
      <c r="FK189" s="62">
        <f t="shared" si="156"/>
        <v>297.06786598620607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248.74853897240391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248.74853897240391</v>
      </c>
      <c r="FU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4.8316906031686813E-13</v>
      </c>
      <c r="GA189" s="18">
        <f>FZ189*VLOOKUP('Données projet'!$B$17,Paramètres!$A$1:$I$89,3,0)*VLOOKUP('Données projet'!$B$17,Paramètres!$A$1:$I$89,5,0)</f>
        <v>3.2410980566055511E-13</v>
      </c>
      <c r="GB189" s="14">
        <f t="shared" si="185"/>
        <v>4.246192380365624E-12</v>
      </c>
      <c r="GC189" s="22">
        <f t="shared" si="186"/>
        <v>7.9599429739955953E-12</v>
      </c>
      <c r="GD189" s="62">
        <f t="shared" si="134"/>
        <v>293.33333333334127</v>
      </c>
      <c r="GE189" s="62">
        <f ca="1">AVERAGE(OFFSET($GD$3,0,0,'Données projet'!$E$17+1,1))-AVERAGE(OFFSET($H$3,0,0,'Données projet'!$E$17+1,1))</f>
        <v>442.85175349826028</v>
      </c>
      <c r="GF189" s="62">
        <f t="shared" si="158"/>
        <v>210.70697808232501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202.82573177749856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202.82573177749856</v>
      </c>
      <c r="GP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-3.4106051316484809E-13</v>
      </c>
      <c r="GV189" s="18">
        <f>GU189*VLOOKUP('Données projet'!$B$18,Paramètres!$A$1:$I$89,3,0)*VLOOKUP('Données projet'!$B$18,Paramètres!$A$1:$I$89,5,0)</f>
        <v>-3.2455318432766944E-13</v>
      </c>
      <c r="GW189" s="14" t="e">
        <f t="shared" si="188"/>
        <v>#NUM!</v>
      </c>
      <c r="GX189" s="22" t="e">
        <f t="shared" si="189"/>
        <v>#NUM!</v>
      </c>
      <c r="GY189" s="62" t="e">
        <f t="shared" si="137"/>
        <v>#NUM!</v>
      </c>
      <c r="GZ189" s="62">
        <f ca="1">AVERAGE(OFFSET($GY$3,0,0,'Données projet'!$E$18+1,1))-AVERAGE(OFFSET($H$3,0,0,'Données projet'!$E$18+1,1))</f>
        <v>420.2510366318939</v>
      </c>
      <c r="HA189" s="62">
        <f t="shared" si="160"/>
        <v>220.59884411514116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48.14585796660208</v>
      </c>
      <c r="HH189" s="23">
        <f>EXP(-LN(2)/25)*HH188+(1-EXP(-LN(2)/25))/(LN(2)/25)*Calculateur!HC189*Calculateur!HE189*VLOOKUP('Données projet'!$B$18,Paramètres!$A$1:$I$89,3,0)*0.475*44/12</f>
        <v>0</v>
      </c>
      <c r="HI189" s="23">
        <f>EXP(-LN(2)/2)*HI188+(1-EXP(-LN(2)/2))/(LN(2)/2)*HC189*HF189*VLOOKUP('Données projet'!$B$18,Paramètres!$A$1:$I$89,3,0)*0.475*44/12</f>
        <v>0</v>
      </c>
      <c r="HJ189" s="24">
        <f t="shared" si="190"/>
        <v>48.14585796660208</v>
      </c>
    </row>
    <row r="190" spans="1:218" x14ac:dyDescent="0.2">
      <c r="A190" s="11">
        <f t="shared" si="161"/>
        <v>187</v>
      </c>
      <c r="B190" s="74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-4.5474735088646412E-13</v>
      </c>
      <c r="O190" s="14">
        <f>N190*VLOOKUP('Données projet'!$B$9,Paramètres!$A$1:$I$89,3,0)*VLOOKUP('Données projet'!$B$9,Paramètres!$A$1:$I$89,5,0)</f>
        <v>-3.9017322706058626E-13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623.31285537237943</v>
      </c>
      <c r="T190" s="62">
        <f t="shared" si="142"/>
        <v>462.33909258902241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50.230352741568524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50.230352741568524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4.9658410716801891E-14</v>
      </c>
      <c r="AK190" s="14">
        <f t="shared" si="164"/>
        <v>8.0934058173791862E-13</v>
      </c>
      <c r="AL190" s="22">
        <f t="shared" si="165"/>
        <v>1.4960899118586383E-12</v>
      </c>
      <c r="AM190" s="62">
        <f t="shared" si="113"/>
        <v>293.33333333333479</v>
      </c>
      <c r="AN190" s="62">
        <f ca="1">AVERAGE(OFFSET($AM$3,0,0,'Données projet'!$E$10+1,1))-AVERAGE(OFFSET($H$3,0,0,'Données projet'!$E$10+1,1))</f>
        <v>390.70479111593545</v>
      </c>
      <c r="AO190" s="62">
        <f t="shared" si="144"/>
        <v>374.99493809709708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19.786335656986466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19.786335656986466</v>
      </c>
      <c r="AY190" s="7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5.6843418860808015E-14</v>
      </c>
      <c r="BE190" s="14">
        <f>BD190*VLOOKUP('Données projet'!$B$11,Paramètres!$A$1:$I$89,3,0)*VLOOKUP('Données projet'!$B$11,Paramètres!$A$1:$I$89,5,0)</f>
        <v>4.5224624045658861E-14</v>
      </c>
      <c r="BF190" s="14">
        <f t="shared" si="167"/>
        <v>7.4514601661523691E-13</v>
      </c>
      <c r="BG190" s="22">
        <f t="shared" si="168"/>
        <v>1.3765621991510601E-12</v>
      </c>
      <c r="BH190" s="62">
        <f t="shared" si="116"/>
        <v>293.33333333333468</v>
      </c>
      <c r="BI190" s="62">
        <f ca="1">AVERAGE(OFFSET($BH$3,0,0,'Données projet'!$E$11+1,1))-AVERAGE(OFFSET($H$3,0,0,'Données projet'!$E$11+1,1))</f>
        <v>359.18294335011535</v>
      </c>
      <c r="BJ190" s="62">
        <f t="shared" si="146"/>
        <v>345.47508134331241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18.019698544755517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18.019698544755517</v>
      </c>
      <c r="BT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5.6843418860808015E-14</v>
      </c>
      <c r="BZ190" s="14">
        <f>BY190*VLOOKUP('Données projet'!$B$12,Paramètres!$A$1:$I$89,3,0)*VLOOKUP('Données projet'!$B$12,Paramètres!$A$1:$I$89,5,0)</f>
        <v>4.1677594708744434E-14</v>
      </c>
      <c r="CA190" s="14">
        <f t="shared" si="170"/>
        <v>6.9326303456159188E-13</v>
      </c>
      <c r="CB190" s="22">
        <f t="shared" si="171"/>
        <v>1.2800215959791691E-12</v>
      </c>
      <c r="CC190" s="62">
        <f t="shared" si="119"/>
        <v>293.33333333333462</v>
      </c>
      <c r="CD190" s="62">
        <f ca="1">AVERAGE(OFFSET($CC$3,0,0,'Données projet'!$E$12+1,1))-AVERAGE(OFFSET($H$3,0,0,'Données projet'!$E$12+1,1))</f>
        <v>333.9187211440219</v>
      </c>
      <c r="CE190" s="62">
        <f t="shared" si="148"/>
        <v>321.81422611044997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13.473107938938549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13.473107938938549</v>
      </c>
      <c r="CO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5.6843418860808015E-14</v>
      </c>
      <c r="CU190" s="18">
        <f>CT190*VLOOKUP('Données projet'!$B$13,Paramètres!$A$1:$I$89,3,0)*VLOOKUP('Données projet'!$B$13,Paramètres!$A$1:$I$89,5,0)</f>
        <v>4.6111381379887463E-14</v>
      </c>
      <c r="CV190" s="14">
        <f t="shared" si="173"/>
        <v>7.5804141040779151E-13</v>
      </c>
      <c r="CW190" s="22">
        <f t="shared" si="174"/>
        <v>1.4005661123635408E-12</v>
      </c>
      <c r="CX190" s="62">
        <f t="shared" si="122"/>
        <v>293.33333333333474</v>
      </c>
      <c r="CY190" s="62">
        <f ca="1">AVERAGE(OFFSET($CX$3,0,0,'Données projet'!$E$13+1,1))-AVERAGE(OFFSET($H$3,0,0,'Données projet'!$E$13+1,1))</f>
        <v>365.492319515595</v>
      </c>
      <c r="CZ190" s="62">
        <f t="shared" si="150"/>
        <v>351.38386928091433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14.906417294144774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14.906417294144774</v>
      </c>
      <c r="DJ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4.8316906031686813E-13</v>
      </c>
      <c r="DP190" s="18">
        <f>DO190*VLOOKUP('Données projet'!$B$14,Paramètres!$A$1:$I$89,3,0)*VLOOKUP('Données projet'!$B$14,Paramètres!$A$1:$I$89,5,0)</f>
        <v>4.0702161641092972E-13</v>
      </c>
      <c r="DQ190" s="14">
        <f t="shared" si="176"/>
        <v>5.1929012680997463E-12</v>
      </c>
      <c r="DR190" s="22">
        <f t="shared" si="177"/>
        <v>9.7531990238560927E-12</v>
      </c>
      <c r="DS190" s="62">
        <f t="shared" si="125"/>
        <v>293.33333333334309</v>
      </c>
      <c r="DT190" s="62">
        <f ca="1">AVERAGE(OFFSET($DS$3,0,0,'Données projet'!$E$14+1,1))-AVERAGE(OFFSET($H$3,0,0,'Données projet'!$E$14+1,1))</f>
        <v>544.89250424794909</v>
      </c>
      <c r="DU190" s="62">
        <f t="shared" si="152"/>
        <v>253.98688498110715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202.60030030181946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202.60030030181946</v>
      </c>
      <c r="EE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4.8316906031686813E-13</v>
      </c>
      <c r="EK190" s="18">
        <f>EJ190*VLOOKUP('Données projet'!$B$15,Paramètres!$A$1:$I$89,3,0)*VLOOKUP('Données projet'!$B$15,Paramètres!$A$1:$I$89,5,0)</f>
        <v>4.3717136577470225E-13</v>
      </c>
      <c r="EL190" s="14">
        <f t="shared" si="179"/>
        <v>5.5313598682231701E-12</v>
      </c>
      <c r="EM190" s="22">
        <f t="shared" si="180"/>
        <v>1.039519189921296E-11</v>
      </c>
      <c r="EN190" s="62">
        <f t="shared" si="128"/>
        <v>293.33333333334372</v>
      </c>
      <c r="EO190" s="62">
        <f ca="1">AVERAGE(OFFSET($EN$3,0,0,'Données projet'!$E$15+1,1))-AVERAGE(OFFSET($H$3,0,0,'Données projet'!$E$15+1,1))</f>
        <v>581.88778927327667</v>
      </c>
      <c r="EP190" s="62">
        <f t="shared" si="154"/>
        <v>269.67340993773422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217.60772995380603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217.60772995380603</v>
      </c>
      <c r="EZ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4.8316906031686813E-13</v>
      </c>
      <c r="FF190" s="18">
        <f>FE190*VLOOKUP('Données projet'!$B$16,Paramètres!$A$1:$I$89,3,0)*VLOOKUP('Données projet'!$B$16,Paramètres!$A$1:$I$89,5,0)</f>
        <v>4.8993342716130437E-13</v>
      </c>
      <c r="FG190" s="14">
        <f t="shared" si="182"/>
        <v>6.1172634040517391E-12</v>
      </c>
      <c r="FH190" s="22">
        <f t="shared" si="183"/>
        <v>1.1507534481029384E-11</v>
      </c>
      <c r="FI190" s="62">
        <f t="shared" si="131"/>
        <v>293.3333333333448</v>
      </c>
      <c r="FJ190" s="62">
        <f ca="1">AVERAGE(OFFSET($FI$3,0,0,'Données projet'!$E$16+1,1))-AVERAGE(OFFSET($H$3,0,0,'Données projet'!$E$16+1,1))</f>
        <v>646.50767193970182</v>
      </c>
      <c r="FK190" s="62">
        <f t="shared" si="156"/>
        <v>297.06786598620607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243.87073184478257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243.87073184478257</v>
      </c>
      <c r="FU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4.8316906031686813E-13</v>
      </c>
      <c r="GA190" s="18">
        <f>FZ190*VLOOKUP('Données projet'!$B$17,Paramètres!$A$1:$I$89,3,0)*VLOOKUP('Données projet'!$B$17,Paramètres!$A$1:$I$89,5,0)</f>
        <v>3.2410980566055511E-13</v>
      </c>
      <c r="GB190" s="14">
        <f t="shared" si="185"/>
        <v>4.246192380365624E-12</v>
      </c>
      <c r="GC190" s="22">
        <f t="shared" si="186"/>
        <v>7.9599429739955953E-12</v>
      </c>
      <c r="GD190" s="62">
        <f t="shared" si="134"/>
        <v>293.33333333334127</v>
      </c>
      <c r="GE190" s="62">
        <f ca="1">AVERAGE(OFFSET($GD$3,0,0,'Données projet'!$E$17+1,1))-AVERAGE(OFFSET($H$3,0,0,'Données projet'!$E$17+1,1))</f>
        <v>442.85175349826028</v>
      </c>
      <c r="GF190" s="62">
        <f t="shared" si="158"/>
        <v>210.70697808232501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198.84844288882272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198.84844288882272</v>
      </c>
      <c r="GP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-3.4106051316484809E-13</v>
      </c>
      <c r="GV190" s="18">
        <f>GU190*VLOOKUP('Données projet'!$B$18,Paramètres!$A$1:$I$89,3,0)*VLOOKUP('Données projet'!$B$18,Paramètres!$A$1:$I$89,5,0)</f>
        <v>-3.2455318432766944E-13</v>
      </c>
      <c r="GW190" s="14" t="e">
        <f t="shared" si="188"/>
        <v>#NUM!</v>
      </c>
      <c r="GX190" s="22" t="e">
        <f t="shared" si="189"/>
        <v>#NUM!</v>
      </c>
      <c r="GY190" s="62" t="e">
        <f t="shared" si="137"/>
        <v>#NUM!</v>
      </c>
      <c r="GZ190" s="62">
        <f ca="1">AVERAGE(OFFSET($GY$3,0,0,'Données projet'!$E$18+1,1))-AVERAGE(OFFSET($H$3,0,0,'Données projet'!$E$18+1,1))</f>
        <v>420.2510366318939</v>
      </c>
      <c r="HA190" s="62">
        <f t="shared" si="160"/>
        <v>220.59884411514116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47.201747057950712</v>
      </c>
      <c r="HH190" s="23">
        <f>EXP(-LN(2)/25)*HH189+(1-EXP(-LN(2)/25))/(LN(2)/25)*Calculateur!HC190*Calculateur!HE190*VLOOKUP('Données projet'!$B$18,Paramètres!$A$1:$I$89,3,0)*0.475*44/12</f>
        <v>0</v>
      </c>
      <c r="HI190" s="23">
        <f>EXP(-LN(2)/2)*HI189+(1-EXP(-LN(2)/2))/(LN(2)/2)*HC190*HF190*VLOOKUP('Données projet'!$B$18,Paramètres!$A$1:$I$89,3,0)*0.475*44/12</f>
        <v>0</v>
      </c>
      <c r="HJ190" s="24">
        <f t="shared" si="190"/>
        <v>47.201747057950712</v>
      </c>
    </row>
    <row r="191" spans="1:218" x14ac:dyDescent="0.2">
      <c r="A191" s="11">
        <f t="shared" si="161"/>
        <v>188</v>
      </c>
      <c r="B191" s="74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-4.5474735088646412E-13</v>
      </c>
      <c r="O191" s="14">
        <f>N191*VLOOKUP('Données projet'!$B$9,Paramètres!$A$1:$I$89,3,0)*VLOOKUP('Données projet'!$B$9,Paramètres!$A$1:$I$89,5,0)</f>
        <v>-3.9017322706058626E-13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623.31285537237943</v>
      </c>
      <c r="T191" s="62">
        <f t="shared" si="142"/>
        <v>462.33909258902241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49.245366161796333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49.245366161796333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4.9658410716801891E-14</v>
      </c>
      <c r="AK191" s="14">
        <f t="shared" si="164"/>
        <v>8.0934058173791862E-13</v>
      </c>
      <c r="AL191" s="22">
        <f t="shared" si="165"/>
        <v>1.4960899118586383E-12</v>
      </c>
      <c r="AM191" s="62">
        <f t="shared" si="113"/>
        <v>293.33333333333479</v>
      </c>
      <c r="AN191" s="62">
        <f ca="1">AVERAGE(OFFSET($AM$3,0,0,'Données projet'!$E$10+1,1))-AVERAGE(OFFSET($H$3,0,0,'Données projet'!$E$10+1,1))</f>
        <v>390.70479111593545</v>
      </c>
      <c r="AO191" s="62">
        <f t="shared" si="144"/>
        <v>374.99493809709708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19.39833768322605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19.39833768322605</v>
      </c>
      <c r="AY191" s="7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5.6843418860808015E-14</v>
      </c>
      <c r="BE191" s="14">
        <f>BD191*VLOOKUP('Données projet'!$B$11,Paramètres!$A$1:$I$89,3,0)*VLOOKUP('Données projet'!$B$11,Paramètres!$A$1:$I$89,5,0)</f>
        <v>4.5224624045658861E-14</v>
      </c>
      <c r="BF191" s="14">
        <f t="shared" si="167"/>
        <v>7.4514601661523691E-13</v>
      </c>
      <c r="BG191" s="22">
        <f t="shared" si="168"/>
        <v>1.3765621991510601E-12</v>
      </c>
      <c r="BH191" s="62">
        <f t="shared" si="116"/>
        <v>293.33333333333468</v>
      </c>
      <c r="BI191" s="62">
        <f ca="1">AVERAGE(OFFSET($BH$3,0,0,'Données projet'!$E$11+1,1))-AVERAGE(OFFSET($H$3,0,0,'Données projet'!$E$11+1,1))</f>
        <v>359.18294335011535</v>
      </c>
      <c r="BJ191" s="62">
        <f t="shared" si="146"/>
        <v>345.47508134331241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17.666343247223711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17.666343247223711</v>
      </c>
      <c r="BT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5.6843418860808015E-14</v>
      </c>
      <c r="BZ191" s="14">
        <f>BY191*VLOOKUP('Données projet'!$B$12,Paramètres!$A$1:$I$89,3,0)*VLOOKUP('Données projet'!$B$12,Paramètres!$A$1:$I$89,5,0)</f>
        <v>4.1677594708744434E-14</v>
      </c>
      <c r="CA191" s="14">
        <f t="shared" si="170"/>
        <v>6.9326303456159188E-13</v>
      </c>
      <c r="CB191" s="22">
        <f t="shared" si="171"/>
        <v>1.2800215959791691E-12</v>
      </c>
      <c r="CC191" s="62">
        <f t="shared" si="119"/>
        <v>293.33333333333462</v>
      </c>
      <c r="CD191" s="62">
        <f ca="1">AVERAGE(OFFSET($CC$3,0,0,'Données projet'!$E$12+1,1))-AVERAGE(OFFSET($H$3,0,0,'Données projet'!$E$12+1,1))</f>
        <v>333.9187211440219</v>
      </c>
      <c r="CE191" s="62">
        <f t="shared" si="148"/>
        <v>321.81422611044997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13.208908510040368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13.208908510040368</v>
      </c>
      <c r="CO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5.6843418860808015E-14</v>
      </c>
      <c r="CU191" s="18">
        <f>CT191*VLOOKUP('Données projet'!$B$13,Paramètres!$A$1:$I$89,3,0)*VLOOKUP('Données projet'!$B$13,Paramètres!$A$1:$I$89,5,0)</f>
        <v>4.6111381379887463E-14</v>
      </c>
      <c r="CV191" s="14">
        <f t="shared" si="173"/>
        <v>7.5804141040779151E-13</v>
      </c>
      <c r="CW191" s="22">
        <f t="shared" si="174"/>
        <v>1.4005661123635408E-12</v>
      </c>
      <c r="CX191" s="62">
        <f t="shared" si="122"/>
        <v>293.33333333333474</v>
      </c>
      <c r="CY191" s="62">
        <f ca="1">AVERAGE(OFFSET($CX$3,0,0,'Données projet'!$E$13+1,1))-AVERAGE(OFFSET($H$3,0,0,'Données projet'!$E$13+1,1))</f>
        <v>365.492319515595</v>
      </c>
      <c r="CZ191" s="62">
        <f t="shared" si="150"/>
        <v>351.38386928091433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14.614111543023382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14.614111543023382</v>
      </c>
      <c r="DJ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4.8316906031686813E-13</v>
      </c>
      <c r="DP191" s="18">
        <f>DO191*VLOOKUP('Données projet'!$B$14,Paramètres!$A$1:$I$89,3,0)*VLOOKUP('Données projet'!$B$14,Paramètres!$A$1:$I$89,5,0)</f>
        <v>4.0702161641092972E-13</v>
      </c>
      <c r="DQ191" s="14">
        <f t="shared" si="176"/>
        <v>5.1929012680997463E-12</v>
      </c>
      <c r="DR191" s="22">
        <f t="shared" si="177"/>
        <v>9.7531990238560927E-12</v>
      </c>
      <c r="DS191" s="62">
        <f t="shared" si="125"/>
        <v>293.33333333334309</v>
      </c>
      <c r="DT191" s="62">
        <f ca="1">AVERAGE(OFFSET($DS$3,0,0,'Données projet'!$E$14+1,1))-AVERAGE(OFFSET($H$3,0,0,'Données projet'!$E$14+1,1))</f>
        <v>544.89250424794909</v>
      </c>
      <c r="DU191" s="62">
        <f t="shared" si="152"/>
        <v>253.98688498110715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198.62743198688204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198.62743198688204</v>
      </c>
      <c r="EE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4.8316906031686813E-13</v>
      </c>
      <c r="EK191" s="18">
        <f>EJ191*VLOOKUP('Données projet'!$B$15,Paramètres!$A$1:$I$89,3,0)*VLOOKUP('Données projet'!$B$15,Paramètres!$A$1:$I$89,5,0)</f>
        <v>4.3717136577470225E-13</v>
      </c>
      <c r="EL191" s="14">
        <f t="shared" si="179"/>
        <v>5.5313598682231701E-12</v>
      </c>
      <c r="EM191" s="22">
        <f t="shared" si="180"/>
        <v>1.039519189921296E-11</v>
      </c>
      <c r="EN191" s="62">
        <f t="shared" si="128"/>
        <v>293.33333333334372</v>
      </c>
      <c r="EO191" s="62">
        <f ca="1">AVERAGE(OFFSET($EN$3,0,0,'Données projet'!$E$15+1,1))-AVERAGE(OFFSET($H$3,0,0,'Données projet'!$E$15+1,1))</f>
        <v>581.88778927327667</v>
      </c>
      <c r="EP191" s="62">
        <f t="shared" si="154"/>
        <v>269.67340993773422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213.3405750970214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213.3405750970214</v>
      </c>
      <c r="EZ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4.8316906031686813E-13</v>
      </c>
      <c r="FF191" s="18">
        <f>FE191*VLOOKUP('Données projet'!$B$16,Paramètres!$A$1:$I$89,3,0)*VLOOKUP('Données projet'!$B$16,Paramètres!$A$1:$I$89,5,0)</f>
        <v>4.8993342716130437E-13</v>
      </c>
      <c r="FG191" s="14">
        <f t="shared" si="182"/>
        <v>6.1172634040517391E-12</v>
      </c>
      <c r="FH191" s="22">
        <f t="shared" si="183"/>
        <v>1.1507534481029384E-11</v>
      </c>
      <c r="FI191" s="62">
        <f t="shared" si="131"/>
        <v>293.3333333333448</v>
      </c>
      <c r="FJ191" s="62">
        <f ca="1">AVERAGE(OFFSET($FI$3,0,0,'Données projet'!$E$16+1,1))-AVERAGE(OFFSET($H$3,0,0,'Données projet'!$E$16+1,1))</f>
        <v>646.50767193970182</v>
      </c>
      <c r="FK191" s="62">
        <f t="shared" si="156"/>
        <v>297.06786598620607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239.08857553976532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239.08857553976532</v>
      </c>
      <c r="FU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4.8316906031686813E-13</v>
      </c>
      <c r="GA191" s="18">
        <f>FZ191*VLOOKUP('Données projet'!$B$17,Paramètres!$A$1:$I$89,3,0)*VLOOKUP('Données projet'!$B$17,Paramètres!$A$1:$I$89,5,0)</f>
        <v>3.2410980566055511E-13</v>
      </c>
      <c r="GB191" s="14">
        <f t="shared" si="185"/>
        <v>4.246192380365624E-12</v>
      </c>
      <c r="GC191" s="22">
        <f t="shared" si="186"/>
        <v>7.9599429739955953E-12</v>
      </c>
      <c r="GD191" s="62">
        <f t="shared" si="134"/>
        <v>293.33333333334127</v>
      </c>
      <c r="GE191" s="62">
        <f ca="1">AVERAGE(OFFSET($GD$3,0,0,'Données projet'!$E$17+1,1))-AVERAGE(OFFSET($H$3,0,0,'Données projet'!$E$17+1,1))</f>
        <v>442.85175349826028</v>
      </c>
      <c r="GF191" s="62">
        <f t="shared" si="158"/>
        <v>210.70697808232501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194.94914620934711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194.94914620934711</v>
      </c>
      <c r="GP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-3.4106051316484809E-13</v>
      </c>
      <c r="GV191" s="18">
        <f>GU191*VLOOKUP('Données projet'!$B$18,Paramètres!$A$1:$I$89,3,0)*VLOOKUP('Données projet'!$B$18,Paramètres!$A$1:$I$89,5,0)</f>
        <v>-3.2455318432766944E-13</v>
      </c>
      <c r="GW191" s="14" t="e">
        <f t="shared" si="188"/>
        <v>#NUM!</v>
      </c>
      <c r="GX191" s="22" t="e">
        <f t="shared" si="189"/>
        <v>#NUM!</v>
      </c>
      <c r="GY191" s="62" t="e">
        <f t="shared" si="137"/>
        <v>#NUM!</v>
      </c>
      <c r="GZ191" s="62">
        <f ca="1">AVERAGE(OFFSET($GY$3,0,0,'Données projet'!$E$18+1,1))-AVERAGE(OFFSET($H$3,0,0,'Données projet'!$E$18+1,1))</f>
        <v>420.2510366318939</v>
      </c>
      <c r="HA191" s="62">
        <f t="shared" si="160"/>
        <v>220.59884411514116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46.276149588367204</v>
      </c>
      <c r="HH191" s="23">
        <f>EXP(-LN(2)/25)*HH190+(1-EXP(-LN(2)/25))/(LN(2)/25)*Calculateur!HC191*Calculateur!HE191*VLOOKUP('Données projet'!$B$18,Paramètres!$A$1:$I$89,3,0)*0.475*44/12</f>
        <v>0</v>
      </c>
      <c r="HI191" s="23">
        <f>EXP(-LN(2)/2)*HI190+(1-EXP(-LN(2)/2))/(LN(2)/2)*HC191*HF191*VLOOKUP('Données projet'!$B$18,Paramètres!$A$1:$I$89,3,0)*0.475*44/12</f>
        <v>0</v>
      </c>
      <c r="HJ191" s="24">
        <f t="shared" si="190"/>
        <v>46.276149588367204</v>
      </c>
    </row>
    <row r="192" spans="1:218" x14ac:dyDescent="0.2">
      <c r="A192" s="11">
        <f t="shared" si="161"/>
        <v>189</v>
      </c>
      <c r="B192" s="74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-4.5474735088646412E-13</v>
      </c>
      <c r="O192" s="14">
        <f>N192*VLOOKUP('Données projet'!$B$9,Paramètres!$A$1:$I$89,3,0)*VLOOKUP('Données projet'!$B$9,Paramètres!$A$1:$I$89,5,0)</f>
        <v>-3.9017322706058626E-13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623.31285537237943</v>
      </c>
      <c r="T192" s="62">
        <f t="shared" si="142"/>
        <v>462.33909258902241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48.279694568070987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48.279694568070987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4.9658410716801891E-14</v>
      </c>
      <c r="AK192" s="14">
        <f t="shared" si="164"/>
        <v>8.0934058173791862E-13</v>
      </c>
      <c r="AL192" s="22">
        <f t="shared" si="165"/>
        <v>1.4960899118586383E-12</v>
      </c>
      <c r="AM192" s="62">
        <f t="shared" si="113"/>
        <v>293.33333333333479</v>
      </c>
      <c r="AN192" s="62">
        <f ca="1">AVERAGE(OFFSET($AM$3,0,0,'Données projet'!$E$10+1,1))-AVERAGE(OFFSET($H$3,0,0,'Données projet'!$E$10+1,1))</f>
        <v>390.70479111593545</v>
      </c>
      <c r="AO192" s="62">
        <f t="shared" si="144"/>
        <v>374.99493809709708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19.017948113075679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19.017948113075679</v>
      </c>
      <c r="AY192" s="7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5.6843418860808015E-14</v>
      </c>
      <c r="BE192" s="14">
        <f>BD192*VLOOKUP('Données projet'!$B$11,Paramètres!$A$1:$I$89,3,0)*VLOOKUP('Données projet'!$B$11,Paramètres!$A$1:$I$89,5,0)</f>
        <v>4.5224624045658861E-14</v>
      </c>
      <c r="BF192" s="14">
        <f t="shared" si="167"/>
        <v>7.4514601661523691E-13</v>
      </c>
      <c r="BG192" s="22">
        <f t="shared" si="168"/>
        <v>1.3765621991510601E-12</v>
      </c>
      <c r="BH192" s="62">
        <f t="shared" si="116"/>
        <v>293.33333333333468</v>
      </c>
      <c r="BI192" s="62">
        <f ca="1">AVERAGE(OFFSET($BH$3,0,0,'Données projet'!$E$11+1,1))-AVERAGE(OFFSET($H$3,0,0,'Données projet'!$E$11+1,1))</f>
        <v>359.18294335011535</v>
      </c>
      <c r="BJ192" s="62">
        <f t="shared" si="146"/>
        <v>345.47508134331241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17.319917031551054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17.319917031551054</v>
      </c>
      <c r="BT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5.6843418860808015E-14</v>
      </c>
      <c r="BZ192" s="14">
        <f>BY192*VLOOKUP('Données projet'!$B$12,Paramètres!$A$1:$I$89,3,0)*VLOOKUP('Données projet'!$B$12,Paramètres!$A$1:$I$89,5,0)</f>
        <v>4.1677594708744434E-14</v>
      </c>
      <c r="CA192" s="14">
        <f t="shared" si="170"/>
        <v>6.9326303456159188E-13</v>
      </c>
      <c r="CB192" s="22">
        <f t="shared" si="171"/>
        <v>1.2800215959791691E-12</v>
      </c>
      <c r="CC192" s="62">
        <f t="shared" si="119"/>
        <v>293.33333333333462</v>
      </c>
      <c r="CD192" s="62">
        <f ca="1">AVERAGE(OFFSET($CC$3,0,0,'Données projet'!$E$12+1,1))-AVERAGE(OFFSET($H$3,0,0,'Données projet'!$E$12+1,1))</f>
        <v>333.9187211440219</v>
      </c>
      <c r="CE192" s="62">
        <f t="shared" si="148"/>
        <v>321.81422611044997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12.94988987079714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12.94988987079714</v>
      </c>
      <c r="CO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5.6843418860808015E-14</v>
      </c>
      <c r="CU192" s="18">
        <f>CT192*VLOOKUP('Données projet'!$B$13,Paramètres!$A$1:$I$89,3,0)*VLOOKUP('Données projet'!$B$13,Paramètres!$A$1:$I$89,5,0)</f>
        <v>4.6111381379887463E-14</v>
      </c>
      <c r="CV192" s="14">
        <f t="shared" si="173"/>
        <v>7.5804141040779151E-13</v>
      </c>
      <c r="CW192" s="22">
        <f t="shared" si="174"/>
        <v>1.4005661123635408E-12</v>
      </c>
      <c r="CX192" s="62">
        <f t="shared" si="122"/>
        <v>293.33333333333474</v>
      </c>
      <c r="CY192" s="62">
        <f ca="1">AVERAGE(OFFSET($CX$3,0,0,'Données projet'!$E$13+1,1))-AVERAGE(OFFSET($H$3,0,0,'Données projet'!$E$13+1,1))</f>
        <v>365.492319515595</v>
      </c>
      <c r="CZ192" s="62">
        <f t="shared" si="150"/>
        <v>351.38386928091433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14.327537729392578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14.327537729392578</v>
      </c>
      <c r="DJ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4.8316906031686813E-13</v>
      </c>
      <c r="DP192" s="18">
        <f>DO192*VLOOKUP('Données projet'!$B$14,Paramètres!$A$1:$I$89,3,0)*VLOOKUP('Données projet'!$B$14,Paramètres!$A$1:$I$89,5,0)</f>
        <v>4.0702161641092972E-13</v>
      </c>
      <c r="DQ192" s="14">
        <f t="shared" si="176"/>
        <v>5.1929012680997463E-12</v>
      </c>
      <c r="DR192" s="22">
        <f t="shared" si="177"/>
        <v>9.7531990238560927E-12</v>
      </c>
      <c r="DS192" s="62">
        <f t="shared" si="125"/>
        <v>293.33333333334309</v>
      </c>
      <c r="DT192" s="62">
        <f ca="1">AVERAGE(OFFSET($DS$3,0,0,'Données projet'!$E$14+1,1))-AVERAGE(OFFSET($H$3,0,0,'Données projet'!$E$14+1,1))</f>
        <v>544.89250424794909</v>
      </c>
      <c r="DU192" s="62">
        <f t="shared" si="152"/>
        <v>253.98688498110715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194.73246919639016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194.73246919639016</v>
      </c>
      <c r="EE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4.8316906031686813E-13</v>
      </c>
      <c r="EK192" s="18">
        <f>EJ192*VLOOKUP('Données projet'!$B$15,Paramètres!$A$1:$I$89,3,0)*VLOOKUP('Données projet'!$B$15,Paramètres!$A$1:$I$89,5,0)</f>
        <v>4.3717136577470225E-13</v>
      </c>
      <c r="EL192" s="14">
        <f t="shared" si="179"/>
        <v>5.5313598682231701E-12</v>
      </c>
      <c r="EM192" s="22">
        <f t="shared" si="180"/>
        <v>1.039519189921296E-11</v>
      </c>
      <c r="EN192" s="62">
        <f t="shared" si="128"/>
        <v>293.33333333334372</v>
      </c>
      <c r="EO192" s="62">
        <f ca="1">AVERAGE(OFFSET($EN$3,0,0,'Données projet'!$E$15+1,1))-AVERAGE(OFFSET($H$3,0,0,'Données projet'!$E$15+1,1))</f>
        <v>581.88778927327667</v>
      </c>
      <c r="EP192" s="62">
        <f t="shared" si="154"/>
        <v>269.67340993773422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209.15709654427084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209.15709654427084</v>
      </c>
      <c r="EZ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4.8316906031686813E-13</v>
      </c>
      <c r="FF192" s="18">
        <f>FE192*VLOOKUP('Données projet'!$B$16,Paramètres!$A$1:$I$89,3,0)*VLOOKUP('Données projet'!$B$16,Paramètres!$A$1:$I$89,5,0)</f>
        <v>4.8993342716130437E-13</v>
      </c>
      <c r="FG192" s="14">
        <f t="shared" si="182"/>
        <v>6.1172634040517391E-12</v>
      </c>
      <c r="FH192" s="22">
        <f t="shared" si="183"/>
        <v>1.1507534481029384E-11</v>
      </c>
      <c r="FI192" s="62">
        <f t="shared" si="131"/>
        <v>293.3333333333448</v>
      </c>
      <c r="FJ192" s="62">
        <f ca="1">AVERAGE(OFFSET($FI$3,0,0,'Données projet'!$E$16+1,1))-AVERAGE(OFFSET($H$3,0,0,'Données projet'!$E$16+1,1))</f>
        <v>646.50767193970182</v>
      </c>
      <c r="FK192" s="62">
        <f t="shared" si="156"/>
        <v>297.06786598620607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234.40019440306213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234.40019440306213</v>
      </c>
      <c r="FU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4.8316906031686813E-13</v>
      </c>
      <c r="GA192" s="18">
        <f>FZ192*VLOOKUP('Données projet'!$B$17,Paramètres!$A$1:$I$89,3,0)*VLOOKUP('Données projet'!$B$17,Paramètres!$A$1:$I$89,5,0)</f>
        <v>3.2410980566055511E-13</v>
      </c>
      <c r="GB192" s="14">
        <f t="shared" si="185"/>
        <v>4.246192380365624E-12</v>
      </c>
      <c r="GC192" s="22">
        <f t="shared" si="186"/>
        <v>7.9599429739955953E-12</v>
      </c>
      <c r="GD192" s="62">
        <f t="shared" si="134"/>
        <v>293.33333333334127</v>
      </c>
      <c r="GE192" s="62">
        <f ca="1">AVERAGE(OFFSET($GD$3,0,0,'Données projet'!$E$17+1,1))-AVERAGE(OFFSET($H$3,0,0,'Données projet'!$E$17+1,1))</f>
        <v>442.85175349826028</v>
      </c>
      <c r="GF192" s="62">
        <f t="shared" si="158"/>
        <v>210.70697808232501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191.12631235941987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191.12631235941987</v>
      </c>
      <c r="GP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-3.4106051316484809E-13</v>
      </c>
      <c r="GV192" s="18">
        <f>GU192*VLOOKUP('Données projet'!$B$18,Paramètres!$A$1:$I$89,3,0)*VLOOKUP('Données projet'!$B$18,Paramètres!$A$1:$I$89,5,0)</f>
        <v>-3.2455318432766944E-13</v>
      </c>
      <c r="GW192" s="14" t="e">
        <f t="shared" si="188"/>
        <v>#NUM!</v>
      </c>
      <c r="GX192" s="22" t="e">
        <f t="shared" si="189"/>
        <v>#NUM!</v>
      </c>
      <c r="GY192" s="62" t="e">
        <f t="shared" si="137"/>
        <v>#NUM!</v>
      </c>
      <c r="GZ192" s="62">
        <f ca="1">AVERAGE(OFFSET($GY$3,0,0,'Données projet'!$E$18+1,1))-AVERAGE(OFFSET($H$3,0,0,'Données projet'!$E$18+1,1))</f>
        <v>420.2510366318939</v>
      </c>
      <c r="HA192" s="62">
        <f t="shared" si="160"/>
        <v>220.59884411514116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45.36870252060352</v>
      </c>
      <c r="HH192" s="23">
        <f>EXP(-LN(2)/25)*HH191+(1-EXP(-LN(2)/25))/(LN(2)/25)*Calculateur!HC192*Calculateur!HE192*VLOOKUP('Données projet'!$B$18,Paramètres!$A$1:$I$89,3,0)*0.475*44/12</f>
        <v>0</v>
      </c>
      <c r="HI192" s="23">
        <f>EXP(-LN(2)/2)*HI191+(1-EXP(-LN(2)/2))/(LN(2)/2)*HC192*HF192*VLOOKUP('Données projet'!$B$18,Paramètres!$A$1:$I$89,3,0)*0.475*44/12</f>
        <v>0</v>
      </c>
      <c r="HJ192" s="24">
        <f t="shared" si="190"/>
        <v>45.36870252060352</v>
      </c>
    </row>
    <row r="193" spans="1:218" x14ac:dyDescent="0.2">
      <c r="A193" s="11">
        <f t="shared" si="161"/>
        <v>190</v>
      </c>
      <c r="B193" s="74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-4.5474735088646412E-13</v>
      </c>
      <c r="O193" s="14">
        <f>N193*VLOOKUP('Données projet'!$B$9,Paramètres!$A$1:$I$89,3,0)*VLOOKUP('Données projet'!$B$9,Paramètres!$A$1:$I$89,5,0)</f>
        <v>-3.9017322706058626E-13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623.31285537237943</v>
      </c>
      <c r="T193" s="62">
        <f t="shared" si="142"/>
        <v>462.33909258902241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47.33295920529708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47.33295920529708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4.9658410716801891E-14</v>
      </c>
      <c r="AK193" s="14">
        <f t="shared" si="164"/>
        <v>8.0934058173791862E-13</v>
      </c>
      <c r="AL193" s="22">
        <f t="shared" si="165"/>
        <v>1.4960899118586383E-12</v>
      </c>
      <c r="AM193" s="62">
        <f t="shared" si="113"/>
        <v>293.33333333333479</v>
      </c>
      <c r="AN193" s="62">
        <f ca="1">AVERAGE(OFFSET($AM$3,0,0,'Données projet'!$E$10+1,1))-AVERAGE(OFFSET($H$3,0,0,'Données projet'!$E$10+1,1))</f>
        <v>390.70479111593545</v>
      </c>
      <c r="AO193" s="62">
        <f t="shared" si="144"/>
        <v>374.99493809709708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18.645017750381228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18.645017750381228</v>
      </c>
      <c r="AY193" s="7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5.6843418860808015E-14</v>
      </c>
      <c r="BE193" s="14">
        <f>BD193*VLOOKUP('Données projet'!$B$11,Paramètres!$A$1:$I$89,3,0)*VLOOKUP('Données projet'!$B$11,Paramètres!$A$1:$I$89,5,0)</f>
        <v>4.5224624045658861E-14</v>
      </c>
      <c r="BF193" s="14">
        <f t="shared" si="167"/>
        <v>7.4514601661523691E-13</v>
      </c>
      <c r="BG193" s="22">
        <f t="shared" si="168"/>
        <v>1.3765621991510601E-12</v>
      </c>
      <c r="BH193" s="62">
        <f t="shared" si="116"/>
        <v>293.33333333333468</v>
      </c>
      <c r="BI193" s="62">
        <f ca="1">AVERAGE(OFFSET($BH$3,0,0,'Données projet'!$E$11+1,1))-AVERAGE(OFFSET($H$3,0,0,'Données projet'!$E$11+1,1))</f>
        <v>359.18294335011535</v>
      </c>
      <c r="BJ193" s="62">
        <f t="shared" si="146"/>
        <v>345.47508134331241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16.980284022668609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16.980284022668609</v>
      </c>
      <c r="BT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5.6843418860808015E-14</v>
      </c>
      <c r="BZ193" s="14">
        <f>BY193*VLOOKUP('Données projet'!$B$12,Paramètres!$A$1:$I$89,3,0)*VLOOKUP('Données projet'!$B$12,Paramètres!$A$1:$I$89,5,0)</f>
        <v>4.1677594708744434E-14</v>
      </c>
      <c r="CA193" s="14">
        <f t="shared" si="170"/>
        <v>6.9326303456159188E-13</v>
      </c>
      <c r="CB193" s="22">
        <f t="shared" si="171"/>
        <v>1.2800215959791691E-12</v>
      </c>
      <c r="CC193" s="62">
        <f t="shared" si="119"/>
        <v>293.33333333333462</v>
      </c>
      <c r="CD193" s="62">
        <f ca="1">AVERAGE(OFFSET($CC$3,0,0,'Données projet'!$E$12+1,1))-AVERAGE(OFFSET($H$3,0,0,'Données projet'!$E$12+1,1))</f>
        <v>333.9187211440219</v>
      </c>
      <c r="CE193" s="62">
        <f t="shared" si="148"/>
        <v>321.81422611044997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12.695950429083702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12.695950429083702</v>
      </c>
      <c r="CO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5.6843418860808015E-14</v>
      </c>
      <c r="CU193" s="18">
        <f>CT193*VLOOKUP('Données projet'!$B$13,Paramètres!$A$1:$I$89,3,0)*VLOOKUP('Données projet'!$B$13,Paramètres!$A$1:$I$89,5,0)</f>
        <v>4.6111381379887463E-14</v>
      </c>
      <c r="CV193" s="14">
        <f t="shared" si="173"/>
        <v>7.5804141040779151E-13</v>
      </c>
      <c r="CW193" s="22">
        <f t="shared" si="174"/>
        <v>1.4005661123635408E-12</v>
      </c>
      <c r="CX193" s="62">
        <f t="shared" si="122"/>
        <v>293.33333333333474</v>
      </c>
      <c r="CY193" s="62">
        <f ca="1">AVERAGE(OFFSET($CX$3,0,0,'Données projet'!$E$13+1,1))-AVERAGE(OFFSET($H$3,0,0,'Données projet'!$E$13+1,1))</f>
        <v>365.492319515595</v>
      </c>
      <c r="CZ193" s="62">
        <f t="shared" si="150"/>
        <v>351.38386928091433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14.046583453454307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14.046583453454307</v>
      </c>
      <c r="DJ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4.8316906031686813E-13</v>
      </c>
      <c r="DP193" s="18">
        <f>DO193*VLOOKUP('Données projet'!$B$14,Paramètres!$A$1:$I$89,3,0)*VLOOKUP('Données projet'!$B$14,Paramètres!$A$1:$I$89,5,0)</f>
        <v>4.0702161641092972E-13</v>
      </c>
      <c r="DQ193" s="14">
        <f t="shared" si="176"/>
        <v>5.1929012680997463E-12</v>
      </c>
      <c r="DR193" s="22">
        <f t="shared" si="177"/>
        <v>9.7531990238560927E-12</v>
      </c>
      <c r="DS193" s="62">
        <f t="shared" si="125"/>
        <v>293.33333333334309</v>
      </c>
      <c r="DT193" s="62">
        <f ca="1">AVERAGE(OFFSET($DS$3,0,0,'Données projet'!$E$14+1,1))-AVERAGE(OFFSET($H$3,0,0,'Données projet'!$E$14+1,1))</f>
        <v>544.89250424794909</v>
      </c>
      <c r="DU193" s="62">
        <f t="shared" si="152"/>
        <v>253.98688498110715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190.91388425052708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190.91388425052708</v>
      </c>
      <c r="EE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4.8316906031686813E-13</v>
      </c>
      <c r="EK193" s="18">
        <f>EJ193*VLOOKUP('Données projet'!$B$15,Paramètres!$A$1:$I$89,3,0)*VLOOKUP('Données projet'!$B$15,Paramètres!$A$1:$I$89,5,0)</f>
        <v>4.3717136577470225E-13</v>
      </c>
      <c r="EL193" s="14">
        <f t="shared" si="179"/>
        <v>5.5313598682231701E-12</v>
      </c>
      <c r="EM193" s="22">
        <f t="shared" si="180"/>
        <v>1.039519189921296E-11</v>
      </c>
      <c r="EN193" s="62">
        <f t="shared" si="128"/>
        <v>293.33333333334372</v>
      </c>
      <c r="EO193" s="62">
        <f ca="1">AVERAGE(OFFSET($EN$3,0,0,'Données projet'!$E$15+1,1))-AVERAGE(OFFSET($H$3,0,0,'Données projet'!$E$15+1,1))</f>
        <v>581.88778927327667</v>
      </c>
      <c r="EP193" s="62">
        <f t="shared" si="154"/>
        <v>269.67340993773422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205.05565345426976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205.05565345426976</v>
      </c>
      <c r="EZ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4.8316906031686813E-13</v>
      </c>
      <c r="FF193" s="18">
        <f>FE193*VLOOKUP('Données projet'!$B$16,Paramètres!$A$1:$I$89,3,0)*VLOOKUP('Données projet'!$B$16,Paramètres!$A$1:$I$89,5,0)</f>
        <v>4.8993342716130437E-13</v>
      </c>
      <c r="FG193" s="14">
        <f t="shared" si="182"/>
        <v>6.1172634040517391E-12</v>
      </c>
      <c r="FH193" s="22">
        <f t="shared" si="183"/>
        <v>1.1507534481029384E-11</v>
      </c>
      <c r="FI193" s="62">
        <f t="shared" si="131"/>
        <v>293.3333333333448</v>
      </c>
      <c r="FJ193" s="62">
        <f ca="1">AVERAGE(OFFSET($FI$3,0,0,'Données projet'!$E$16+1,1))-AVERAGE(OFFSET($H$3,0,0,'Données projet'!$E$16+1,1))</f>
        <v>646.50767193970182</v>
      </c>
      <c r="FK193" s="62">
        <f t="shared" si="156"/>
        <v>297.06786598620607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229.80374956081954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229.80374956081954</v>
      </c>
      <c r="FU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4.8316906031686813E-13</v>
      </c>
      <c r="GA193" s="18">
        <f>FZ193*VLOOKUP('Données projet'!$B$17,Paramètres!$A$1:$I$89,3,0)*VLOOKUP('Données projet'!$B$17,Paramètres!$A$1:$I$89,5,0)</f>
        <v>3.2410980566055511E-13</v>
      </c>
      <c r="GB193" s="14">
        <f t="shared" si="185"/>
        <v>4.246192380365624E-12</v>
      </c>
      <c r="GC193" s="22">
        <f t="shared" si="186"/>
        <v>7.9599429739955953E-12</v>
      </c>
      <c r="GD193" s="62">
        <f t="shared" si="134"/>
        <v>293.33333333334127</v>
      </c>
      <c r="GE193" s="62">
        <f ca="1">AVERAGE(OFFSET($GD$3,0,0,'Données projet'!$E$17+1,1))-AVERAGE(OFFSET($H$3,0,0,'Données projet'!$E$17+1,1))</f>
        <v>442.85175349826028</v>
      </c>
      <c r="GF193" s="62">
        <f t="shared" si="158"/>
        <v>210.70697808232501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187.37844194959132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187.37844194959132</v>
      </c>
      <c r="GP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-3.4106051316484809E-13</v>
      </c>
      <c r="GV193" s="18">
        <f>GU193*VLOOKUP('Données projet'!$B$18,Paramètres!$A$1:$I$89,3,0)*VLOOKUP('Données projet'!$B$18,Paramètres!$A$1:$I$89,5,0)</f>
        <v>-3.2455318432766944E-13</v>
      </c>
      <c r="GW193" s="14" t="e">
        <f t="shared" si="188"/>
        <v>#NUM!</v>
      </c>
      <c r="GX193" s="22" t="e">
        <f t="shared" si="189"/>
        <v>#NUM!</v>
      </c>
      <c r="GY193" s="62" t="e">
        <f t="shared" si="137"/>
        <v>#NUM!</v>
      </c>
      <c r="GZ193" s="62">
        <f ca="1">AVERAGE(OFFSET($GY$3,0,0,'Données projet'!$E$18+1,1))-AVERAGE(OFFSET($H$3,0,0,'Données projet'!$E$18+1,1))</f>
        <v>420.2510366318939</v>
      </c>
      <c r="HA193" s="62">
        <f t="shared" si="160"/>
        <v>220.59884411514116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44.47904993635062</v>
      </c>
      <c r="HH193" s="23">
        <f>EXP(-LN(2)/25)*HH192+(1-EXP(-LN(2)/25))/(LN(2)/25)*Calculateur!HC193*Calculateur!HE193*VLOOKUP('Données projet'!$B$18,Paramètres!$A$1:$I$89,3,0)*0.475*44/12</f>
        <v>0</v>
      </c>
      <c r="HI193" s="23">
        <f>EXP(-LN(2)/2)*HI192+(1-EXP(-LN(2)/2))/(LN(2)/2)*HC193*HF193*VLOOKUP('Données projet'!$B$18,Paramètres!$A$1:$I$89,3,0)*0.475*44/12</f>
        <v>0</v>
      </c>
      <c r="HJ193" s="24">
        <f t="shared" si="190"/>
        <v>44.47904993635062</v>
      </c>
    </row>
    <row r="194" spans="1:218" x14ac:dyDescent="0.2">
      <c r="A194" s="11">
        <f t="shared" si="161"/>
        <v>191</v>
      </c>
      <c r="B194" s="74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-4.5474735088646412E-13</v>
      </c>
      <c r="O194" s="14">
        <f>N194*VLOOKUP('Données projet'!$B$9,Paramètres!$A$1:$I$89,3,0)*VLOOKUP('Données projet'!$B$9,Paramètres!$A$1:$I$89,5,0)</f>
        <v>-3.9017322706058626E-13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623.31285537237943</v>
      </c>
      <c r="T194" s="62">
        <f t="shared" si="142"/>
        <v>462.33909258902241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46.404788745535619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46.404788745535619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4.9658410716801891E-14</v>
      </c>
      <c r="AK194" s="14">
        <f t="shared" si="164"/>
        <v>8.0934058173791862E-13</v>
      </c>
      <c r="AL194" s="22">
        <f t="shared" si="165"/>
        <v>1.4960899118586383E-12</v>
      </c>
      <c r="AM194" s="62">
        <f t="shared" si="113"/>
        <v>293.33333333333479</v>
      </c>
      <c r="AN194" s="62">
        <f ca="1">AVERAGE(OFFSET($AM$3,0,0,'Données projet'!$E$10+1,1))-AVERAGE(OFFSET($H$3,0,0,'Données projet'!$E$10+1,1))</f>
        <v>390.70479111593545</v>
      </c>
      <c r="AO194" s="62">
        <f t="shared" si="144"/>
        <v>374.99493809709708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18.279400324634157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18.279400324634157</v>
      </c>
      <c r="AY194" s="7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5.6843418860808015E-14</v>
      </c>
      <c r="BE194" s="14">
        <f>BD194*VLOOKUP('Données projet'!$B$11,Paramètres!$A$1:$I$89,3,0)*VLOOKUP('Données projet'!$B$11,Paramètres!$A$1:$I$89,5,0)</f>
        <v>4.5224624045658861E-14</v>
      </c>
      <c r="BF194" s="14">
        <f t="shared" si="167"/>
        <v>7.4514601661523691E-13</v>
      </c>
      <c r="BG194" s="22">
        <f t="shared" si="168"/>
        <v>1.3765621991510601E-12</v>
      </c>
      <c r="BH194" s="62">
        <f t="shared" si="116"/>
        <v>293.33333333333468</v>
      </c>
      <c r="BI194" s="62">
        <f ca="1">AVERAGE(OFFSET($BH$3,0,0,'Données projet'!$E$11+1,1))-AVERAGE(OFFSET($H$3,0,0,'Données projet'!$E$11+1,1))</f>
        <v>359.18294335011535</v>
      </c>
      <c r="BJ194" s="62">
        <f t="shared" si="146"/>
        <v>345.47508134331241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16.647311009934668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16.647311009934668</v>
      </c>
      <c r="BT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5.6843418860808015E-14</v>
      </c>
      <c r="BZ194" s="14">
        <f>BY194*VLOOKUP('Données projet'!$B$12,Paramètres!$A$1:$I$89,3,0)*VLOOKUP('Données projet'!$B$12,Paramètres!$A$1:$I$89,5,0)</f>
        <v>4.1677594708744434E-14</v>
      </c>
      <c r="CA194" s="14">
        <f t="shared" si="170"/>
        <v>6.9326303456159188E-13</v>
      </c>
      <c r="CB194" s="22">
        <f t="shared" si="171"/>
        <v>1.2800215959791691E-12</v>
      </c>
      <c r="CC194" s="62">
        <f t="shared" si="119"/>
        <v>293.33333333333462</v>
      </c>
      <c r="CD194" s="62">
        <f ca="1">AVERAGE(OFFSET($CC$3,0,0,'Données projet'!$E$12+1,1))-AVERAGE(OFFSET($H$3,0,0,'Données projet'!$E$12+1,1))</f>
        <v>333.9187211440219</v>
      </c>
      <c r="CE194" s="62">
        <f t="shared" si="148"/>
        <v>321.81422611044997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12.446990584934499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12.446990584934499</v>
      </c>
      <c r="CO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5.6843418860808015E-14</v>
      </c>
      <c r="CU194" s="18">
        <f>CT194*VLOOKUP('Données projet'!$B$13,Paramètres!$A$1:$I$89,3,0)*VLOOKUP('Données projet'!$B$13,Paramètres!$A$1:$I$89,5,0)</f>
        <v>4.6111381379887463E-14</v>
      </c>
      <c r="CV194" s="14">
        <f t="shared" si="173"/>
        <v>7.5804141040779151E-13</v>
      </c>
      <c r="CW194" s="22">
        <f t="shared" si="174"/>
        <v>1.4005661123635408E-12</v>
      </c>
      <c r="CX194" s="62">
        <f t="shared" si="122"/>
        <v>293.33333333333474</v>
      </c>
      <c r="CY194" s="62">
        <f ca="1">AVERAGE(OFFSET($CX$3,0,0,'Données projet'!$E$13+1,1))-AVERAGE(OFFSET($H$3,0,0,'Données projet'!$E$13+1,1))</f>
        <v>365.492319515595</v>
      </c>
      <c r="CZ194" s="62">
        <f t="shared" si="150"/>
        <v>351.38386928091433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13.771138519501998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13.771138519501998</v>
      </c>
      <c r="DJ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4.8316906031686813E-13</v>
      </c>
      <c r="DP194" s="18">
        <f>DO194*VLOOKUP('Données projet'!$B$14,Paramètres!$A$1:$I$89,3,0)*VLOOKUP('Données projet'!$B$14,Paramètres!$A$1:$I$89,5,0)</f>
        <v>4.0702161641092972E-13</v>
      </c>
      <c r="DQ194" s="14">
        <f t="shared" si="176"/>
        <v>5.1929012680997463E-12</v>
      </c>
      <c r="DR194" s="22">
        <f t="shared" si="177"/>
        <v>9.7531990238560927E-12</v>
      </c>
      <c r="DS194" s="62">
        <f t="shared" si="125"/>
        <v>293.33333333334309</v>
      </c>
      <c r="DT194" s="62">
        <f ca="1">AVERAGE(OFFSET($DS$3,0,0,'Données projet'!$E$14+1,1))-AVERAGE(OFFSET($H$3,0,0,'Données projet'!$E$14+1,1))</f>
        <v>544.89250424794909</v>
      </c>
      <c r="DU194" s="62">
        <f t="shared" si="152"/>
        <v>253.98688498110715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187.17017942634556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187.17017942634556</v>
      </c>
      <c r="EE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4.8316906031686813E-13</v>
      </c>
      <c r="EK194" s="18">
        <f>EJ194*VLOOKUP('Données projet'!$B$15,Paramètres!$A$1:$I$89,3,0)*VLOOKUP('Données projet'!$B$15,Paramètres!$A$1:$I$89,5,0)</f>
        <v>4.3717136577470225E-13</v>
      </c>
      <c r="EL194" s="14">
        <f t="shared" si="179"/>
        <v>5.5313598682231701E-12</v>
      </c>
      <c r="EM194" s="22">
        <f t="shared" si="180"/>
        <v>1.039519189921296E-11</v>
      </c>
      <c r="EN194" s="62">
        <f t="shared" si="128"/>
        <v>293.33333333334372</v>
      </c>
      <c r="EO194" s="62">
        <f ca="1">AVERAGE(OFFSET($EN$3,0,0,'Données projet'!$E$15+1,1))-AVERAGE(OFFSET($H$3,0,0,'Données projet'!$E$15+1,1))</f>
        <v>581.88778927327667</v>
      </c>
      <c r="EP194" s="62">
        <f t="shared" si="154"/>
        <v>269.67340993773422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201.03463716163034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201.03463716163034</v>
      </c>
      <c r="EZ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4.8316906031686813E-13</v>
      </c>
      <c r="FF194" s="18">
        <f>FE194*VLOOKUP('Données projet'!$B$16,Paramètres!$A$1:$I$89,3,0)*VLOOKUP('Données projet'!$B$16,Paramètres!$A$1:$I$89,5,0)</f>
        <v>4.8993342716130437E-13</v>
      </c>
      <c r="FG194" s="14">
        <f t="shared" si="182"/>
        <v>6.1172634040517391E-12</v>
      </c>
      <c r="FH194" s="22">
        <f t="shared" si="183"/>
        <v>1.1507534481029384E-11</v>
      </c>
      <c r="FI194" s="62">
        <f t="shared" si="131"/>
        <v>293.3333333333448</v>
      </c>
      <c r="FJ194" s="62">
        <f ca="1">AVERAGE(OFFSET($FI$3,0,0,'Données projet'!$E$16+1,1))-AVERAGE(OFFSET($H$3,0,0,'Données projet'!$E$16+1,1))</f>
        <v>646.50767193970182</v>
      </c>
      <c r="FK194" s="62">
        <f t="shared" si="156"/>
        <v>297.06786598620607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225.29743819837881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225.29743819837881</v>
      </c>
      <c r="FU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4.8316906031686813E-13</v>
      </c>
      <c r="GA194" s="18">
        <f>FZ194*VLOOKUP('Données projet'!$B$17,Paramètres!$A$1:$I$89,3,0)*VLOOKUP('Données projet'!$B$17,Paramètres!$A$1:$I$89,5,0)</f>
        <v>3.2410980566055511E-13</v>
      </c>
      <c r="GB194" s="14">
        <f t="shared" si="185"/>
        <v>4.246192380365624E-12</v>
      </c>
      <c r="GC194" s="22">
        <f t="shared" si="186"/>
        <v>7.9599429739955953E-12</v>
      </c>
      <c r="GD194" s="62">
        <f t="shared" si="134"/>
        <v>293.33333333334127</v>
      </c>
      <c r="GE194" s="62">
        <f ca="1">AVERAGE(OFFSET($GD$3,0,0,'Données projet'!$E$17+1,1))-AVERAGE(OFFSET($H$3,0,0,'Données projet'!$E$17+1,1))</f>
        <v>442.85175349826028</v>
      </c>
      <c r="GF194" s="62">
        <f t="shared" si="158"/>
        <v>210.70697808232501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183.70406499252428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183.70406499252428</v>
      </c>
      <c r="GP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-3.4106051316484809E-13</v>
      </c>
      <c r="GV194" s="18">
        <f>GU194*VLOOKUP('Données projet'!$B$18,Paramètres!$A$1:$I$89,3,0)*VLOOKUP('Données projet'!$B$18,Paramètres!$A$1:$I$89,5,0)</f>
        <v>-3.2455318432766944E-13</v>
      </c>
      <c r="GW194" s="14" t="e">
        <f t="shared" si="188"/>
        <v>#NUM!</v>
      </c>
      <c r="GX194" s="22" t="e">
        <f t="shared" si="189"/>
        <v>#NUM!</v>
      </c>
      <c r="GY194" s="62" t="e">
        <f t="shared" si="137"/>
        <v>#NUM!</v>
      </c>
      <c r="GZ194" s="62">
        <f ca="1">AVERAGE(OFFSET($GY$3,0,0,'Données projet'!$E$18+1,1))-AVERAGE(OFFSET($H$3,0,0,'Données projet'!$E$18+1,1))</f>
        <v>420.2510366318939</v>
      </c>
      <c r="HA194" s="62">
        <f t="shared" si="160"/>
        <v>220.59884411514116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43.606842896640423</v>
      </c>
      <c r="HH194" s="23">
        <f>EXP(-LN(2)/25)*HH193+(1-EXP(-LN(2)/25))/(LN(2)/25)*Calculateur!HC194*Calculateur!HE194*VLOOKUP('Données projet'!$B$18,Paramètres!$A$1:$I$89,3,0)*0.475*44/12</f>
        <v>0</v>
      </c>
      <c r="HI194" s="23">
        <f>EXP(-LN(2)/2)*HI193+(1-EXP(-LN(2)/2))/(LN(2)/2)*HC194*HF194*VLOOKUP('Données projet'!$B$18,Paramètres!$A$1:$I$89,3,0)*0.475*44/12</f>
        <v>0</v>
      </c>
      <c r="HJ194" s="24">
        <f t="shared" si="190"/>
        <v>43.606842896640423</v>
      </c>
    </row>
    <row r="195" spans="1:218" x14ac:dyDescent="0.2">
      <c r="A195" s="11">
        <f t="shared" si="161"/>
        <v>192</v>
      </c>
      <c r="B195" s="74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-4.5474735088646412E-13</v>
      </c>
      <c r="O195" s="14">
        <f>N195*VLOOKUP('Données projet'!$B$9,Paramètres!$A$1:$I$89,3,0)*VLOOKUP('Données projet'!$B$9,Paramètres!$A$1:$I$89,5,0)</f>
        <v>-3.9017322706058626E-13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623.31285537237943</v>
      </c>
      <c r="T195" s="62">
        <f t="shared" si="142"/>
        <v>462.33909258902241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45.494819142361997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45.494819142361997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4.9658410716801891E-14</v>
      </c>
      <c r="AK195" s="14">
        <f t="shared" si="164"/>
        <v>8.0934058173791862E-13</v>
      </c>
      <c r="AL195" s="22">
        <f t="shared" si="165"/>
        <v>1.4960899118586383E-12</v>
      </c>
      <c r="AM195" s="62">
        <f t="shared" si="113"/>
        <v>293.33333333333479</v>
      </c>
      <c r="AN195" s="62">
        <f ca="1">AVERAGE(OFFSET($AM$3,0,0,'Données projet'!$E$10+1,1))-AVERAGE(OFFSET($H$3,0,0,'Données projet'!$E$10+1,1))</f>
        <v>390.70479111593545</v>
      </c>
      <c r="AO195" s="62">
        <f t="shared" si="144"/>
        <v>374.99493809709708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17.920952433601375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17.920952433601375</v>
      </c>
      <c r="AY195" s="7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5.6843418860808015E-14</v>
      </c>
      <c r="BE195" s="14">
        <f>BD195*VLOOKUP('Données projet'!$B$11,Paramètres!$A$1:$I$89,3,0)*VLOOKUP('Données projet'!$B$11,Paramètres!$A$1:$I$89,5,0)</f>
        <v>4.5224624045658861E-14</v>
      </c>
      <c r="BF195" s="14">
        <f t="shared" si="167"/>
        <v>7.4514601661523691E-13</v>
      </c>
      <c r="BG195" s="22">
        <f t="shared" si="168"/>
        <v>1.3765621991510601E-12</v>
      </c>
      <c r="BH195" s="62">
        <f t="shared" si="116"/>
        <v>293.33333333333468</v>
      </c>
      <c r="BI195" s="62">
        <f ca="1">AVERAGE(OFFSET($BH$3,0,0,'Données projet'!$E$11+1,1))-AVERAGE(OFFSET($H$3,0,0,'Données projet'!$E$11+1,1))</f>
        <v>359.18294335011535</v>
      </c>
      <c r="BJ195" s="62">
        <f t="shared" si="146"/>
        <v>345.47508134331241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16.320867394886957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16.320867394886957</v>
      </c>
      <c r="BT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5.6843418860808015E-14</v>
      </c>
      <c r="BZ195" s="14">
        <f>BY195*VLOOKUP('Données projet'!$B$12,Paramètres!$A$1:$I$89,3,0)*VLOOKUP('Données projet'!$B$12,Paramètres!$A$1:$I$89,5,0)</f>
        <v>4.1677594708744434E-14</v>
      </c>
      <c r="CA195" s="14">
        <f t="shared" si="170"/>
        <v>6.9326303456159188E-13</v>
      </c>
      <c r="CB195" s="22">
        <f t="shared" si="171"/>
        <v>1.2800215959791691E-12</v>
      </c>
      <c r="CC195" s="62">
        <f t="shared" si="119"/>
        <v>293.33333333333462</v>
      </c>
      <c r="CD195" s="62">
        <f ca="1">AVERAGE(OFFSET($CC$3,0,0,'Données projet'!$E$12+1,1))-AVERAGE(OFFSET($H$3,0,0,'Données projet'!$E$12+1,1))</f>
        <v>333.9187211440219</v>
      </c>
      <c r="CE195" s="62">
        <f t="shared" si="148"/>
        <v>321.81422611044997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12.20291269147855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12.20291269147855</v>
      </c>
      <c r="CO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5.6843418860808015E-14</v>
      </c>
      <c r="CU195" s="18">
        <f>CT195*VLOOKUP('Données projet'!$B$13,Paramètres!$A$1:$I$89,3,0)*VLOOKUP('Données projet'!$B$13,Paramètres!$A$1:$I$89,5,0)</f>
        <v>4.6111381379887463E-14</v>
      </c>
      <c r="CV195" s="14">
        <f t="shared" si="173"/>
        <v>7.5804141040779151E-13</v>
      </c>
      <c r="CW195" s="22">
        <f t="shared" si="174"/>
        <v>1.4005661123635408E-12</v>
      </c>
      <c r="CX195" s="62">
        <f t="shared" si="122"/>
        <v>293.33333333333474</v>
      </c>
      <c r="CY195" s="62">
        <f ca="1">AVERAGE(OFFSET($CX$3,0,0,'Données projet'!$E$13+1,1))-AVERAGE(OFFSET($H$3,0,0,'Données projet'!$E$13+1,1))</f>
        <v>365.492319515595</v>
      </c>
      <c r="CZ195" s="62">
        <f t="shared" si="150"/>
        <v>351.38386928091433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13.501094892699673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13.501094892699673</v>
      </c>
      <c r="DJ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4.8316906031686813E-13</v>
      </c>
      <c r="DP195" s="18">
        <f>DO195*VLOOKUP('Données projet'!$B$14,Paramètres!$A$1:$I$89,3,0)*VLOOKUP('Données projet'!$B$14,Paramètres!$A$1:$I$89,5,0)</f>
        <v>4.0702161641092972E-13</v>
      </c>
      <c r="DQ195" s="14">
        <f t="shared" si="176"/>
        <v>5.1929012680997463E-12</v>
      </c>
      <c r="DR195" s="22">
        <f t="shared" si="177"/>
        <v>9.7531990238560927E-12</v>
      </c>
      <c r="DS195" s="62">
        <f t="shared" si="125"/>
        <v>293.33333333334309</v>
      </c>
      <c r="DT195" s="62">
        <f ca="1">AVERAGE(OFFSET($DS$3,0,0,'Données projet'!$E$14+1,1))-AVERAGE(OFFSET($H$3,0,0,'Données projet'!$E$14+1,1))</f>
        <v>544.89250424794909</v>
      </c>
      <c r="DU195" s="62">
        <f t="shared" si="152"/>
        <v>253.98688498110715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183.49988637033175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183.49988637033175</v>
      </c>
      <c r="EE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4.8316906031686813E-13</v>
      </c>
      <c r="EK195" s="18">
        <f>EJ195*VLOOKUP('Données projet'!$B$15,Paramètres!$A$1:$I$89,3,0)*VLOOKUP('Données projet'!$B$15,Paramètres!$A$1:$I$89,5,0)</f>
        <v>4.3717136577470225E-13</v>
      </c>
      <c r="EL195" s="14">
        <f t="shared" si="179"/>
        <v>5.5313598682231701E-12</v>
      </c>
      <c r="EM195" s="22">
        <f t="shared" si="180"/>
        <v>1.039519189921296E-11</v>
      </c>
      <c r="EN195" s="62">
        <f t="shared" si="128"/>
        <v>293.33333333334372</v>
      </c>
      <c r="EO195" s="62">
        <f ca="1">AVERAGE(OFFSET($EN$3,0,0,'Données projet'!$E$15+1,1))-AVERAGE(OFFSET($H$3,0,0,'Données projet'!$E$15+1,1))</f>
        <v>581.88778927327667</v>
      </c>
      <c r="EP195" s="62">
        <f t="shared" si="154"/>
        <v>269.67340993773422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197.09247054591182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197.09247054591182</v>
      </c>
      <c r="EZ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4.8316906031686813E-13</v>
      </c>
      <c r="FF195" s="18">
        <f>FE195*VLOOKUP('Données projet'!$B$16,Paramètres!$A$1:$I$89,3,0)*VLOOKUP('Données projet'!$B$16,Paramètres!$A$1:$I$89,5,0)</f>
        <v>4.8993342716130437E-13</v>
      </c>
      <c r="FG195" s="14">
        <f t="shared" si="182"/>
        <v>6.1172634040517391E-12</v>
      </c>
      <c r="FH195" s="22">
        <f t="shared" si="183"/>
        <v>1.1507534481029384E-11</v>
      </c>
      <c r="FI195" s="62">
        <f t="shared" si="131"/>
        <v>293.3333333333448</v>
      </c>
      <c r="FJ195" s="62">
        <f ca="1">AVERAGE(OFFSET($FI$3,0,0,'Données projet'!$E$16+1,1))-AVERAGE(OFFSET($H$3,0,0,'Données projet'!$E$16+1,1))</f>
        <v>646.50767193970182</v>
      </c>
      <c r="FK195" s="62">
        <f t="shared" si="156"/>
        <v>297.06786598620607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220.87949285317703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220.87949285317703</v>
      </c>
      <c r="FU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4.8316906031686813E-13</v>
      </c>
      <c r="GA195" s="18">
        <f>FZ195*VLOOKUP('Données projet'!$B$17,Paramètres!$A$1:$I$89,3,0)*VLOOKUP('Données projet'!$B$17,Paramètres!$A$1:$I$89,5,0)</f>
        <v>3.2410980566055511E-13</v>
      </c>
      <c r="GB195" s="14">
        <f t="shared" si="185"/>
        <v>4.246192380365624E-12</v>
      </c>
      <c r="GC195" s="22">
        <f t="shared" si="186"/>
        <v>7.9599429739955953E-12</v>
      </c>
      <c r="GD195" s="62">
        <f t="shared" si="134"/>
        <v>293.33333333334127</v>
      </c>
      <c r="GE195" s="62">
        <f ca="1">AVERAGE(OFFSET($GD$3,0,0,'Données projet'!$E$17+1,1))-AVERAGE(OFFSET($H$3,0,0,'Données projet'!$E$17+1,1))</f>
        <v>442.85175349826028</v>
      </c>
      <c r="GF195" s="62">
        <f t="shared" si="158"/>
        <v>210.70697808232501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180.10174032643667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180.10174032643667</v>
      </c>
      <c r="GP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-3.4106051316484809E-13</v>
      </c>
      <c r="GV195" s="18">
        <f>GU195*VLOOKUP('Données projet'!$B$18,Paramètres!$A$1:$I$89,3,0)*VLOOKUP('Données projet'!$B$18,Paramètres!$A$1:$I$89,5,0)</f>
        <v>-3.2455318432766944E-13</v>
      </c>
      <c r="GW195" s="14" t="e">
        <f t="shared" si="188"/>
        <v>#NUM!</v>
      </c>
      <c r="GX195" s="22" t="e">
        <f t="shared" si="189"/>
        <v>#NUM!</v>
      </c>
      <c r="GY195" s="62" t="e">
        <f t="shared" si="137"/>
        <v>#NUM!</v>
      </c>
      <c r="GZ195" s="62">
        <f ca="1">AVERAGE(OFFSET($GY$3,0,0,'Données projet'!$E$18+1,1))-AVERAGE(OFFSET($H$3,0,0,'Données projet'!$E$18+1,1))</f>
        <v>420.2510366318939</v>
      </c>
      <c r="HA195" s="62">
        <f t="shared" si="160"/>
        <v>220.59884411514116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42.751739304985179</v>
      </c>
      <c r="HH195" s="23">
        <f>EXP(-LN(2)/25)*HH194+(1-EXP(-LN(2)/25))/(LN(2)/25)*Calculateur!HC195*Calculateur!HE195*VLOOKUP('Données projet'!$B$18,Paramètres!$A$1:$I$89,3,0)*0.475*44/12</f>
        <v>0</v>
      </c>
      <c r="HI195" s="23">
        <f>EXP(-LN(2)/2)*HI194+(1-EXP(-LN(2)/2))/(LN(2)/2)*HC195*HF195*VLOOKUP('Données projet'!$B$18,Paramètres!$A$1:$I$89,3,0)*0.475*44/12</f>
        <v>0</v>
      </c>
      <c r="HJ195" s="24">
        <f t="shared" si="190"/>
        <v>42.751739304985179</v>
      </c>
    </row>
    <row r="196" spans="1:218" x14ac:dyDescent="0.2">
      <c r="A196" s="11">
        <f t="shared" si="161"/>
        <v>193</v>
      </c>
      <c r="B196" s="74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-4.5474735088646412E-13</v>
      </c>
      <c r="O196" s="14">
        <f>N196*VLOOKUP('Données projet'!$B$9,Paramètres!$A$1:$I$89,3,0)*VLOOKUP('Données projet'!$B$9,Paramètres!$A$1:$I$89,5,0)</f>
        <v>-3.9017322706058626E-13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623.31285537237943</v>
      </c>
      <c r="T196" s="62">
        <f t="shared" si="142"/>
        <v>462.33909258902241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44.602693488079957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44.602693488079957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4.9658410716801891E-14</v>
      </c>
      <c r="AK196" s="14">
        <f t="shared" si="164"/>
        <v>8.0934058173791862E-13</v>
      </c>
      <c r="AL196" s="22">
        <f t="shared" si="165"/>
        <v>1.4960899118586383E-12</v>
      </c>
      <c r="AM196" s="62">
        <f t="shared" ref="AM196:AM203" si="193">AL196+(AD196+AE196)*44/12</f>
        <v>293.33333333333479</v>
      </c>
      <c r="AN196" s="62">
        <f ca="1">AVERAGE(OFFSET($AM$3,0,0,'Données projet'!$E$10+1,1))-AVERAGE(OFFSET($H$3,0,0,'Données projet'!$E$10+1,1))</f>
        <v>390.70479111593545</v>
      </c>
      <c r="AO196" s="62">
        <f t="shared" si="144"/>
        <v>374.99493809709708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17.569533487080118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17.569533487080118</v>
      </c>
      <c r="AY196" s="7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5.6843418860808015E-14</v>
      </c>
      <c r="BE196" s="14">
        <f>BD196*VLOOKUP('Données projet'!$B$11,Paramètres!$A$1:$I$89,3,0)*VLOOKUP('Données projet'!$B$11,Paramètres!$A$1:$I$89,5,0)</f>
        <v>4.5224624045658861E-14</v>
      </c>
      <c r="BF196" s="14">
        <f t="shared" si="167"/>
        <v>7.4514601661523691E-13</v>
      </c>
      <c r="BG196" s="22">
        <f t="shared" si="168"/>
        <v>1.3765621991510601E-12</v>
      </c>
      <c r="BH196" s="62">
        <f t="shared" ref="BH196:BH203" si="194">BG196+(AY196+AZ196)*44/12</f>
        <v>293.33333333333468</v>
      </c>
      <c r="BI196" s="62">
        <f ca="1">AVERAGE(OFFSET($BH$3,0,0,'Données projet'!$E$11+1,1))-AVERAGE(OFFSET($H$3,0,0,'Données projet'!$E$11+1,1))</f>
        <v>359.18294335011535</v>
      </c>
      <c r="BJ196" s="62">
        <f t="shared" si="146"/>
        <v>345.47508134331241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16.000825140019383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16.000825140019383</v>
      </c>
      <c r="BT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5.6843418860808015E-14</v>
      </c>
      <c r="BZ196" s="14">
        <f>BY196*VLOOKUP('Données projet'!$B$12,Paramètres!$A$1:$I$89,3,0)*VLOOKUP('Données projet'!$B$12,Paramètres!$A$1:$I$89,5,0)</f>
        <v>4.1677594708744434E-14</v>
      </c>
      <c r="CA196" s="14">
        <f t="shared" si="170"/>
        <v>6.9326303456159188E-13</v>
      </c>
      <c r="CB196" s="22">
        <f t="shared" si="171"/>
        <v>1.2800215959791691E-12</v>
      </c>
      <c r="CC196" s="62">
        <f t="shared" ref="CC196:CC203" si="195">CB196+(BT196+BU196)*44/12</f>
        <v>293.33333333333462</v>
      </c>
      <c r="CD196" s="62">
        <f ca="1">AVERAGE(OFFSET($CC$3,0,0,'Données projet'!$E$12+1,1))-AVERAGE(OFFSET($H$3,0,0,'Données projet'!$E$12+1,1))</f>
        <v>333.9187211440219</v>
      </c>
      <c r="CE196" s="62">
        <f t="shared" si="148"/>
        <v>321.81422611044997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11.963621016640458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11.963621016640458</v>
      </c>
      <c r="CO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5.6843418860808015E-14</v>
      </c>
      <c r="CU196" s="18">
        <f>CT196*VLOOKUP('Données projet'!$B$13,Paramètres!$A$1:$I$89,3,0)*VLOOKUP('Données projet'!$B$13,Paramètres!$A$1:$I$89,5,0)</f>
        <v>4.6111381379887463E-14</v>
      </c>
      <c r="CV196" s="14">
        <f t="shared" si="173"/>
        <v>7.5804141040779151E-13</v>
      </c>
      <c r="CW196" s="22">
        <f t="shared" si="174"/>
        <v>1.4005661123635408E-12</v>
      </c>
      <c r="CX196" s="62">
        <f t="shared" ref="CX196:CX203" si="196">CW196+(CO196+CP196)*44/12</f>
        <v>293.33333333333474</v>
      </c>
      <c r="CY196" s="62">
        <f ca="1">AVERAGE(OFFSET($CX$3,0,0,'Données projet'!$E$13+1,1))-AVERAGE(OFFSET($H$3,0,0,'Données projet'!$E$13+1,1))</f>
        <v>365.492319515595</v>
      </c>
      <c r="CZ196" s="62">
        <f t="shared" si="150"/>
        <v>351.38386928091433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13.236346656708593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13.236346656708593</v>
      </c>
      <c r="DJ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4.8316906031686813E-13</v>
      </c>
      <c r="DP196" s="18">
        <f>DO196*VLOOKUP('Données projet'!$B$14,Paramètres!$A$1:$I$89,3,0)*VLOOKUP('Données projet'!$B$14,Paramètres!$A$1:$I$89,5,0)</f>
        <v>4.0702161641092972E-13</v>
      </c>
      <c r="DQ196" s="14">
        <f t="shared" si="176"/>
        <v>5.1929012680997463E-12</v>
      </c>
      <c r="DR196" s="22">
        <f t="shared" si="177"/>
        <v>9.7531990238560927E-12</v>
      </c>
      <c r="DS196" s="62">
        <f t="shared" ref="DS196:DS203" si="197">DR196+(DJ196+DK196)*44/12</f>
        <v>293.33333333334309</v>
      </c>
      <c r="DT196" s="62">
        <f ca="1">AVERAGE(OFFSET($DS$3,0,0,'Données projet'!$E$14+1,1))-AVERAGE(OFFSET($H$3,0,0,'Données projet'!$E$14+1,1))</f>
        <v>544.89250424794909</v>
      </c>
      <c r="DU196" s="62">
        <f t="shared" si="152"/>
        <v>253.98688498110715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179.90156552248865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179.90156552248865</v>
      </c>
      <c r="EE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4.8316906031686813E-13</v>
      </c>
      <c r="EK196" s="18">
        <f>EJ196*VLOOKUP('Données projet'!$B$15,Paramètres!$A$1:$I$89,3,0)*VLOOKUP('Données projet'!$B$15,Paramètres!$A$1:$I$89,5,0)</f>
        <v>4.3717136577470225E-13</v>
      </c>
      <c r="EL196" s="14">
        <f t="shared" si="179"/>
        <v>5.5313598682231701E-12</v>
      </c>
      <c r="EM196" s="22">
        <f t="shared" si="180"/>
        <v>1.039519189921296E-11</v>
      </c>
      <c r="EN196" s="62">
        <f t="shared" ref="EN196:EN203" si="198">EM196+(EE196+EF196)*44/12</f>
        <v>293.33333333334372</v>
      </c>
      <c r="EO196" s="62">
        <f ca="1">AVERAGE(OFFSET($EN$3,0,0,'Données projet'!$E$15+1,1))-AVERAGE(OFFSET($H$3,0,0,'Données projet'!$E$15+1,1))</f>
        <v>581.88778927327667</v>
      </c>
      <c r="EP196" s="62">
        <f t="shared" si="154"/>
        <v>269.67340993773422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193.22760741304333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193.22760741304333</v>
      </c>
      <c r="EZ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4.8316906031686813E-13</v>
      </c>
      <c r="FF196" s="18">
        <f>FE196*VLOOKUP('Données projet'!$B$16,Paramètres!$A$1:$I$89,3,0)*VLOOKUP('Données projet'!$B$16,Paramètres!$A$1:$I$89,5,0)</f>
        <v>4.8993342716130437E-13</v>
      </c>
      <c r="FG196" s="14">
        <f t="shared" si="182"/>
        <v>6.1172634040517391E-12</v>
      </c>
      <c r="FH196" s="22">
        <f t="shared" si="183"/>
        <v>1.1507534481029384E-11</v>
      </c>
      <c r="FI196" s="62">
        <f t="shared" ref="FI196:FI203" si="199">FH196+(EZ196+FA196)*44/12</f>
        <v>293.3333333333448</v>
      </c>
      <c r="FJ196" s="62">
        <f ca="1">AVERAGE(OFFSET($FI$3,0,0,'Données projet'!$E$16+1,1))-AVERAGE(OFFSET($H$3,0,0,'Données projet'!$E$16+1,1))</f>
        <v>646.50767193970182</v>
      </c>
      <c r="FK196" s="62">
        <f t="shared" si="156"/>
        <v>297.06786598620607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216.54818072151406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216.54818072151406</v>
      </c>
      <c r="FU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4.8316906031686813E-13</v>
      </c>
      <c r="GA196" s="18">
        <f>FZ196*VLOOKUP('Données projet'!$B$17,Paramètres!$A$1:$I$89,3,0)*VLOOKUP('Données projet'!$B$17,Paramètres!$A$1:$I$89,5,0)</f>
        <v>3.2410980566055511E-13</v>
      </c>
      <c r="GB196" s="14">
        <f t="shared" si="185"/>
        <v>4.246192380365624E-12</v>
      </c>
      <c r="GC196" s="22">
        <f t="shared" si="186"/>
        <v>7.9599429739955953E-12</v>
      </c>
      <c r="GD196" s="62">
        <f t="shared" ref="GD196:GD203" si="200">GC196+(FU196+FV196)*44/12</f>
        <v>293.33333333334127</v>
      </c>
      <c r="GE196" s="62">
        <f ca="1">AVERAGE(OFFSET($GD$3,0,0,'Données projet'!$E$17+1,1))-AVERAGE(OFFSET($H$3,0,0,'Données projet'!$E$17+1,1))</f>
        <v>442.85175349826028</v>
      </c>
      <c r="GF196" s="62">
        <f t="shared" si="158"/>
        <v>210.70697808232501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176.57005504984994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176.57005504984994</v>
      </c>
      <c r="GP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-3.4106051316484809E-13</v>
      </c>
      <c r="GV196" s="18">
        <f>GU196*VLOOKUP('Données projet'!$B$18,Paramètres!$A$1:$I$89,3,0)*VLOOKUP('Données projet'!$B$18,Paramètres!$A$1:$I$89,5,0)</f>
        <v>-3.2455318432766944E-13</v>
      </c>
      <c r="GW196" s="14" t="e">
        <f t="shared" si="188"/>
        <v>#NUM!</v>
      </c>
      <c r="GX196" s="22" t="e">
        <f t="shared" si="189"/>
        <v>#NUM!</v>
      </c>
      <c r="GY196" s="62" t="e">
        <f t="shared" ref="GY196:GY203" si="201">GX196+(GP196+GQ196)*44/12</f>
        <v>#NUM!</v>
      </c>
      <c r="GZ196" s="62">
        <f ca="1">AVERAGE(OFFSET($GY$3,0,0,'Données projet'!$E$18+1,1))-AVERAGE(OFFSET($H$3,0,0,'Données projet'!$E$18+1,1))</f>
        <v>420.2510366318939</v>
      </c>
      <c r="HA196" s="62">
        <f t="shared" si="160"/>
        <v>220.59884411514116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41.913403773200606</v>
      </c>
      <c r="HH196" s="23">
        <f>EXP(-LN(2)/25)*HH195+(1-EXP(-LN(2)/25))/(LN(2)/25)*Calculateur!HC196*Calculateur!HE196*VLOOKUP('Données projet'!$B$18,Paramètres!$A$1:$I$89,3,0)*0.475*44/12</f>
        <v>0</v>
      </c>
      <c r="HI196" s="23">
        <f>EXP(-LN(2)/2)*HI195+(1-EXP(-LN(2)/2))/(LN(2)/2)*HC196*HF196*VLOOKUP('Données projet'!$B$18,Paramètres!$A$1:$I$89,3,0)*0.475*44/12</f>
        <v>0</v>
      </c>
      <c r="HJ196" s="24">
        <f t="shared" si="190"/>
        <v>41.913403773200606</v>
      </c>
    </row>
    <row r="197" spans="1:218" x14ac:dyDescent="0.2">
      <c r="A197" s="11">
        <f t="shared" si="161"/>
        <v>194</v>
      </c>
      <c r="B197" s="74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-4.5474735088646412E-13</v>
      </c>
      <c r="O197" s="14">
        <f>N197*VLOOKUP('Données projet'!$B$9,Paramètres!$A$1:$I$89,3,0)*VLOOKUP('Données projet'!$B$9,Paramètres!$A$1:$I$89,5,0)</f>
        <v>-3.9017322706058626E-13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623.31285537237943</v>
      </c>
      <c r="T197" s="62">
        <f t="shared" ref="T197:T203" si="204">$T$3</f>
        <v>462.33909258902241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43.72806187373547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43.72806187373547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4.9658410716801891E-14</v>
      </c>
      <c r="AK197" s="14">
        <f t="shared" si="164"/>
        <v>8.0934058173791862E-13</v>
      </c>
      <c r="AL197" s="22">
        <f t="shared" si="165"/>
        <v>1.4960899118586383E-12</v>
      </c>
      <c r="AM197" s="62">
        <f t="shared" si="193"/>
        <v>293.33333333333479</v>
      </c>
      <c r="AN197" s="62">
        <f ca="1">AVERAGE(OFFSET($AM$3,0,0,'Données projet'!$E$10+1,1))-AVERAGE(OFFSET($H$3,0,0,'Données projet'!$E$10+1,1))</f>
        <v>390.70479111593545</v>
      </c>
      <c r="AO197" s="62">
        <f t="shared" ref="AO197:AO203" si="205">$AO$3</f>
        <v>374.99493809709708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17.225005651755751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17.225005651755751</v>
      </c>
      <c r="AY197" s="7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5.6843418860808015E-14</v>
      </c>
      <c r="BE197" s="14">
        <f>BD197*VLOOKUP('Données projet'!$B$11,Paramètres!$A$1:$I$89,3,0)*VLOOKUP('Données projet'!$B$11,Paramètres!$A$1:$I$89,5,0)</f>
        <v>4.5224624045658861E-14</v>
      </c>
      <c r="BF197" s="14">
        <f t="shared" si="167"/>
        <v>7.4514601661523691E-13</v>
      </c>
      <c r="BG197" s="22">
        <f t="shared" si="168"/>
        <v>1.3765621991510601E-12</v>
      </c>
      <c r="BH197" s="62">
        <f t="shared" si="194"/>
        <v>293.33333333333468</v>
      </c>
      <c r="BI197" s="62">
        <f ca="1">AVERAGE(OFFSET($BH$3,0,0,'Données projet'!$E$11+1,1))-AVERAGE(OFFSET($H$3,0,0,'Données projet'!$E$11+1,1))</f>
        <v>359.18294335011535</v>
      </c>
      <c r="BJ197" s="62">
        <f t="shared" ref="BJ197:BJ203" si="206">$BJ$3</f>
        <v>345.47508134331241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15.687058718563264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15.687058718563264</v>
      </c>
      <c r="BT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5.6843418860808015E-14</v>
      </c>
      <c r="BZ197" s="14">
        <f>BY197*VLOOKUP('Données projet'!$B$12,Paramètres!$A$1:$I$89,3,0)*VLOOKUP('Données projet'!$B$12,Paramètres!$A$1:$I$89,5,0)</f>
        <v>4.1677594708744434E-14</v>
      </c>
      <c r="CA197" s="14">
        <f t="shared" si="170"/>
        <v>6.9326303456159188E-13</v>
      </c>
      <c r="CB197" s="22">
        <f t="shared" si="171"/>
        <v>1.2800215959791691E-12</v>
      </c>
      <c r="CC197" s="62">
        <f t="shared" si="195"/>
        <v>293.33333333333462</v>
      </c>
      <c r="CD197" s="62">
        <f ca="1">AVERAGE(OFFSET($CC$3,0,0,'Données projet'!$E$12+1,1))-AVERAGE(OFFSET($H$3,0,0,'Données projet'!$E$12+1,1))</f>
        <v>333.9187211440219</v>
      </c>
      <c r="CE197" s="62">
        <f t="shared" ref="CE197:CE203" si="207">$CE$3</f>
        <v>321.81422611044997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11.72902170559243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11.72902170559243</v>
      </c>
      <c r="CO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5.6843418860808015E-14</v>
      </c>
      <c r="CU197" s="18">
        <f>CT197*VLOOKUP('Données projet'!$B$13,Paramètres!$A$1:$I$89,3,0)*VLOOKUP('Données projet'!$B$13,Paramètres!$A$1:$I$89,5,0)</f>
        <v>4.6111381379887463E-14</v>
      </c>
      <c r="CV197" s="14">
        <f t="shared" si="173"/>
        <v>7.5804141040779151E-13</v>
      </c>
      <c r="CW197" s="22">
        <f t="shared" si="174"/>
        <v>1.4005661123635408E-12</v>
      </c>
      <c r="CX197" s="62">
        <f t="shared" si="196"/>
        <v>293.33333333333474</v>
      </c>
      <c r="CY197" s="62">
        <f ca="1">AVERAGE(OFFSET($CX$3,0,0,'Données projet'!$E$13+1,1))-AVERAGE(OFFSET($H$3,0,0,'Données projet'!$E$13+1,1))</f>
        <v>365.492319515595</v>
      </c>
      <c r="CZ197" s="62">
        <f t="shared" ref="CZ197:CZ203" si="208">$CZ$3</f>
        <v>351.38386928091433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12.976789972144818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12.976789972144818</v>
      </c>
      <c r="DJ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4.8316906031686813E-13</v>
      </c>
      <c r="DP197" s="18">
        <f>DO197*VLOOKUP('Données projet'!$B$14,Paramètres!$A$1:$I$89,3,0)*VLOOKUP('Données projet'!$B$14,Paramètres!$A$1:$I$89,5,0)</f>
        <v>4.0702161641092972E-13</v>
      </c>
      <c r="DQ197" s="14">
        <f t="shared" si="176"/>
        <v>5.1929012680997463E-12</v>
      </c>
      <c r="DR197" s="22">
        <f t="shared" si="177"/>
        <v>9.7531990238560927E-12</v>
      </c>
      <c r="DS197" s="62">
        <f t="shared" si="197"/>
        <v>293.33333333334309</v>
      </c>
      <c r="DT197" s="62">
        <f ca="1">AVERAGE(OFFSET($DS$3,0,0,'Données projet'!$E$14+1,1))-AVERAGE(OFFSET($H$3,0,0,'Données projet'!$E$14+1,1))</f>
        <v>544.89250424794909</v>
      </c>
      <c r="DU197" s="62">
        <f t="shared" ref="DU197:DU203" si="209">$DU$3</f>
        <v>253.98688498110715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176.37380555171276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176.37380555171276</v>
      </c>
      <c r="EE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4.8316906031686813E-13</v>
      </c>
      <c r="EK197" s="18">
        <f>EJ197*VLOOKUP('Données projet'!$B$15,Paramètres!$A$1:$I$89,3,0)*VLOOKUP('Données projet'!$B$15,Paramètres!$A$1:$I$89,5,0)</f>
        <v>4.3717136577470225E-13</v>
      </c>
      <c r="EL197" s="14">
        <f t="shared" si="179"/>
        <v>5.5313598682231701E-12</v>
      </c>
      <c r="EM197" s="22">
        <f t="shared" si="180"/>
        <v>1.039519189921296E-11</v>
      </c>
      <c r="EN197" s="62">
        <f t="shared" si="198"/>
        <v>293.33333333334372</v>
      </c>
      <c r="EO197" s="62">
        <f ca="1">AVERAGE(OFFSET($EN$3,0,0,'Données projet'!$E$15+1,1))-AVERAGE(OFFSET($H$3,0,0,'Données projet'!$E$15+1,1))</f>
        <v>581.88778927327667</v>
      </c>
      <c r="EP197" s="62">
        <f t="shared" ref="EP197:EP203" si="210">$EP$3</f>
        <v>269.67340993773422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189.43853188887664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189.43853188887664</v>
      </c>
      <c r="EZ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4.8316906031686813E-13</v>
      </c>
      <c r="FF197" s="18">
        <f>FE197*VLOOKUP('Données projet'!$B$16,Paramètres!$A$1:$I$89,3,0)*VLOOKUP('Données projet'!$B$16,Paramètres!$A$1:$I$89,5,0)</f>
        <v>4.8993342716130437E-13</v>
      </c>
      <c r="FG197" s="14">
        <f t="shared" si="182"/>
        <v>6.1172634040517391E-12</v>
      </c>
      <c r="FH197" s="22">
        <f t="shared" si="183"/>
        <v>1.1507534481029384E-11</v>
      </c>
      <c r="FI197" s="62">
        <f t="shared" si="199"/>
        <v>293.3333333333448</v>
      </c>
      <c r="FJ197" s="62">
        <f ca="1">AVERAGE(OFFSET($FI$3,0,0,'Données projet'!$E$16+1,1))-AVERAGE(OFFSET($H$3,0,0,'Données projet'!$E$16+1,1))</f>
        <v>646.50767193970182</v>
      </c>
      <c r="FK197" s="62">
        <f t="shared" ref="FK197:FK203" si="211">$FK$3</f>
        <v>297.06786598620607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212.30180297891346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212.30180297891346</v>
      </c>
      <c r="FU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4.8316906031686813E-13</v>
      </c>
      <c r="GA197" s="18">
        <f>FZ197*VLOOKUP('Données projet'!$B$17,Paramètres!$A$1:$I$89,3,0)*VLOOKUP('Données projet'!$B$17,Paramètres!$A$1:$I$89,5,0)</f>
        <v>3.2410980566055511E-13</v>
      </c>
      <c r="GB197" s="14">
        <f t="shared" si="185"/>
        <v>4.246192380365624E-12</v>
      </c>
      <c r="GC197" s="22">
        <f t="shared" si="186"/>
        <v>7.9599429739955953E-12</v>
      </c>
      <c r="GD197" s="62">
        <f t="shared" si="200"/>
        <v>293.33333333334127</v>
      </c>
      <c r="GE197" s="62">
        <f ca="1">AVERAGE(OFFSET($GD$3,0,0,'Données projet'!$E$17+1,1))-AVERAGE(OFFSET($H$3,0,0,'Données projet'!$E$17+1,1))</f>
        <v>442.85175349826028</v>
      </c>
      <c r="GF197" s="62">
        <f t="shared" ref="GF197:GF203" si="212">$GF$3</f>
        <v>210.70697808232501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173.10762396742174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173.10762396742174</v>
      </c>
      <c r="GP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-3.4106051316484809E-13</v>
      </c>
      <c r="GV197" s="18">
        <f>GU197*VLOOKUP('Données projet'!$B$18,Paramètres!$A$1:$I$89,3,0)*VLOOKUP('Données projet'!$B$18,Paramètres!$A$1:$I$89,5,0)</f>
        <v>-3.2455318432766944E-13</v>
      </c>
      <c r="GW197" s="14" t="e">
        <f t="shared" si="188"/>
        <v>#NUM!</v>
      </c>
      <c r="GX197" s="22" t="e">
        <f t="shared" si="189"/>
        <v>#NUM!</v>
      </c>
      <c r="GY197" s="62" t="e">
        <f t="shared" si="201"/>
        <v>#NUM!</v>
      </c>
      <c r="GZ197" s="62">
        <f ca="1">AVERAGE(OFFSET($GY$3,0,0,'Données projet'!$E$18+1,1))-AVERAGE(OFFSET($H$3,0,0,'Données projet'!$E$18+1,1))</f>
        <v>420.2510366318939</v>
      </c>
      <c r="HA197" s="62">
        <f t="shared" ref="HA197:HA203" si="213">$HA$3</f>
        <v>220.59884411514116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41.091507489860142</v>
      </c>
      <c r="HH197" s="23">
        <f>EXP(-LN(2)/25)*HH196+(1-EXP(-LN(2)/25))/(LN(2)/25)*Calculateur!HC197*Calculateur!HE197*VLOOKUP('Données projet'!$B$18,Paramètres!$A$1:$I$89,3,0)*0.475*44/12</f>
        <v>0</v>
      </c>
      <c r="HI197" s="23">
        <f>EXP(-LN(2)/2)*HI196+(1-EXP(-LN(2)/2))/(LN(2)/2)*HC197*HF197*VLOOKUP('Données projet'!$B$18,Paramètres!$A$1:$I$89,3,0)*0.475*44/12</f>
        <v>0</v>
      </c>
      <c r="HJ197" s="24">
        <f t="shared" si="190"/>
        <v>41.091507489860142</v>
      </c>
    </row>
    <row r="198" spans="1:218" x14ac:dyDescent="0.2">
      <c r="A198" s="11">
        <f t="shared" si="161"/>
        <v>195</v>
      </c>
      <c r="B198" s="74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-4.5474735088646412E-13</v>
      </c>
      <c r="O198" s="14">
        <f>N198*VLOOKUP('Données projet'!$B$9,Paramètres!$A$1:$I$89,3,0)*VLOOKUP('Données projet'!$B$9,Paramètres!$A$1:$I$89,5,0)</f>
        <v>-3.9017322706058626E-13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623.31285537237943</v>
      </c>
      <c r="T198" s="62">
        <f t="shared" si="204"/>
        <v>462.33909258902241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42.87058125187567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42.87058125187567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4.9658410716801891E-14</v>
      </c>
      <c r="AK198" s="14">
        <f t="shared" si="164"/>
        <v>8.0934058173791862E-13</v>
      </c>
      <c r="AL198" s="22">
        <f t="shared" si="165"/>
        <v>1.4960899118586383E-12</v>
      </c>
      <c r="AM198" s="62">
        <f t="shared" si="193"/>
        <v>293.33333333333479</v>
      </c>
      <c r="AN198" s="62">
        <f ca="1">AVERAGE(OFFSET($AM$3,0,0,'Données projet'!$E$10+1,1))-AVERAGE(OFFSET($H$3,0,0,'Données projet'!$E$10+1,1))</f>
        <v>390.70479111593545</v>
      </c>
      <c r="AO198" s="62">
        <f t="shared" si="205"/>
        <v>374.99493809709708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16.887233797140865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16.887233797140865</v>
      </c>
      <c r="AY198" s="7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5.6843418860808015E-14</v>
      </c>
      <c r="BE198" s="14">
        <f>BD198*VLOOKUP('Données projet'!$B$11,Paramètres!$A$1:$I$89,3,0)*VLOOKUP('Données projet'!$B$11,Paramètres!$A$1:$I$89,5,0)</f>
        <v>4.5224624045658861E-14</v>
      </c>
      <c r="BF198" s="14">
        <f t="shared" si="167"/>
        <v>7.4514601661523691E-13</v>
      </c>
      <c r="BG198" s="22">
        <f t="shared" si="168"/>
        <v>1.3765621991510601E-12</v>
      </c>
      <c r="BH198" s="62">
        <f t="shared" si="194"/>
        <v>293.33333333333468</v>
      </c>
      <c r="BI198" s="62">
        <f ca="1">AVERAGE(OFFSET($BH$3,0,0,'Données projet'!$E$11+1,1))-AVERAGE(OFFSET($H$3,0,0,'Données projet'!$E$11+1,1))</f>
        <v>359.18294335011535</v>
      </c>
      <c r="BJ198" s="62">
        <f t="shared" si="206"/>
        <v>345.47508134331241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15.379445065253279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15.379445065253279</v>
      </c>
      <c r="BT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5.6843418860808015E-14</v>
      </c>
      <c r="BZ198" s="14">
        <f>BY198*VLOOKUP('Données projet'!$B$12,Paramètres!$A$1:$I$89,3,0)*VLOOKUP('Données projet'!$B$12,Paramètres!$A$1:$I$89,5,0)</f>
        <v>4.1677594708744434E-14</v>
      </c>
      <c r="CA198" s="14">
        <f t="shared" si="170"/>
        <v>6.9326303456159188E-13</v>
      </c>
      <c r="CB198" s="22">
        <f t="shared" si="171"/>
        <v>1.2800215959791691E-12</v>
      </c>
      <c r="CC198" s="62">
        <f t="shared" si="195"/>
        <v>293.33333333333462</v>
      </c>
      <c r="CD198" s="62">
        <f ca="1">AVERAGE(OFFSET($CC$3,0,0,'Données projet'!$E$12+1,1))-AVERAGE(OFFSET($H$3,0,0,'Données projet'!$E$12+1,1))</f>
        <v>333.9187211440219</v>
      </c>
      <c r="CE198" s="62">
        <f t="shared" si="207"/>
        <v>321.81422611044997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11.499022743942605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11.499022743942605</v>
      </c>
      <c r="CO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5.6843418860808015E-14</v>
      </c>
      <c r="CU198" s="18">
        <f>CT198*VLOOKUP('Données projet'!$B$13,Paramètres!$A$1:$I$89,3,0)*VLOOKUP('Données projet'!$B$13,Paramètres!$A$1:$I$89,5,0)</f>
        <v>4.6111381379887463E-14</v>
      </c>
      <c r="CV198" s="14">
        <f t="shared" si="173"/>
        <v>7.5804141040779151E-13</v>
      </c>
      <c r="CW198" s="22">
        <f t="shared" si="174"/>
        <v>1.4005661123635408E-12</v>
      </c>
      <c r="CX198" s="62">
        <f t="shared" si="196"/>
        <v>293.33333333333474</v>
      </c>
      <c r="CY198" s="62">
        <f ca="1">AVERAGE(OFFSET($CX$3,0,0,'Données projet'!$E$13+1,1))-AVERAGE(OFFSET($H$3,0,0,'Données projet'!$E$13+1,1))</f>
        <v>365.492319515595</v>
      </c>
      <c r="CZ198" s="62">
        <f t="shared" si="208"/>
        <v>351.38386928091433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12.722323035851394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12.722323035851394</v>
      </c>
      <c r="DJ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4.8316906031686813E-13</v>
      </c>
      <c r="DP198" s="18">
        <f>DO198*VLOOKUP('Données projet'!$B$14,Paramètres!$A$1:$I$89,3,0)*VLOOKUP('Données projet'!$B$14,Paramètres!$A$1:$I$89,5,0)</f>
        <v>4.0702161641092972E-13</v>
      </c>
      <c r="DQ198" s="14">
        <f t="shared" si="176"/>
        <v>5.1929012680997463E-12</v>
      </c>
      <c r="DR198" s="22">
        <f t="shared" si="177"/>
        <v>9.7531990238560927E-12</v>
      </c>
      <c r="DS198" s="62">
        <f t="shared" si="197"/>
        <v>293.33333333334309</v>
      </c>
      <c r="DT198" s="62">
        <f ca="1">AVERAGE(OFFSET($DS$3,0,0,'Données projet'!$E$14+1,1))-AVERAGE(OFFSET($H$3,0,0,'Données projet'!$E$14+1,1))</f>
        <v>544.89250424794909</v>
      </c>
      <c r="DU198" s="62">
        <f t="shared" si="209"/>
        <v>253.98688498110715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172.91522280224268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172.91522280224268</v>
      </c>
      <c r="EE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4.8316906031686813E-13</v>
      </c>
      <c r="EK198" s="18">
        <f>EJ198*VLOOKUP('Données projet'!$B$15,Paramètres!$A$1:$I$89,3,0)*VLOOKUP('Données projet'!$B$15,Paramètres!$A$1:$I$89,5,0)</f>
        <v>4.3717136577470225E-13</v>
      </c>
      <c r="EL198" s="14">
        <f t="shared" si="179"/>
        <v>5.5313598682231701E-12</v>
      </c>
      <c r="EM198" s="22">
        <f t="shared" si="180"/>
        <v>1.039519189921296E-11</v>
      </c>
      <c r="EN198" s="62">
        <f t="shared" si="198"/>
        <v>293.33333333334372</v>
      </c>
      <c r="EO198" s="62">
        <f ca="1">AVERAGE(OFFSET($EN$3,0,0,'Données projet'!$E$15+1,1))-AVERAGE(OFFSET($H$3,0,0,'Données projet'!$E$15+1,1))</f>
        <v>581.88778927327667</v>
      </c>
      <c r="EP198" s="62">
        <f t="shared" si="210"/>
        <v>269.67340993773422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185.72375782463098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185.72375782463098</v>
      </c>
      <c r="EZ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4.8316906031686813E-13</v>
      </c>
      <c r="FF198" s="18">
        <f>FE198*VLOOKUP('Données projet'!$B$16,Paramètres!$A$1:$I$89,3,0)*VLOOKUP('Données projet'!$B$16,Paramètres!$A$1:$I$89,5,0)</f>
        <v>4.8993342716130437E-13</v>
      </c>
      <c r="FG198" s="14">
        <f t="shared" si="182"/>
        <v>6.1172634040517391E-12</v>
      </c>
      <c r="FH198" s="22">
        <f t="shared" si="183"/>
        <v>1.1507534481029384E-11</v>
      </c>
      <c r="FI198" s="62">
        <f t="shared" si="199"/>
        <v>293.3333333333448</v>
      </c>
      <c r="FJ198" s="62">
        <f ca="1">AVERAGE(OFFSET($FI$3,0,0,'Données projet'!$E$16+1,1))-AVERAGE(OFFSET($H$3,0,0,'Données projet'!$E$16+1,1))</f>
        <v>646.50767193970182</v>
      </c>
      <c r="FK198" s="62">
        <f t="shared" si="211"/>
        <v>297.06786598620607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208.13869411381057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208.13869411381057</v>
      </c>
      <c r="FU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4.8316906031686813E-13</v>
      </c>
      <c r="GA198" s="18">
        <f>FZ198*VLOOKUP('Données projet'!$B$17,Paramètres!$A$1:$I$89,3,0)*VLOOKUP('Données projet'!$B$17,Paramètres!$A$1:$I$89,5,0)</f>
        <v>3.2410980566055511E-13</v>
      </c>
      <c r="GB198" s="14">
        <f t="shared" si="185"/>
        <v>4.246192380365624E-12</v>
      </c>
      <c r="GC198" s="22">
        <f t="shared" si="186"/>
        <v>7.9599429739955953E-12</v>
      </c>
      <c r="GD198" s="62">
        <f t="shared" si="200"/>
        <v>293.33333333334127</v>
      </c>
      <c r="GE198" s="62">
        <f ca="1">AVERAGE(OFFSET($GD$3,0,0,'Données projet'!$E$17+1,1))-AVERAGE(OFFSET($H$3,0,0,'Données projet'!$E$17+1,1))</f>
        <v>442.85175349826028</v>
      </c>
      <c r="GF198" s="62">
        <f t="shared" si="212"/>
        <v>210.70697808232501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169.71308904664554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169.71308904664554</v>
      </c>
      <c r="GP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-3.4106051316484809E-13</v>
      </c>
      <c r="GV198" s="18">
        <f>GU198*VLOOKUP('Données projet'!$B$18,Paramètres!$A$1:$I$89,3,0)*VLOOKUP('Données projet'!$B$18,Paramètres!$A$1:$I$89,5,0)</f>
        <v>-3.2455318432766944E-13</v>
      </c>
      <c r="GW198" s="14" t="e">
        <f t="shared" si="188"/>
        <v>#NUM!</v>
      </c>
      <c r="GX198" s="22" t="e">
        <f t="shared" si="189"/>
        <v>#NUM!</v>
      </c>
      <c r="GY198" s="62" t="e">
        <f t="shared" si="201"/>
        <v>#NUM!</v>
      </c>
      <c r="GZ198" s="62">
        <f ca="1">AVERAGE(OFFSET($GY$3,0,0,'Données projet'!$E$18+1,1))-AVERAGE(OFFSET($H$3,0,0,'Données projet'!$E$18+1,1))</f>
        <v>420.2510366318939</v>
      </c>
      <c r="HA198" s="62">
        <f t="shared" si="213"/>
        <v>220.59884411514116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40.285728091328757</v>
      </c>
      <c r="HH198" s="23">
        <f>EXP(-LN(2)/25)*HH197+(1-EXP(-LN(2)/25))/(LN(2)/25)*Calculateur!HC198*Calculateur!HE198*VLOOKUP('Données projet'!$B$18,Paramètres!$A$1:$I$89,3,0)*0.475*44/12</f>
        <v>0</v>
      </c>
      <c r="HI198" s="23">
        <f>EXP(-LN(2)/2)*HI197+(1-EXP(-LN(2)/2))/(LN(2)/2)*HC198*HF198*VLOOKUP('Données projet'!$B$18,Paramètres!$A$1:$I$89,3,0)*0.475*44/12</f>
        <v>0</v>
      </c>
      <c r="HJ198" s="24">
        <f t="shared" si="190"/>
        <v>40.285728091328757</v>
      </c>
    </row>
    <row r="199" spans="1:218" x14ac:dyDescent="0.2">
      <c r="A199" s="11">
        <f t="shared" si="161"/>
        <v>196</v>
      </c>
      <c r="B199" s="74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-4.5474735088646412E-13</v>
      </c>
      <c r="O199" s="14">
        <f>N199*VLOOKUP('Données projet'!$B$9,Paramètres!$A$1:$I$89,3,0)*VLOOKUP('Données projet'!$B$9,Paramètres!$A$1:$I$89,5,0)</f>
        <v>-3.9017322706058626E-13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623.31285537237943</v>
      </c>
      <c r="T199" s="62">
        <f t="shared" si="204"/>
        <v>462.33909258902241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42.029915301999004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42.029915301999004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4.9658410716801891E-14</v>
      </c>
      <c r="AK199" s="14">
        <f t="shared" si="164"/>
        <v>8.0934058173791862E-13</v>
      </c>
      <c r="AL199" s="22">
        <f t="shared" si="165"/>
        <v>1.4960899118586383E-12</v>
      </c>
      <c r="AM199" s="62">
        <f t="shared" si="193"/>
        <v>293.33333333333479</v>
      </c>
      <c r="AN199" s="62">
        <f ca="1">AVERAGE(OFFSET($AM$3,0,0,'Données projet'!$E$10+1,1))-AVERAGE(OFFSET($H$3,0,0,'Données projet'!$E$10+1,1))</f>
        <v>390.70479111593545</v>
      </c>
      <c r="AO199" s="62">
        <f t="shared" si="205"/>
        <v>374.99493809709708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16.556085442574489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16.556085442574489</v>
      </c>
      <c r="AY199" s="7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5.6843418860808015E-14</v>
      </c>
      <c r="BE199" s="14">
        <f>BD199*VLOOKUP('Données projet'!$B$11,Paramètres!$A$1:$I$89,3,0)*VLOOKUP('Données projet'!$B$11,Paramètres!$A$1:$I$89,5,0)</f>
        <v>4.5224624045658861E-14</v>
      </c>
      <c r="BF199" s="14">
        <f t="shared" si="167"/>
        <v>7.4514601661523691E-13</v>
      </c>
      <c r="BG199" s="22">
        <f t="shared" si="168"/>
        <v>1.3765621991510601E-12</v>
      </c>
      <c r="BH199" s="62">
        <f t="shared" si="194"/>
        <v>293.33333333333468</v>
      </c>
      <c r="BI199" s="62">
        <f ca="1">AVERAGE(OFFSET($BH$3,0,0,'Données projet'!$E$11+1,1))-AVERAGE(OFFSET($H$3,0,0,'Données projet'!$E$11+1,1))</f>
        <v>359.18294335011535</v>
      </c>
      <c r="BJ199" s="62">
        <f t="shared" si="206"/>
        <v>345.47508134331241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15.0778635280589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15.0778635280589</v>
      </c>
      <c r="BT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5.6843418860808015E-14</v>
      </c>
      <c r="BZ199" s="14">
        <f>BY199*VLOOKUP('Données projet'!$B$12,Paramètres!$A$1:$I$89,3,0)*VLOOKUP('Données projet'!$B$12,Paramètres!$A$1:$I$89,5,0)</f>
        <v>4.1677594708744434E-14</v>
      </c>
      <c r="CA199" s="14">
        <f t="shared" si="170"/>
        <v>6.9326303456159188E-13</v>
      </c>
      <c r="CB199" s="22">
        <f t="shared" si="171"/>
        <v>1.2800215959791691E-12</v>
      </c>
      <c r="CC199" s="62">
        <f t="shared" si="195"/>
        <v>293.33333333333462</v>
      </c>
      <c r="CD199" s="62">
        <f ca="1">AVERAGE(OFFSET($CC$3,0,0,'Données projet'!$E$12+1,1))-AVERAGE(OFFSET($H$3,0,0,'Données projet'!$E$12+1,1))</f>
        <v>333.9187211440219</v>
      </c>
      <c r="CE199" s="62">
        <f t="shared" si="207"/>
        <v>321.81422611044997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11.273533921645218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11.273533921645218</v>
      </c>
      <c r="CO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5.6843418860808015E-14</v>
      </c>
      <c r="CU199" s="18">
        <f>CT199*VLOOKUP('Données projet'!$B$13,Paramètres!$A$1:$I$89,3,0)*VLOOKUP('Données projet'!$B$13,Paramètres!$A$1:$I$89,5,0)</f>
        <v>4.6111381379887463E-14</v>
      </c>
      <c r="CV199" s="14">
        <f t="shared" si="173"/>
        <v>7.5804141040779151E-13</v>
      </c>
      <c r="CW199" s="22">
        <f t="shared" si="174"/>
        <v>1.4005661123635408E-12</v>
      </c>
      <c r="CX199" s="62">
        <f t="shared" si="196"/>
        <v>293.33333333333474</v>
      </c>
      <c r="CY199" s="62">
        <f ca="1">AVERAGE(OFFSET($CX$3,0,0,'Données projet'!$E$13+1,1))-AVERAGE(OFFSET($H$3,0,0,'Données projet'!$E$13+1,1))</f>
        <v>365.492319515595</v>
      </c>
      <c r="CZ199" s="62">
        <f t="shared" si="208"/>
        <v>351.38386928091433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12.472846040969179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12.472846040969179</v>
      </c>
      <c r="DJ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4.8316906031686813E-13</v>
      </c>
      <c r="DP199" s="18">
        <f>DO199*VLOOKUP('Données projet'!$B$14,Paramètres!$A$1:$I$89,3,0)*VLOOKUP('Données projet'!$B$14,Paramètres!$A$1:$I$89,5,0)</f>
        <v>4.0702161641092972E-13</v>
      </c>
      <c r="DQ199" s="14">
        <f t="shared" si="176"/>
        <v>5.1929012680997463E-12</v>
      </c>
      <c r="DR199" s="22">
        <f t="shared" si="177"/>
        <v>9.7531990238560927E-12</v>
      </c>
      <c r="DS199" s="62">
        <f t="shared" si="197"/>
        <v>293.33333333334309</v>
      </c>
      <c r="DT199" s="62">
        <f ca="1">AVERAGE(OFFSET($DS$3,0,0,'Données projet'!$E$14+1,1))-AVERAGE(OFFSET($H$3,0,0,'Données projet'!$E$14+1,1))</f>
        <v>544.89250424794909</v>
      </c>
      <c r="DU199" s="62">
        <f t="shared" si="209"/>
        <v>253.98688498110715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169.52446075096253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169.52446075096253</v>
      </c>
      <c r="EE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4.8316906031686813E-13</v>
      </c>
      <c r="EK199" s="18">
        <f>EJ199*VLOOKUP('Données projet'!$B$15,Paramètres!$A$1:$I$89,3,0)*VLOOKUP('Données projet'!$B$15,Paramètres!$A$1:$I$89,5,0)</f>
        <v>4.3717136577470225E-13</v>
      </c>
      <c r="EL199" s="14">
        <f t="shared" si="179"/>
        <v>5.5313598682231701E-12</v>
      </c>
      <c r="EM199" s="22">
        <f t="shared" si="180"/>
        <v>1.039519189921296E-11</v>
      </c>
      <c r="EN199" s="62">
        <f t="shared" si="198"/>
        <v>293.33333333334372</v>
      </c>
      <c r="EO199" s="62">
        <f ca="1">AVERAGE(OFFSET($EN$3,0,0,'Données projet'!$E$15+1,1))-AVERAGE(OFFSET($H$3,0,0,'Données projet'!$E$15+1,1))</f>
        <v>581.88778927327667</v>
      </c>
      <c r="EP199" s="62">
        <f t="shared" si="210"/>
        <v>269.67340993773422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182.08182821399674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182.08182821399674</v>
      </c>
      <c r="EZ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4.8316906031686813E-13</v>
      </c>
      <c r="FF199" s="18">
        <f>FE199*VLOOKUP('Données projet'!$B$16,Paramètres!$A$1:$I$89,3,0)*VLOOKUP('Données projet'!$B$16,Paramètres!$A$1:$I$89,5,0)</f>
        <v>4.8993342716130437E-13</v>
      </c>
      <c r="FG199" s="14">
        <f t="shared" si="182"/>
        <v>6.1172634040517391E-12</v>
      </c>
      <c r="FH199" s="22">
        <f t="shared" si="183"/>
        <v>1.1507534481029384E-11</v>
      </c>
      <c r="FI199" s="62">
        <f t="shared" si="199"/>
        <v>293.3333333333448</v>
      </c>
      <c r="FJ199" s="62">
        <f ca="1">AVERAGE(OFFSET($FI$3,0,0,'Données projet'!$E$16+1,1))-AVERAGE(OFFSET($H$3,0,0,'Données projet'!$E$16+1,1))</f>
        <v>646.50767193970182</v>
      </c>
      <c r="FK199" s="62">
        <f t="shared" si="211"/>
        <v>297.06786598620607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204.05722127430667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204.05722127430667</v>
      </c>
      <c r="FU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4.8316906031686813E-13</v>
      </c>
      <c r="GA199" s="18">
        <f>FZ199*VLOOKUP('Données projet'!$B$17,Paramètres!$A$1:$I$89,3,0)*VLOOKUP('Données projet'!$B$17,Paramètres!$A$1:$I$89,5,0)</f>
        <v>3.2410980566055511E-13</v>
      </c>
      <c r="GB199" s="14">
        <f t="shared" si="185"/>
        <v>4.246192380365624E-12</v>
      </c>
      <c r="GC199" s="22">
        <f t="shared" si="186"/>
        <v>7.9599429739955953E-12</v>
      </c>
      <c r="GD199" s="62">
        <f t="shared" si="200"/>
        <v>293.33333333334127</v>
      </c>
      <c r="GE199" s="62">
        <f ca="1">AVERAGE(OFFSET($GD$3,0,0,'Données projet'!$E$17+1,1))-AVERAGE(OFFSET($H$3,0,0,'Données projet'!$E$17+1,1))</f>
        <v>442.85175349826028</v>
      </c>
      <c r="GF199" s="62">
        <f t="shared" si="212"/>
        <v>210.70697808232501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166.38511888520389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166.38511888520389</v>
      </c>
      <c r="GP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-3.4106051316484809E-13</v>
      </c>
      <c r="GV199" s="18">
        <f>GU199*VLOOKUP('Données projet'!$B$18,Paramètres!$A$1:$I$89,3,0)*VLOOKUP('Données projet'!$B$18,Paramètres!$A$1:$I$89,5,0)</f>
        <v>-3.2455318432766944E-13</v>
      </c>
      <c r="GW199" s="14" t="e">
        <f t="shared" si="188"/>
        <v>#NUM!</v>
      </c>
      <c r="GX199" s="22" t="e">
        <f t="shared" si="189"/>
        <v>#NUM!</v>
      </c>
      <c r="GY199" s="62" t="e">
        <f t="shared" si="201"/>
        <v>#NUM!</v>
      </c>
      <c r="GZ199" s="62">
        <f ca="1">AVERAGE(OFFSET($GY$3,0,0,'Données projet'!$E$18+1,1))-AVERAGE(OFFSET($H$3,0,0,'Données projet'!$E$18+1,1))</f>
        <v>420.2510366318939</v>
      </c>
      <c r="HA199" s="62">
        <f t="shared" si="213"/>
        <v>220.59884411514116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39.495749535325665</v>
      </c>
      <c r="HH199" s="23">
        <f>EXP(-LN(2)/25)*HH198+(1-EXP(-LN(2)/25))/(LN(2)/25)*Calculateur!HC199*Calculateur!HE199*VLOOKUP('Données projet'!$B$18,Paramètres!$A$1:$I$89,3,0)*0.475*44/12</f>
        <v>0</v>
      </c>
      <c r="HI199" s="23">
        <f>EXP(-LN(2)/2)*HI198+(1-EXP(-LN(2)/2))/(LN(2)/2)*HC199*HF199*VLOOKUP('Données projet'!$B$18,Paramètres!$A$1:$I$89,3,0)*0.475*44/12</f>
        <v>0</v>
      </c>
      <c r="HJ199" s="24">
        <f t="shared" si="190"/>
        <v>39.495749535325665</v>
      </c>
    </row>
    <row r="200" spans="1:218" x14ac:dyDescent="0.2">
      <c r="A200" s="11">
        <f t="shared" si="161"/>
        <v>197</v>
      </c>
      <c r="B200" s="74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-4.5474735088646412E-13</v>
      </c>
      <c r="O200" s="14">
        <f>N200*VLOOKUP('Données projet'!$B$9,Paramètres!$A$1:$I$89,3,0)*VLOOKUP('Données projet'!$B$9,Paramètres!$A$1:$I$89,5,0)</f>
        <v>-3.9017322706058626E-13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623.31285537237943</v>
      </c>
      <c r="T200" s="62">
        <f t="shared" si="204"/>
        <v>462.33909258902241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41.205734298643819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41.205734298643819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4.9658410716801891E-14</v>
      </c>
      <c r="AK200" s="14">
        <f t="shared" si="164"/>
        <v>8.0934058173791862E-13</v>
      </c>
      <c r="AL200" s="22">
        <f t="shared" si="165"/>
        <v>1.4960899118586383E-12</v>
      </c>
      <c r="AM200" s="62">
        <f t="shared" si="193"/>
        <v>293.33333333333479</v>
      </c>
      <c r="AN200" s="62">
        <f ca="1">AVERAGE(OFFSET($AM$3,0,0,'Données projet'!$E$10+1,1))-AVERAGE(OFFSET($H$3,0,0,'Données projet'!$E$10+1,1))</f>
        <v>390.70479111593545</v>
      </c>
      <c r="AO200" s="62">
        <f t="shared" si="205"/>
        <v>374.99493809709708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16.231430705260607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16.231430705260607</v>
      </c>
      <c r="AY200" s="7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5.6843418860808015E-14</v>
      </c>
      <c r="BE200" s="14">
        <f>BD200*VLOOKUP('Données projet'!$B$11,Paramètres!$A$1:$I$89,3,0)*VLOOKUP('Données projet'!$B$11,Paramètres!$A$1:$I$89,5,0)</f>
        <v>4.5224624045658861E-14</v>
      </c>
      <c r="BF200" s="14">
        <f t="shared" si="167"/>
        <v>7.4514601661523691E-13</v>
      </c>
      <c r="BG200" s="22">
        <f t="shared" si="168"/>
        <v>1.3765621991510601E-12</v>
      </c>
      <c r="BH200" s="62">
        <f t="shared" si="194"/>
        <v>293.33333333333468</v>
      </c>
      <c r="BI200" s="62">
        <f ca="1">AVERAGE(OFFSET($BH$3,0,0,'Données projet'!$E$11+1,1))-AVERAGE(OFFSET($H$3,0,0,'Données projet'!$E$11+1,1))</f>
        <v>359.18294335011535</v>
      </c>
      <c r="BJ200" s="62">
        <f t="shared" si="206"/>
        <v>345.47508134331241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14.782195820862329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14.782195820862329</v>
      </c>
      <c r="BT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5.6843418860808015E-14</v>
      </c>
      <c r="BZ200" s="14">
        <f>BY200*VLOOKUP('Données projet'!$B$12,Paramètres!$A$1:$I$89,3,0)*VLOOKUP('Données projet'!$B$12,Paramètres!$A$1:$I$89,5,0)</f>
        <v>4.1677594708744434E-14</v>
      </c>
      <c r="CA200" s="14">
        <f t="shared" si="170"/>
        <v>6.9326303456159188E-13</v>
      </c>
      <c r="CB200" s="22">
        <f t="shared" si="171"/>
        <v>1.2800215959791691E-12</v>
      </c>
      <c r="CC200" s="62">
        <f t="shared" si="195"/>
        <v>293.33333333333462</v>
      </c>
      <c r="CD200" s="62">
        <f ca="1">AVERAGE(OFFSET($CC$3,0,0,'Données projet'!$E$12+1,1))-AVERAGE(OFFSET($H$3,0,0,'Données projet'!$E$12+1,1))</f>
        <v>333.9187211440219</v>
      </c>
      <c r="CE200" s="62">
        <f t="shared" si="207"/>
        <v>321.81422611044997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11.05246679761848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11.05246679761848</v>
      </c>
      <c r="CO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5.6843418860808015E-14</v>
      </c>
      <c r="CU200" s="18">
        <f>CT200*VLOOKUP('Données projet'!$B$13,Paramètres!$A$1:$I$89,3,0)*VLOOKUP('Données projet'!$B$13,Paramètres!$A$1:$I$89,5,0)</f>
        <v>4.6111381379887463E-14</v>
      </c>
      <c r="CV200" s="14">
        <f t="shared" si="173"/>
        <v>7.5804141040779151E-13</v>
      </c>
      <c r="CW200" s="22">
        <f t="shared" si="174"/>
        <v>1.4005661123635408E-12</v>
      </c>
      <c r="CX200" s="62">
        <f t="shared" si="196"/>
        <v>293.33333333333474</v>
      </c>
      <c r="CY200" s="62">
        <f ca="1">AVERAGE(OFFSET($CX$3,0,0,'Données projet'!$E$13+1,1))-AVERAGE(OFFSET($H$3,0,0,'Données projet'!$E$13+1,1))</f>
        <v>365.492319515595</v>
      </c>
      <c r="CZ200" s="62">
        <f t="shared" si="208"/>
        <v>351.38386928091433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12.228261137790662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12.228261137790662</v>
      </c>
      <c r="DJ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4.8316906031686813E-13</v>
      </c>
      <c r="DP200" s="18">
        <f>DO200*VLOOKUP('Données projet'!$B$14,Paramètres!$A$1:$I$89,3,0)*VLOOKUP('Données projet'!$B$14,Paramètres!$A$1:$I$89,5,0)</f>
        <v>4.0702161641092972E-13</v>
      </c>
      <c r="DQ200" s="14">
        <f t="shared" si="176"/>
        <v>5.1929012680997463E-12</v>
      </c>
      <c r="DR200" s="22">
        <f t="shared" si="177"/>
        <v>9.7531990238560927E-12</v>
      </c>
      <c r="DS200" s="62">
        <f t="shared" si="197"/>
        <v>293.33333333334309</v>
      </c>
      <c r="DT200" s="62">
        <f ca="1">AVERAGE(OFFSET($DS$3,0,0,'Données projet'!$E$14+1,1))-AVERAGE(OFFSET($H$3,0,0,'Données projet'!$E$14+1,1))</f>
        <v>544.89250424794909</v>
      </c>
      <c r="DU200" s="62">
        <f t="shared" si="209"/>
        <v>253.98688498110715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166.20018947534734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166.20018947534734</v>
      </c>
      <c r="EE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4.8316906031686813E-13</v>
      </c>
      <c r="EK200" s="18">
        <f>EJ200*VLOOKUP('Données projet'!$B$15,Paramètres!$A$1:$I$89,3,0)*VLOOKUP('Données projet'!$B$15,Paramètres!$A$1:$I$89,5,0)</f>
        <v>4.3717136577470225E-13</v>
      </c>
      <c r="EL200" s="14">
        <f t="shared" si="179"/>
        <v>5.5313598682231701E-12</v>
      </c>
      <c r="EM200" s="22">
        <f t="shared" si="180"/>
        <v>1.039519189921296E-11</v>
      </c>
      <c r="EN200" s="62">
        <f t="shared" si="198"/>
        <v>293.33333333334372</v>
      </c>
      <c r="EO200" s="62">
        <f ca="1">AVERAGE(OFFSET($EN$3,0,0,'Données projet'!$E$15+1,1))-AVERAGE(OFFSET($H$3,0,0,'Données projet'!$E$15+1,1))</f>
        <v>581.88778927327667</v>
      </c>
      <c r="EP200" s="62">
        <f t="shared" si="210"/>
        <v>269.67340993773422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178.51131462166933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178.51131462166933</v>
      </c>
      <c r="EZ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4.8316906031686813E-13</v>
      </c>
      <c r="FF200" s="18">
        <f>FE200*VLOOKUP('Données projet'!$B$16,Paramètres!$A$1:$I$89,3,0)*VLOOKUP('Données projet'!$B$16,Paramètres!$A$1:$I$89,5,0)</f>
        <v>4.8993342716130437E-13</v>
      </c>
      <c r="FG200" s="14">
        <f t="shared" si="182"/>
        <v>6.1172634040517391E-12</v>
      </c>
      <c r="FH200" s="22">
        <f t="shared" si="183"/>
        <v>1.1507534481029384E-11</v>
      </c>
      <c r="FI200" s="62">
        <f t="shared" si="199"/>
        <v>293.3333333333448</v>
      </c>
      <c r="FJ200" s="62">
        <f ca="1">AVERAGE(OFFSET($FI$3,0,0,'Données projet'!$E$16+1,1))-AVERAGE(OFFSET($H$3,0,0,'Données projet'!$E$16+1,1))</f>
        <v>646.50767193970182</v>
      </c>
      <c r="FK200" s="62">
        <f t="shared" si="211"/>
        <v>297.06786598620607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200.05578362773284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200.05578362773284</v>
      </c>
      <c r="FU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4.8316906031686813E-13</v>
      </c>
      <c r="GA200" s="18">
        <f>FZ200*VLOOKUP('Données projet'!$B$17,Paramètres!$A$1:$I$89,3,0)*VLOOKUP('Données projet'!$B$17,Paramètres!$A$1:$I$89,5,0)</f>
        <v>3.2410980566055511E-13</v>
      </c>
      <c r="GB200" s="14">
        <f t="shared" si="185"/>
        <v>4.246192380365624E-12</v>
      </c>
      <c r="GC200" s="22">
        <f t="shared" si="186"/>
        <v>7.9599429739955953E-12</v>
      </c>
      <c r="GD200" s="62">
        <f t="shared" si="200"/>
        <v>293.33333333334127</v>
      </c>
      <c r="GE200" s="62">
        <f ca="1">AVERAGE(OFFSET($GD$3,0,0,'Données projet'!$E$17+1,1))-AVERAGE(OFFSET($H$3,0,0,'Données projet'!$E$17+1,1))</f>
        <v>442.85175349826028</v>
      </c>
      <c r="GF200" s="62">
        <f t="shared" si="212"/>
        <v>210.70697808232501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163.12240818876677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163.12240818876677</v>
      </c>
      <c r="GP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-3.4106051316484809E-13</v>
      </c>
      <c r="GV200" s="18">
        <f>GU200*VLOOKUP('Données projet'!$B$18,Paramètres!$A$1:$I$89,3,0)*VLOOKUP('Données projet'!$B$18,Paramètres!$A$1:$I$89,5,0)</f>
        <v>-3.2455318432766944E-13</v>
      </c>
      <c r="GW200" s="14" t="e">
        <f t="shared" si="188"/>
        <v>#NUM!</v>
      </c>
      <c r="GX200" s="22" t="e">
        <f t="shared" si="189"/>
        <v>#NUM!</v>
      </c>
      <c r="GY200" s="62" t="e">
        <f t="shared" si="201"/>
        <v>#NUM!</v>
      </c>
      <c r="GZ200" s="62">
        <f ca="1">AVERAGE(OFFSET($GY$3,0,0,'Données projet'!$E$18+1,1))-AVERAGE(OFFSET($H$3,0,0,'Données projet'!$E$18+1,1))</f>
        <v>420.2510366318939</v>
      </c>
      <c r="HA200" s="62">
        <f t="shared" si="213"/>
        <v>220.59884411514116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38.721261976966453</v>
      </c>
      <c r="HH200" s="23">
        <f>EXP(-LN(2)/25)*HH199+(1-EXP(-LN(2)/25))/(LN(2)/25)*Calculateur!HC200*Calculateur!HE200*VLOOKUP('Données projet'!$B$18,Paramètres!$A$1:$I$89,3,0)*0.475*44/12</f>
        <v>0</v>
      </c>
      <c r="HI200" s="23">
        <f>EXP(-LN(2)/2)*HI199+(1-EXP(-LN(2)/2))/(LN(2)/2)*HC200*HF200*VLOOKUP('Données projet'!$B$18,Paramètres!$A$1:$I$89,3,0)*0.475*44/12</f>
        <v>0</v>
      </c>
      <c r="HJ200" s="24">
        <f t="shared" si="190"/>
        <v>38.721261976966453</v>
      </c>
    </row>
    <row r="201" spans="1:218" x14ac:dyDescent="0.2">
      <c r="A201" s="11">
        <f>A200+1</f>
        <v>198</v>
      </c>
      <c r="B201" s="74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-4.5474735088646412E-13</v>
      </c>
      <c r="O201" s="14">
        <f>N201*VLOOKUP('Données projet'!$B$9,Paramètres!$A$1:$I$89,3,0)*VLOOKUP('Données projet'!$B$9,Paramètres!$A$1:$I$89,5,0)</f>
        <v>-3.9017322706058626E-13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623.31285537237943</v>
      </c>
      <c r="T201" s="62">
        <f t="shared" si="204"/>
        <v>462.33909258902241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40.397714982063654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40.397714982063654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4.9658410716801891E-14</v>
      </c>
      <c r="AK201" s="14">
        <f t="shared" si="164"/>
        <v>8.0934058173791862E-13</v>
      </c>
      <c r="AL201" s="22">
        <f t="shared" si="165"/>
        <v>1.4960899118586383E-12</v>
      </c>
      <c r="AM201" s="62">
        <f t="shared" si="193"/>
        <v>293.33333333333479</v>
      </c>
      <c r="AN201" s="62">
        <f ca="1">AVERAGE(OFFSET($AM$3,0,0,'Données projet'!$E$10+1,1))-AVERAGE(OFFSET($H$3,0,0,'Données projet'!$E$10+1,1))</f>
        <v>390.70479111593545</v>
      </c>
      <c r="AO201" s="62">
        <f t="shared" si="205"/>
        <v>374.99493809709708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15.913142249325613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15.913142249325613</v>
      </c>
      <c r="AY201" s="7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5.6843418860808015E-14</v>
      </c>
      <c r="BE201" s="14">
        <f>BD201*VLOOKUP('Données projet'!$B$11,Paramètres!$A$1:$I$89,3,0)*VLOOKUP('Données projet'!$B$11,Paramètres!$A$1:$I$89,5,0)</f>
        <v>4.5224624045658861E-14</v>
      </c>
      <c r="BF201" s="14">
        <f t="shared" si="167"/>
        <v>7.4514601661523691E-13</v>
      </c>
      <c r="BG201" s="22">
        <f t="shared" si="168"/>
        <v>1.3765621991510601E-12</v>
      </c>
      <c r="BH201" s="62">
        <f t="shared" si="194"/>
        <v>293.33333333333468</v>
      </c>
      <c r="BI201" s="62">
        <f ca="1">AVERAGE(OFFSET($BH$3,0,0,'Données projet'!$E$11+1,1))-AVERAGE(OFFSET($H$3,0,0,'Données projet'!$E$11+1,1))</f>
        <v>359.18294335011535</v>
      </c>
      <c r="BJ201" s="62">
        <f t="shared" si="206"/>
        <v>345.47508134331241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14.49232597706439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14.49232597706439</v>
      </c>
      <c r="BT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5.6843418860808015E-14</v>
      </c>
      <c r="BZ201" s="14">
        <f>BY201*VLOOKUP('Données projet'!$B$12,Paramètres!$A$1:$I$89,3,0)*VLOOKUP('Données projet'!$B$12,Paramètres!$A$1:$I$89,5,0)</f>
        <v>4.1677594708744434E-14</v>
      </c>
      <c r="CA201" s="14">
        <f t="shared" si="170"/>
        <v>6.9326303456159188E-13</v>
      </c>
      <c r="CB201" s="22">
        <f t="shared" si="171"/>
        <v>1.2800215959791691E-12</v>
      </c>
      <c r="CC201" s="62">
        <f t="shared" si="195"/>
        <v>293.33333333333462</v>
      </c>
      <c r="CD201" s="62">
        <f ca="1">AVERAGE(OFFSET($CC$3,0,0,'Données projet'!$E$12+1,1))-AVERAGE(OFFSET($H$3,0,0,'Données projet'!$E$12+1,1))</f>
        <v>333.9187211440219</v>
      </c>
      <c r="CE201" s="62">
        <f t="shared" si="207"/>
        <v>321.81422611044997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10.835734665056277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10.835734665056277</v>
      </c>
      <c r="CO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5.6843418860808015E-14</v>
      </c>
      <c r="CU201" s="18">
        <f>CT201*VLOOKUP('Données projet'!$B$13,Paramètres!$A$1:$I$89,3,0)*VLOOKUP('Données projet'!$B$13,Paramètres!$A$1:$I$89,5,0)</f>
        <v>4.6111381379887463E-14</v>
      </c>
      <c r="CV201" s="14">
        <f t="shared" si="173"/>
        <v>7.5804141040779151E-13</v>
      </c>
      <c r="CW201" s="22">
        <f t="shared" si="174"/>
        <v>1.4005661123635408E-12</v>
      </c>
      <c r="CX201" s="62">
        <f t="shared" si="196"/>
        <v>293.33333333333474</v>
      </c>
      <c r="CY201" s="62">
        <f ca="1">AVERAGE(OFFSET($CX$3,0,0,'Données projet'!$E$13+1,1))-AVERAGE(OFFSET($H$3,0,0,'Données projet'!$E$13+1,1))</f>
        <v>365.492319515595</v>
      </c>
      <c r="CZ201" s="62">
        <f t="shared" si="208"/>
        <v>351.38386928091433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11.988472395381416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11.988472395381416</v>
      </c>
      <c r="DJ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4.8316906031686813E-13</v>
      </c>
      <c r="DP201" s="18">
        <f>DO201*VLOOKUP('Données projet'!$B$14,Paramètres!$A$1:$I$89,3,0)*VLOOKUP('Données projet'!$B$14,Paramètres!$A$1:$I$89,5,0)</f>
        <v>4.0702161641092972E-13</v>
      </c>
      <c r="DQ201" s="14">
        <f t="shared" si="176"/>
        <v>5.1929012680997463E-12</v>
      </c>
      <c r="DR201" s="22">
        <f t="shared" si="177"/>
        <v>9.7531990238560927E-12</v>
      </c>
      <c r="DS201" s="62">
        <f t="shared" si="197"/>
        <v>293.33333333334309</v>
      </c>
      <c r="DT201" s="62">
        <f ca="1">AVERAGE(OFFSET($DS$3,0,0,'Données projet'!$E$14+1,1))-AVERAGE(OFFSET($H$3,0,0,'Données projet'!$E$14+1,1))</f>
        <v>544.89250424794909</v>
      </c>
      <c r="DU201" s="62">
        <f t="shared" si="209"/>
        <v>253.98688498110715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162.94110513184171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162.94110513184171</v>
      </c>
      <c r="EE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4.8316906031686813E-13</v>
      </c>
      <c r="EK201" s="18">
        <f>EJ201*VLOOKUP('Données projet'!$B$15,Paramètres!$A$1:$I$89,3,0)*VLOOKUP('Données projet'!$B$15,Paramètres!$A$1:$I$89,5,0)</f>
        <v>4.3717136577470225E-13</v>
      </c>
      <c r="EL201" s="14">
        <f t="shared" si="179"/>
        <v>5.5313598682231701E-12</v>
      </c>
      <c r="EM201" s="22">
        <f t="shared" si="180"/>
        <v>1.039519189921296E-11</v>
      </c>
      <c r="EN201" s="62">
        <f t="shared" si="198"/>
        <v>293.33333333334372</v>
      </c>
      <c r="EO201" s="62">
        <f ca="1">AVERAGE(OFFSET($EN$3,0,0,'Données projet'!$E$15+1,1))-AVERAGE(OFFSET($H$3,0,0,'Données projet'!$E$15+1,1))</f>
        <v>581.88778927327667</v>
      </c>
      <c r="EP201" s="62">
        <f t="shared" si="210"/>
        <v>269.67340993773422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175.0108166230892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175.0108166230892</v>
      </c>
      <c r="EZ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4.8316906031686813E-13</v>
      </c>
      <c r="FF201" s="18">
        <f>FE201*VLOOKUP('Données projet'!$B$16,Paramètres!$A$1:$I$89,3,0)*VLOOKUP('Données projet'!$B$16,Paramètres!$A$1:$I$89,5,0)</f>
        <v>4.8993342716130437E-13</v>
      </c>
      <c r="FG201" s="14">
        <f t="shared" si="182"/>
        <v>6.1172634040517391E-12</v>
      </c>
      <c r="FH201" s="22">
        <f t="shared" si="183"/>
        <v>1.1507534481029384E-11</v>
      </c>
      <c r="FI201" s="62">
        <f t="shared" si="199"/>
        <v>293.3333333333448</v>
      </c>
      <c r="FJ201" s="62">
        <f ca="1">AVERAGE(OFFSET($FI$3,0,0,'Données projet'!$E$16+1,1))-AVERAGE(OFFSET($H$3,0,0,'Données projet'!$E$16+1,1))</f>
        <v>646.50767193970182</v>
      </c>
      <c r="FK201" s="62">
        <f t="shared" si="211"/>
        <v>297.06786598620607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196.13281173277232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196.13281173277232</v>
      </c>
      <c r="FU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4.8316906031686813E-13</v>
      </c>
      <c r="GA201" s="18">
        <f>FZ201*VLOOKUP('Données projet'!$B$17,Paramètres!$A$1:$I$89,3,0)*VLOOKUP('Données projet'!$B$17,Paramètres!$A$1:$I$89,5,0)</f>
        <v>3.2410980566055511E-13</v>
      </c>
      <c r="GB201" s="14">
        <f t="shared" si="185"/>
        <v>4.246192380365624E-12</v>
      </c>
      <c r="GC201" s="22">
        <f t="shared" si="186"/>
        <v>7.9599429739955953E-12</v>
      </c>
      <c r="GD201" s="62">
        <f t="shared" si="200"/>
        <v>293.33333333334127</v>
      </c>
      <c r="GE201" s="62">
        <f ca="1">AVERAGE(OFFSET($GD$3,0,0,'Données projet'!$E$17+1,1))-AVERAGE(OFFSET($H$3,0,0,'Données projet'!$E$17+1,1))</f>
        <v>442.85175349826028</v>
      </c>
      <c r="GF201" s="62">
        <f t="shared" si="212"/>
        <v>210.70697808232501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159.92367725902974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159.92367725902974</v>
      </c>
      <c r="GP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-3.4106051316484809E-13</v>
      </c>
      <c r="GV201" s="18">
        <f>GU201*VLOOKUP('Données projet'!$B$18,Paramètres!$A$1:$I$89,3,0)*VLOOKUP('Données projet'!$B$18,Paramètres!$A$1:$I$89,5,0)</f>
        <v>-3.2455318432766944E-13</v>
      </c>
      <c r="GW201" s="14" t="e">
        <f t="shared" si="188"/>
        <v>#NUM!</v>
      </c>
      <c r="GX201" s="22" t="e">
        <f t="shared" si="189"/>
        <v>#NUM!</v>
      </c>
      <c r="GY201" s="62" t="e">
        <f t="shared" si="201"/>
        <v>#NUM!</v>
      </c>
      <c r="GZ201" s="62">
        <f ca="1">AVERAGE(OFFSET($GY$3,0,0,'Données projet'!$E$18+1,1))-AVERAGE(OFFSET($H$3,0,0,'Données projet'!$E$18+1,1))</f>
        <v>420.2510366318939</v>
      </c>
      <c r="HA201" s="62">
        <f t="shared" si="213"/>
        <v>220.59884411514116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37.961961647235896</v>
      </c>
      <c r="HH201" s="23">
        <f>EXP(-LN(2)/25)*HH200+(1-EXP(-LN(2)/25))/(LN(2)/25)*Calculateur!HC201*Calculateur!HE201*VLOOKUP('Données projet'!$B$18,Paramètres!$A$1:$I$89,3,0)*0.475*44/12</f>
        <v>0</v>
      </c>
      <c r="HI201" s="23">
        <f>EXP(-LN(2)/2)*HI200+(1-EXP(-LN(2)/2))/(LN(2)/2)*HC201*HF201*VLOOKUP('Données projet'!$B$18,Paramètres!$A$1:$I$89,3,0)*0.475*44/12</f>
        <v>0</v>
      </c>
      <c r="HJ201" s="24">
        <f t="shared" si="190"/>
        <v>37.961961647235896</v>
      </c>
    </row>
    <row r="202" spans="1:218" x14ac:dyDescent="0.2">
      <c r="A202" s="11">
        <f t="shared" si="161"/>
        <v>199</v>
      </c>
      <c r="B202" s="74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-4.5474735088646412E-13</v>
      </c>
      <c r="O202" s="14">
        <f>N202*VLOOKUP('Données projet'!$B$9,Paramètres!$A$1:$I$89,3,0)*VLOOKUP('Données projet'!$B$9,Paramètres!$A$1:$I$89,5,0)</f>
        <v>-3.9017322706058626E-13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623.31285537237943</v>
      </c>
      <c r="T202" s="62">
        <f t="shared" si="204"/>
        <v>462.33909258902241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39.605540431438513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39.605540431438513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4.9658410716801891E-14</v>
      </c>
      <c r="AK202" s="14">
        <f t="shared" si="164"/>
        <v>8.0934058173791862E-13</v>
      </c>
      <c r="AL202" s="22">
        <f t="shared" si="165"/>
        <v>1.4960899118586383E-12</v>
      </c>
      <c r="AM202" s="62">
        <f t="shared" si="193"/>
        <v>293.33333333333479</v>
      </c>
      <c r="AN202" s="62">
        <f ca="1">AVERAGE(OFFSET($AM$3,0,0,'Données projet'!$E$10+1,1))-AVERAGE(OFFSET($H$3,0,0,'Données projet'!$E$10+1,1))</f>
        <v>390.70479111593545</v>
      </c>
      <c r="AO202" s="62">
        <f t="shared" si="205"/>
        <v>374.99493809709708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15.601095235874716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15.601095235874716</v>
      </c>
      <c r="AY202" s="7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5.6843418860808015E-14</v>
      </c>
      <c r="BE202" s="14">
        <f>BD202*VLOOKUP('Données projet'!$B$11,Paramètres!$A$1:$I$89,3,0)*VLOOKUP('Données projet'!$B$11,Paramètres!$A$1:$I$89,5,0)</f>
        <v>4.5224624045658861E-14</v>
      </c>
      <c r="BF202" s="14">
        <f t="shared" si="167"/>
        <v>7.4514601661523691E-13</v>
      </c>
      <c r="BG202" s="22">
        <f t="shared" si="168"/>
        <v>1.3765621991510601E-12</v>
      </c>
      <c r="BH202" s="62">
        <f t="shared" si="194"/>
        <v>293.33333333333468</v>
      </c>
      <c r="BI202" s="62">
        <f ca="1">AVERAGE(OFFSET($BH$3,0,0,'Données projet'!$E$11+1,1))-AVERAGE(OFFSET($H$3,0,0,'Données projet'!$E$11+1,1))</f>
        <v>359.18294335011535</v>
      </c>
      <c r="BJ202" s="62">
        <f t="shared" si="206"/>
        <v>345.47508134331241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14.20814030410018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14.20814030410018</v>
      </c>
      <c r="BT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5.6843418860808015E-14</v>
      </c>
      <c r="BZ202" s="14">
        <f>BY202*VLOOKUP('Données projet'!$B$12,Paramètres!$A$1:$I$89,3,0)*VLOOKUP('Données projet'!$B$12,Paramètres!$A$1:$I$89,5,0)</f>
        <v>4.1677594708744434E-14</v>
      </c>
      <c r="CA202" s="14">
        <f t="shared" si="170"/>
        <v>6.9326303456159188E-13</v>
      </c>
      <c r="CB202" s="22">
        <f t="shared" si="171"/>
        <v>1.2800215959791691E-12</v>
      </c>
      <c r="CC202" s="62">
        <f t="shared" si="195"/>
        <v>293.33333333333462</v>
      </c>
      <c r="CD202" s="62">
        <f ca="1">AVERAGE(OFFSET($CC$3,0,0,'Données projet'!$E$12+1,1))-AVERAGE(OFFSET($H$3,0,0,'Données projet'!$E$12+1,1))</f>
        <v>333.9187211440219</v>
      </c>
      <c r="CE202" s="62">
        <f t="shared" si="207"/>
        <v>321.81422611044997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10.62325251742007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10.62325251742007</v>
      </c>
      <c r="CO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5.6843418860808015E-14</v>
      </c>
      <c r="CU202" s="18">
        <f>CT202*VLOOKUP('Données projet'!$B$13,Paramètres!$A$1:$I$89,3,0)*VLOOKUP('Données projet'!$B$13,Paramètres!$A$1:$I$89,5,0)</f>
        <v>4.6111381379887463E-14</v>
      </c>
      <c r="CV202" s="14">
        <f t="shared" si="173"/>
        <v>7.5804141040779151E-13</v>
      </c>
      <c r="CW202" s="22">
        <f t="shared" si="174"/>
        <v>1.4005661123635408E-12</v>
      </c>
      <c r="CX202" s="62">
        <f t="shared" si="196"/>
        <v>293.33333333333474</v>
      </c>
      <c r="CY202" s="62">
        <f ca="1">AVERAGE(OFFSET($CX$3,0,0,'Données projet'!$E$13+1,1))-AVERAGE(OFFSET($H$3,0,0,'Données projet'!$E$13+1,1))</f>
        <v>365.492319515595</v>
      </c>
      <c r="CZ202" s="62">
        <f t="shared" si="208"/>
        <v>351.38386928091433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11.753385763954123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11.753385763954123</v>
      </c>
      <c r="DJ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4.8316906031686813E-13</v>
      </c>
      <c r="DP202" s="18">
        <f>DO202*VLOOKUP('Données projet'!$B$14,Paramètres!$A$1:$I$89,3,0)*VLOOKUP('Données projet'!$B$14,Paramètres!$A$1:$I$89,5,0)</f>
        <v>4.0702161641092972E-13</v>
      </c>
      <c r="DQ202" s="14">
        <f t="shared" si="176"/>
        <v>5.1929012680997463E-12</v>
      </c>
      <c r="DR202" s="22">
        <f t="shared" si="177"/>
        <v>9.7531990238560927E-12</v>
      </c>
      <c r="DS202" s="62">
        <f t="shared" si="197"/>
        <v>293.33333333334309</v>
      </c>
      <c r="DT202" s="62">
        <f ca="1">AVERAGE(OFFSET($DS$3,0,0,'Données projet'!$E$14+1,1))-AVERAGE(OFFSET($H$3,0,0,'Données projet'!$E$14+1,1))</f>
        <v>544.89250424794909</v>
      </c>
      <c r="DU202" s="62">
        <f t="shared" si="209"/>
        <v>253.98688498110715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159.74592944446704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159.74592944446704</v>
      </c>
      <c r="EE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4.8316906031686813E-13</v>
      </c>
      <c r="EK202" s="18">
        <f>EJ202*VLOOKUP('Données projet'!$B$15,Paramètres!$A$1:$I$89,3,0)*VLOOKUP('Données projet'!$B$15,Paramètres!$A$1:$I$89,5,0)</f>
        <v>4.3717136577470225E-13</v>
      </c>
      <c r="EL202" s="14">
        <f t="shared" si="179"/>
        <v>5.5313598682231701E-12</v>
      </c>
      <c r="EM202" s="22">
        <f t="shared" si="180"/>
        <v>1.039519189921296E-11</v>
      </c>
      <c r="EN202" s="62">
        <f t="shared" si="198"/>
        <v>293.33333333334372</v>
      </c>
      <c r="EO202" s="62">
        <f ca="1">AVERAGE(OFFSET($EN$3,0,0,'Données projet'!$E$15+1,1))-AVERAGE(OFFSET($H$3,0,0,'Données projet'!$E$15+1,1))</f>
        <v>581.88778927327667</v>
      </c>
      <c r="EP202" s="62">
        <f t="shared" si="210"/>
        <v>269.67340993773422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171.57896125516825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171.57896125516825</v>
      </c>
      <c r="EZ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4.8316906031686813E-13</v>
      </c>
      <c r="FF202" s="18">
        <f>FE202*VLOOKUP('Données projet'!$B$16,Paramètres!$A$1:$I$89,3,0)*VLOOKUP('Données projet'!$B$16,Paramètres!$A$1:$I$89,5,0)</f>
        <v>4.8993342716130437E-13</v>
      </c>
      <c r="FG202" s="14">
        <f t="shared" si="182"/>
        <v>6.1172634040517391E-12</v>
      </c>
      <c r="FH202" s="22">
        <f t="shared" si="183"/>
        <v>1.1507534481029384E-11</v>
      </c>
      <c r="FI202" s="62">
        <f t="shared" si="199"/>
        <v>293.3333333333448</v>
      </c>
      <c r="FJ202" s="62">
        <f ca="1">AVERAGE(OFFSET($FI$3,0,0,'Données projet'!$E$16+1,1))-AVERAGE(OFFSET($H$3,0,0,'Données projet'!$E$16+1,1))</f>
        <v>646.50767193970182</v>
      </c>
      <c r="FK202" s="62">
        <f t="shared" si="211"/>
        <v>297.06786598620607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192.28676692389541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192.28676692389541</v>
      </c>
      <c r="FU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4.8316906031686813E-13</v>
      </c>
      <c r="GA202" s="18">
        <f>FZ202*VLOOKUP('Données projet'!$B$17,Paramètres!$A$1:$I$89,3,0)*VLOOKUP('Données projet'!$B$17,Paramètres!$A$1:$I$89,5,0)</f>
        <v>3.2410980566055511E-13</v>
      </c>
      <c r="GB202" s="14">
        <f t="shared" si="185"/>
        <v>4.246192380365624E-12</v>
      </c>
      <c r="GC202" s="22">
        <f t="shared" si="186"/>
        <v>7.9599429739955953E-12</v>
      </c>
      <c r="GD202" s="62">
        <f t="shared" si="200"/>
        <v>293.33333333334127</v>
      </c>
      <c r="GE202" s="62">
        <f ca="1">AVERAGE(OFFSET($GD$3,0,0,'Données projet'!$E$17+1,1))-AVERAGE(OFFSET($H$3,0,0,'Données projet'!$E$17+1,1))</f>
        <v>442.85175349826028</v>
      </c>
      <c r="GF202" s="62">
        <f t="shared" si="212"/>
        <v>210.70697808232501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156.78767149179166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156.78767149179166</v>
      </c>
      <c r="GP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-3.4106051316484809E-13</v>
      </c>
      <c r="GV202" s="18">
        <f>GU202*VLOOKUP('Données projet'!$B$18,Paramètres!$A$1:$I$89,3,0)*VLOOKUP('Données projet'!$B$18,Paramètres!$A$1:$I$89,5,0)</f>
        <v>-3.2455318432766944E-13</v>
      </c>
      <c r="GW202" s="14" t="e">
        <f t="shared" si="188"/>
        <v>#NUM!</v>
      </c>
      <c r="GX202" s="22" t="e">
        <f t="shared" si="189"/>
        <v>#NUM!</v>
      </c>
      <c r="GY202" s="62" t="e">
        <f t="shared" si="201"/>
        <v>#NUM!</v>
      </c>
      <c r="GZ202" s="62">
        <f ca="1">AVERAGE(OFFSET($GY$3,0,0,'Données projet'!$E$18+1,1))-AVERAGE(OFFSET($H$3,0,0,'Données projet'!$E$18+1,1))</f>
        <v>420.2510366318939</v>
      </c>
      <c r="HA202" s="62">
        <f t="shared" si="213"/>
        <v>220.59884411514116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37.217550733843886</v>
      </c>
      <c r="HH202" s="23">
        <f>EXP(-LN(2)/25)*HH201+(1-EXP(-LN(2)/25))/(LN(2)/25)*Calculateur!HC202*Calculateur!HE202*VLOOKUP('Données projet'!$B$18,Paramètres!$A$1:$I$89,3,0)*0.475*44/12</f>
        <v>0</v>
      </c>
      <c r="HI202" s="23">
        <f>EXP(-LN(2)/2)*HI201+(1-EXP(-LN(2)/2))/(LN(2)/2)*HC202*HF202*VLOOKUP('Données projet'!$B$18,Paramètres!$A$1:$I$89,3,0)*0.475*44/12</f>
        <v>0</v>
      </c>
      <c r="HJ202" s="24">
        <f t="shared" si="190"/>
        <v>37.217550733843886</v>
      </c>
    </row>
    <row r="203" spans="1:218" ht="16" thickBot="1" x14ac:dyDescent="0.25">
      <c r="A203" s="11">
        <f>A202+1</f>
        <v>200</v>
      </c>
      <c r="B203" s="74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-4.5474735088646412E-13</v>
      </c>
      <c r="O203" s="14">
        <f>N203*VLOOKUP('Données projet'!$B$9,Paramètres!$A$1:$I$89,3,0)*VLOOKUP('Données projet'!$B$9,Paramètres!$A$1:$I$89,5,0)</f>
        <v>-3.9017322706058626E-13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623.31285537237943</v>
      </c>
      <c r="T203" s="62">
        <f t="shared" si="204"/>
        <v>462.33909258902241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38.828899940572363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38.828899940572363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4.9658410716801891E-14</v>
      </c>
      <c r="AK203" s="14">
        <f t="shared" si="164"/>
        <v>8.0934058173791862E-13</v>
      </c>
      <c r="AL203" s="22">
        <f t="shared" si="165"/>
        <v>1.4960899118586383E-12</v>
      </c>
      <c r="AM203" s="62">
        <f t="shared" si="193"/>
        <v>293.33333333333479</v>
      </c>
      <c r="AN203" s="62">
        <f ca="1">AVERAGE(OFFSET($AM$3,0,0,'Données projet'!$E$10+1,1))-AVERAGE(OFFSET($H$3,0,0,'Données projet'!$E$10+1,1))</f>
        <v>390.70479111593545</v>
      </c>
      <c r="AO203" s="62">
        <f t="shared" si="205"/>
        <v>374.99493809709708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15.295167274027706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15.295167274027706</v>
      </c>
      <c r="AY203" s="7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5.6843418860808015E-14</v>
      </c>
      <c r="BE203" s="14">
        <f>BD203*VLOOKUP('Données projet'!$B$11,Paramètres!$A$1:$I$89,3,0)*VLOOKUP('Données projet'!$B$11,Paramètres!$A$1:$I$89,5,0)</f>
        <v>4.5224624045658861E-14</v>
      </c>
      <c r="BF203" s="14">
        <f t="shared" si="167"/>
        <v>7.4514601661523691E-13</v>
      </c>
      <c r="BG203" s="22">
        <f t="shared" si="168"/>
        <v>1.3765621991510601E-12</v>
      </c>
      <c r="BH203" s="62">
        <f t="shared" si="194"/>
        <v>293.33333333333468</v>
      </c>
      <c r="BI203" s="62">
        <f ca="1">AVERAGE(OFFSET($BH$3,0,0,'Données projet'!$E$11+1,1))-AVERAGE(OFFSET($H$3,0,0,'Données projet'!$E$11+1,1))</f>
        <v>359.18294335011535</v>
      </c>
      <c r="BJ203" s="62">
        <f t="shared" si="206"/>
        <v>345.47508134331241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13.929527338846654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13.929527338846654</v>
      </c>
      <c r="BT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5.6843418860808015E-14</v>
      </c>
      <c r="BZ203" s="14">
        <f>BY203*VLOOKUP('Données projet'!$B$12,Paramètres!$A$1:$I$89,3,0)*VLOOKUP('Données projet'!$B$12,Paramètres!$A$1:$I$89,5,0)</f>
        <v>4.1677594708744434E-14</v>
      </c>
      <c r="CA203" s="14">
        <f t="shared" si="170"/>
        <v>6.9326303456159188E-13</v>
      </c>
      <c r="CB203" s="22">
        <f t="shared" si="171"/>
        <v>1.2800215959791691E-12</v>
      </c>
      <c r="CC203" s="62">
        <f t="shared" si="195"/>
        <v>293.33333333333462</v>
      </c>
      <c r="CD203" s="62">
        <f ca="1">AVERAGE(OFFSET($CC$3,0,0,'Données projet'!$E$12+1,1))-AVERAGE(OFFSET($H$3,0,0,'Données projet'!$E$12+1,1))</f>
        <v>333.9187211440219</v>
      </c>
      <c r="CE203" s="62">
        <f t="shared" si="207"/>
        <v>321.81422611044997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10.414937015097696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10.414937015097696</v>
      </c>
      <c r="CO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5.6843418860808015E-14</v>
      </c>
      <c r="CU203" s="18">
        <f>CT203*VLOOKUP('Données projet'!$B$13,Paramètres!$A$1:$I$89,3,0)*VLOOKUP('Données projet'!$B$13,Paramètres!$A$1:$I$89,5,0)</f>
        <v>4.6111381379887463E-14</v>
      </c>
      <c r="CV203" s="14">
        <f t="shared" si="173"/>
        <v>7.5804141040779151E-13</v>
      </c>
      <c r="CW203" s="22">
        <f t="shared" si="174"/>
        <v>1.4005661123635408E-12</v>
      </c>
      <c r="CX203" s="62">
        <f t="shared" si="196"/>
        <v>293.33333333333474</v>
      </c>
      <c r="CY203" s="62">
        <f ca="1">AVERAGE(OFFSET($CX$3,0,0,'Données projet'!$E$13+1,1))-AVERAGE(OFFSET($H$3,0,0,'Données projet'!$E$13+1,1))</f>
        <v>365.492319515595</v>
      </c>
      <c r="CZ203" s="62">
        <f t="shared" si="208"/>
        <v>351.38386928091433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11.522909037980433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11.522909037980433</v>
      </c>
      <c r="DJ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4.8316906031686813E-13</v>
      </c>
      <c r="DP203" s="18">
        <f>DO203*VLOOKUP('Données projet'!$B$14,Paramètres!$A$1:$I$89,3,0)*VLOOKUP('Données projet'!$B$14,Paramètres!$A$1:$I$89,5,0)</f>
        <v>4.0702161641092972E-13</v>
      </c>
      <c r="DQ203" s="14">
        <f t="shared" si="176"/>
        <v>5.1929012680997463E-12</v>
      </c>
      <c r="DR203" s="22">
        <f t="shared" si="177"/>
        <v>9.7531990238560927E-12</v>
      </c>
      <c r="DS203" s="62">
        <f t="shared" si="197"/>
        <v>293.33333333334309</v>
      </c>
      <c r="DT203" s="62">
        <f ca="1">AVERAGE(OFFSET($DS$3,0,0,'Données projet'!$E$14+1,1))-AVERAGE(OFFSET($H$3,0,0,'Données projet'!$E$14+1,1))</f>
        <v>544.89250424794909</v>
      </c>
      <c r="DU203" s="62">
        <f t="shared" si="209"/>
        <v>253.98688498110715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156.61340920345705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156.61340920345705</v>
      </c>
      <c r="EE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4.8316906031686813E-13</v>
      </c>
      <c r="EK203" s="18">
        <f>EJ203*VLOOKUP('Données projet'!$B$15,Paramètres!$A$1:$I$89,3,0)*VLOOKUP('Données projet'!$B$15,Paramètres!$A$1:$I$89,5,0)</f>
        <v>4.3717136577470225E-13</v>
      </c>
      <c r="EL203" s="14">
        <f t="shared" si="179"/>
        <v>5.5313598682231701E-12</v>
      </c>
      <c r="EM203" s="22">
        <f t="shared" si="180"/>
        <v>1.039519189921296E-11</v>
      </c>
      <c r="EN203" s="62">
        <f t="shared" si="198"/>
        <v>293.33333333334372</v>
      </c>
      <c r="EO203" s="62">
        <f ca="1">AVERAGE(OFFSET($EN$3,0,0,'Données projet'!$E$15+1,1))-AVERAGE(OFFSET($H$3,0,0,'Données projet'!$E$15+1,1))</f>
        <v>581.88778927327667</v>
      </c>
      <c r="EP203" s="62">
        <f t="shared" si="210"/>
        <v>269.67340993773422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168.21440247778716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168.21440247778716</v>
      </c>
      <c r="EZ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4.8316906031686813E-13</v>
      </c>
      <c r="FF203" s="18">
        <f>FE203*VLOOKUP('Données projet'!$B$16,Paramètres!$A$1:$I$89,3,0)*VLOOKUP('Données projet'!$B$16,Paramètres!$A$1:$I$89,5,0)</f>
        <v>4.8993342716130437E-13</v>
      </c>
      <c r="FG203" s="14">
        <f t="shared" si="182"/>
        <v>6.1172634040517391E-12</v>
      </c>
      <c r="FH203" s="22">
        <f t="shared" si="183"/>
        <v>1.1507534481029384E-11</v>
      </c>
      <c r="FI203" s="62">
        <f t="shared" si="199"/>
        <v>293.3333333333448</v>
      </c>
      <c r="FJ203" s="62">
        <f ca="1">AVERAGE(OFFSET($FI$3,0,0,'Données projet'!$E$16+1,1))-AVERAGE(OFFSET($H$3,0,0,'Données projet'!$E$16+1,1))</f>
        <v>646.50767193970182</v>
      </c>
      <c r="FK203" s="62">
        <f t="shared" si="211"/>
        <v>297.06786598620607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188.51614070786488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188.51614070786488</v>
      </c>
      <c r="FU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4.8316906031686813E-13</v>
      </c>
      <c r="GA203" s="18">
        <f>FZ203*VLOOKUP('Données projet'!$B$17,Paramètres!$A$1:$I$89,3,0)*VLOOKUP('Données projet'!$B$17,Paramètres!$A$1:$I$89,5,0)</f>
        <v>3.2410980566055511E-13</v>
      </c>
      <c r="GB203" s="14">
        <f t="shared" si="185"/>
        <v>4.246192380365624E-12</v>
      </c>
      <c r="GC203" s="22">
        <f t="shared" si="186"/>
        <v>7.9599429739955953E-12</v>
      </c>
      <c r="GD203" s="62">
        <f t="shared" si="200"/>
        <v>293.33333333334127</v>
      </c>
      <c r="GE203" s="62">
        <f ca="1">AVERAGE(OFFSET($GD$3,0,0,'Données projet'!$E$17+1,1))-AVERAGE(OFFSET($H$3,0,0,'Données projet'!$E$17+1,1))</f>
        <v>442.85175349826028</v>
      </c>
      <c r="GF203" s="62">
        <f t="shared" si="212"/>
        <v>210.70697808232501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153.71316088487444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153.71316088487444</v>
      </c>
      <c r="GP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-3.4106051316484809E-13</v>
      </c>
      <c r="GV203" s="18">
        <f>GU203*VLOOKUP('Données projet'!$B$18,Paramètres!$A$1:$I$89,3,0)*VLOOKUP('Données projet'!$B$18,Paramètres!$A$1:$I$89,5,0)</f>
        <v>-3.2455318432766944E-13</v>
      </c>
      <c r="GW203" s="14" t="e">
        <f t="shared" si="188"/>
        <v>#NUM!</v>
      </c>
      <c r="GX203" s="22" t="e">
        <f t="shared" si="189"/>
        <v>#NUM!</v>
      </c>
      <c r="GY203" s="62" t="e">
        <f t="shared" si="201"/>
        <v>#NUM!</v>
      </c>
      <c r="GZ203" s="62">
        <f ca="1">AVERAGE(OFFSET($GY$3,0,0,'Données projet'!$E$18+1,1))-AVERAGE(OFFSET($H$3,0,0,'Données projet'!$E$18+1,1))</f>
        <v>420.2510366318939</v>
      </c>
      <c r="HA203" s="62">
        <f t="shared" si="213"/>
        <v>220.59884411514116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36.487737264417667</v>
      </c>
      <c r="HH203" s="23">
        <f>EXP(-LN(2)/25)*HH202+(1-EXP(-LN(2)/25))/(LN(2)/25)*Calculateur!HC203*Calculateur!HE203*VLOOKUP('Données projet'!$B$18,Paramètres!$A$1:$I$89,3,0)*0.475*44/12</f>
        <v>0</v>
      </c>
      <c r="HI203" s="23">
        <f>EXP(-LN(2)/2)*HI202+(1-EXP(-LN(2)/2))/(LN(2)/2)*HC203*HF203*VLOOKUP('Données projet'!$B$18,Paramètres!$A$1:$I$89,3,0)*0.475*44/12</f>
        <v>0</v>
      </c>
      <c r="HJ203" s="24">
        <f t="shared" si="190"/>
        <v>36.487737264417667</v>
      </c>
    </row>
    <row r="204" spans="1:218" ht="17" thickBot="1" x14ac:dyDescent="0.25">
      <c r="B204" s="80"/>
      <c r="C204" s="78"/>
      <c r="D204" s="79"/>
      <c r="E204" s="79"/>
      <c r="F204" s="79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8"/>
      <c r="I204" s="78"/>
      <c r="J204" s="78"/>
      <c r="K204" s="87" t="s">
        <v>293</v>
      </c>
      <c r="L204" s="81"/>
      <c r="M204" s="81"/>
      <c r="N204" s="81"/>
      <c r="O204" s="78"/>
      <c r="P204" s="78"/>
      <c r="Q204" s="79"/>
      <c r="R204" s="82"/>
      <c r="S204" s="82"/>
      <c r="T204" s="82"/>
      <c r="U204" s="81"/>
      <c r="V204" s="81"/>
      <c r="W204" s="83"/>
      <c r="X204" s="83"/>
      <c r="Y204" s="83"/>
      <c r="Z204" s="78"/>
      <c r="AA204" s="78"/>
      <c r="AB204" s="78"/>
      <c r="AC204" s="78"/>
      <c r="AD204" s="78"/>
      <c r="AE204" s="78"/>
      <c r="AF204" s="84" t="s">
        <v>293</v>
      </c>
      <c r="BA204" s="84" t="s">
        <v>293</v>
      </c>
      <c r="BV204" s="84" t="s">
        <v>293</v>
      </c>
      <c r="CQ204" s="84" t="s">
        <v>293</v>
      </c>
      <c r="DL204" s="84" t="s">
        <v>293</v>
      </c>
      <c r="EG204" s="84" t="s">
        <v>293</v>
      </c>
      <c r="FB204" s="84" t="s">
        <v>293</v>
      </c>
      <c r="FW204" s="84" t="s">
        <v>293</v>
      </c>
      <c r="GR204" s="84" t="s">
        <v>293</v>
      </c>
    </row>
    <row r="205" spans="1:218" ht="16" thickBot="1" x14ac:dyDescent="0.25">
      <c r="B205" s="80"/>
      <c r="C205" s="78"/>
      <c r="D205" s="79"/>
      <c r="E205" s="79"/>
      <c r="F205" s="79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8"/>
      <c r="I205" s="78"/>
      <c r="J205" s="78"/>
      <c r="K205" s="85">
        <f>EXP(LN('Données projet'!B36)/'Données projet'!A36)</f>
        <v>1.2467894073120835</v>
      </c>
      <c r="L205" s="81"/>
      <c r="M205" s="81"/>
      <c r="N205" s="81"/>
      <c r="O205" s="78"/>
      <c r="P205" s="78"/>
      <c r="Q205" s="79"/>
      <c r="R205" s="82"/>
      <c r="S205" s="82"/>
      <c r="T205" s="82"/>
      <c r="U205" s="81"/>
      <c r="V205" s="81"/>
      <c r="W205" s="83"/>
      <c r="X205" s="83"/>
      <c r="Y205" s="83"/>
      <c r="Z205" s="78"/>
      <c r="AA205" s="78"/>
      <c r="AB205" s="78"/>
      <c r="AC205" s="78"/>
      <c r="AD205" s="78"/>
      <c r="AE205" s="78"/>
      <c r="AF205" s="86">
        <f>EXP(LN('Données projet'!B62)/'Données projet'!A62)</f>
        <v>1.2709816152101407</v>
      </c>
      <c r="BA205" s="85">
        <f>EXP(LN('Données projet'!B88)/'Données projet'!A88)</f>
        <v>1.2709816152101407</v>
      </c>
      <c r="BV205" s="85">
        <f>EXP(LN('Données projet'!B114)/'Données projet'!A114)</f>
        <v>1.2709816152101407</v>
      </c>
      <c r="CQ205" s="85">
        <f>EXP(LN('Données projet'!B140)/'Données projet'!A140)</f>
        <v>1.2709816152101407</v>
      </c>
      <c r="DL205" s="85">
        <f>EXP(LN('Données projet'!B166)/'Données projet'!A166)</f>
        <v>1.1289835501862808</v>
      </c>
      <c r="EG205" s="85">
        <f>EXP(LN('Données projet'!B192)/'Données projet'!A192)</f>
        <v>1.1289835501862808</v>
      </c>
      <c r="FB205" s="85">
        <f>EXP(LN('Données projet'!B218)/'Données projet'!A218)</f>
        <v>1.1289835501862808</v>
      </c>
      <c r="FW205" s="85">
        <f>EXP(LN('Données projet'!B244)/'Données projet'!A244)</f>
        <v>1.1289835501862808</v>
      </c>
      <c r="GR205" s="85">
        <f>EXP(LN('Données projet'!B270)/'Données projet'!A270)</f>
        <v>1.1605146888000166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16" t="s">
        <v>0</v>
      </c>
      <c r="B1" s="117" t="s">
        <v>106</v>
      </c>
      <c r="C1" s="118" t="s">
        <v>144</v>
      </c>
      <c r="D1" s="117" t="s">
        <v>100</v>
      </c>
      <c r="E1" s="118" t="s">
        <v>145</v>
      </c>
      <c r="F1" s="118" t="s">
        <v>100</v>
      </c>
      <c r="G1" s="118" t="s">
        <v>146</v>
      </c>
      <c r="H1" s="118" t="s">
        <v>100</v>
      </c>
      <c r="I1" s="119" t="s">
        <v>147</v>
      </c>
      <c r="J1" s="96"/>
      <c r="K1" s="96"/>
      <c r="L1" s="96"/>
      <c r="M1" s="96"/>
      <c r="N1" s="96"/>
    </row>
    <row r="2" spans="1:16" x14ac:dyDescent="0.2">
      <c r="A2" s="120" t="s">
        <v>1</v>
      </c>
      <c r="B2" s="121" t="s">
        <v>53</v>
      </c>
      <c r="C2" s="122">
        <v>0.62</v>
      </c>
      <c r="D2" s="122" t="s">
        <v>161</v>
      </c>
      <c r="E2" s="122">
        <v>1.56</v>
      </c>
      <c r="F2" s="122" t="s">
        <v>274</v>
      </c>
      <c r="G2" s="123">
        <v>0.43</v>
      </c>
      <c r="H2" s="124" t="s">
        <v>278</v>
      </c>
      <c r="I2" s="125">
        <v>0.25</v>
      </c>
      <c r="J2" s="96"/>
      <c r="K2" s="96"/>
      <c r="L2" s="96"/>
      <c r="M2" s="96"/>
      <c r="N2" s="96"/>
      <c r="O2" s="312" t="s">
        <v>238</v>
      </c>
      <c r="P2" s="126">
        <v>0</v>
      </c>
    </row>
    <row r="3" spans="1:16" ht="16" thickBot="1" x14ac:dyDescent="0.25">
      <c r="A3" s="127" t="s">
        <v>2</v>
      </c>
      <c r="B3" s="128" t="s">
        <v>54</v>
      </c>
      <c r="C3" s="129">
        <v>0.64</v>
      </c>
      <c r="D3" s="129" t="s">
        <v>161</v>
      </c>
      <c r="E3" s="129">
        <v>1.56</v>
      </c>
      <c r="F3" s="130" t="s">
        <v>274</v>
      </c>
      <c r="G3" s="131">
        <v>0.43</v>
      </c>
      <c r="H3" s="129" t="s">
        <v>278</v>
      </c>
      <c r="I3" s="132">
        <v>0.25</v>
      </c>
      <c r="J3" s="96"/>
      <c r="K3" s="96"/>
      <c r="L3" s="96"/>
      <c r="M3" s="96"/>
      <c r="N3" s="96"/>
      <c r="O3" s="313"/>
      <c r="P3" s="133">
        <v>0.2</v>
      </c>
    </row>
    <row r="4" spans="1:16" ht="16" thickBot="1" x14ac:dyDescent="0.25">
      <c r="A4" s="127" t="s">
        <v>98</v>
      </c>
      <c r="B4" s="128" t="s">
        <v>99</v>
      </c>
      <c r="C4" s="129">
        <v>0.42</v>
      </c>
      <c r="D4" s="129" t="s">
        <v>161</v>
      </c>
      <c r="E4" s="129">
        <v>1.56</v>
      </c>
      <c r="F4" s="130" t="s">
        <v>274</v>
      </c>
      <c r="G4" s="131">
        <v>0.43</v>
      </c>
      <c r="H4" s="129" t="s">
        <v>278</v>
      </c>
      <c r="I4" s="132">
        <v>0.25</v>
      </c>
      <c r="J4" s="96"/>
      <c r="K4" s="96"/>
      <c r="L4" s="96"/>
      <c r="M4" s="96"/>
      <c r="N4" s="96"/>
    </row>
    <row r="5" spans="1:16" x14ac:dyDescent="0.2">
      <c r="A5" s="127" t="s">
        <v>4</v>
      </c>
      <c r="B5" s="128" t="s">
        <v>55</v>
      </c>
      <c r="C5" s="129">
        <v>0.42</v>
      </c>
      <c r="D5" s="129" t="s">
        <v>161</v>
      </c>
      <c r="E5" s="129">
        <v>1.56</v>
      </c>
      <c r="F5" s="130" t="s">
        <v>274</v>
      </c>
      <c r="G5" s="131">
        <v>0.43</v>
      </c>
      <c r="H5" s="129" t="s">
        <v>278</v>
      </c>
      <c r="I5" s="132">
        <v>0.25</v>
      </c>
      <c r="J5" s="96"/>
      <c r="K5" s="96"/>
      <c r="L5" s="96"/>
      <c r="M5" s="96"/>
      <c r="N5" s="96"/>
      <c r="O5" s="312" t="s">
        <v>237</v>
      </c>
      <c r="P5" s="126">
        <v>0</v>
      </c>
    </row>
    <row r="6" spans="1:16" x14ac:dyDescent="0.2">
      <c r="A6" s="127" t="s">
        <v>3</v>
      </c>
      <c r="B6" s="128" t="s">
        <v>97</v>
      </c>
      <c r="C6" s="129">
        <v>0.42</v>
      </c>
      <c r="D6" s="129" t="s">
        <v>161</v>
      </c>
      <c r="E6" s="129">
        <v>1.56</v>
      </c>
      <c r="F6" s="130" t="s">
        <v>274</v>
      </c>
      <c r="G6" s="131">
        <v>0.43</v>
      </c>
      <c r="H6" s="129" t="s">
        <v>278</v>
      </c>
      <c r="I6" s="132">
        <v>0.25</v>
      </c>
      <c r="J6" s="96"/>
      <c r="K6" s="96"/>
      <c r="L6" s="96"/>
      <c r="M6" s="96"/>
      <c r="N6" s="96"/>
      <c r="O6" s="314"/>
      <c r="P6" s="134">
        <v>0.05</v>
      </c>
    </row>
    <row r="7" spans="1:16" x14ac:dyDescent="0.2">
      <c r="A7" s="127" t="s">
        <v>5</v>
      </c>
      <c r="B7" s="128" t="s">
        <v>56</v>
      </c>
      <c r="C7" s="129">
        <v>0.52</v>
      </c>
      <c r="D7" s="129" t="s">
        <v>161</v>
      </c>
      <c r="E7" s="129">
        <v>1.56</v>
      </c>
      <c r="F7" s="130" t="s">
        <v>274</v>
      </c>
      <c r="G7" s="131">
        <v>0.43</v>
      </c>
      <c r="H7" s="129" t="s">
        <v>278</v>
      </c>
      <c r="I7" s="132">
        <v>0.25</v>
      </c>
      <c r="J7" s="96"/>
      <c r="K7" s="96"/>
      <c r="L7" s="96"/>
      <c r="M7" s="96"/>
      <c r="N7" s="96"/>
      <c r="O7" s="314"/>
      <c r="P7" s="134">
        <v>0.1</v>
      </c>
    </row>
    <row r="8" spans="1:16" ht="16" thickBot="1" x14ac:dyDescent="0.25">
      <c r="A8" s="127" t="s">
        <v>164</v>
      </c>
      <c r="B8" s="128" t="s">
        <v>57</v>
      </c>
      <c r="C8" s="129">
        <v>0.36</v>
      </c>
      <c r="D8" s="129" t="s">
        <v>161</v>
      </c>
      <c r="E8" s="129">
        <v>1.3</v>
      </c>
      <c r="F8" s="130" t="s">
        <v>274</v>
      </c>
      <c r="G8" s="131">
        <v>0.55000000000000004</v>
      </c>
      <c r="H8" s="129" t="s">
        <v>153</v>
      </c>
      <c r="I8" s="132">
        <v>0.43</v>
      </c>
      <c r="J8" s="96"/>
      <c r="K8" s="96"/>
      <c r="L8" s="96"/>
      <c r="M8" s="96"/>
      <c r="N8" s="96"/>
      <c r="O8" s="313"/>
      <c r="P8" s="133">
        <v>0.15</v>
      </c>
    </row>
    <row r="9" spans="1:16" ht="16" thickBot="1" x14ac:dyDescent="0.25">
      <c r="A9" s="127" t="s">
        <v>6</v>
      </c>
      <c r="B9" s="128" t="s">
        <v>58</v>
      </c>
      <c r="C9" s="129">
        <v>0.61</v>
      </c>
      <c r="D9" s="129" t="s">
        <v>161</v>
      </c>
      <c r="E9" s="129">
        <v>1.56</v>
      </c>
      <c r="F9" s="130" t="s">
        <v>274</v>
      </c>
      <c r="G9" s="131">
        <v>0.43</v>
      </c>
      <c r="H9" s="129" t="s">
        <v>278</v>
      </c>
      <c r="I9" s="132">
        <v>0.25</v>
      </c>
      <c r="J9" s="96"/>
      <c r="K9" s="96"/>
      <c r="L9" s="96"/>
      <c r="M9" s="96"/>
      <c r="N9" s="96"/>
    </row>
    <row r="10" spans="1:16" x14ac:dyDescent="0.2">
      <c r="A10" s="127" t="s">
        <v>7</v>
      </c>
      <c r="B10" s="128" t="s">
        <v>59</v>
      </c>
      <c r="C10" s="129">
        <v>0.66</v>
      </c>
      <c r="D10" s="129" t="s">
        <v>161</v>
      </c>
      <c r="E10" s="129">
        <v>1.56</v>
      </c>
      <c r="F10" s="130" t="s">
        <v>274</v>
      </c>
      <c r="G10" s="131">
        <v>0.43</v>
      </c>
      <c r="H10" s="129" t="s">
        <v>278</v>
      </c>
      <c r="I10" s="132">
        <v>0.25</v>
      </c>
      <c r="J10" s="96"/>
      <c r="K10" s="96"/>
      <c r="L10" s="96"/>
      <c r="M10" s="96"/>
      <c r="N10" s="96"/>
      <c r="O10" s="312" t="s">
        <v>236</v>
      </c>
      <c r="P10" s="126">
        <v>0</v>
      </c>
    </row>
    <row r="11" spans="1:16" ht="16" thickBot="1" x14ac:dyDescent="0.25">
      <c r="A11" s="127" t="s">
        <v>8</v>
      </c>
      <c r="B11" s="128" t="s">
        <v>60</v>
      </c>
      <c r="C11" s="129">
        <v>0.47</v>
      </c>
      <c r="D11" s="129" t="s">
        <v>161</v>
      </c>
      <c r="E11" s="129">
        <v>1.56</v>
      </c>
      <c r="F11" s="130" t="s">
        <v>274</v>
      </c>
      <c r="G11" s="131">
        <v>0.43</v>
      </c>
      <c r="H11" s="129" t="s">
        <v>278</v>
      </c>
      <c r="I11" s="132">
        <v>0.25</v>
      </c>
      <c r="J11" s="96"/>
      <c r="K11" s="96"/>
      <c r="L11" s="96"/>
      <c r="M11" s="96"/>
      <c r="N11" s="96"/>
      <c r="O11" s="313"/>
      <c r="P11" s="133">
        <v>0.1</v>
      </c>
    </row>
    <row r="12" spans="1:16" x14ac:dyDescent="0.2">
      <c r="A12" s="127" t="s">
        <v>9</v>
      </c>
      <c r="B12" s="128" t="s">
        <v>61</v>
      </c>
      <c r="C12" s="129">
        <v>0.67</v>
      </c>
      <c r="D12" s="129" t="s">
        <v>161</v>
      </c>
      <c r="E12" s="129">
        <v>1.56</v>
      </c>
      <c r="F12" s="130" t="s">
        <v>274</v>
      </c>
      <c r="G12" s="131">
        <v>0.43</v>
      </c>
      <c r="H12" s="129" t="s">
        <v>152</v>
      </c>
      <c r="I12" s="132">
        <v>0.25</v>
      </c>
      <c r="J12" s="96"/>
      <c r="K12" s="96"/>
      <c r="L12" s="96"/>
      <c r="M12" s="96"/>
      <c r="N12" s="96"/>
    </row>
    <row r="13" spans="1:16" x14ac:dyDescent="0.2">
      <c r="A13" s="127" t="s">
        <v>10</v>
      </c>
      <c r="B13" s="128" t="s">
        <v>62</v>
      </c>
      <c r="C13" s="129">
        <v>0.7</v>
      </c>
      <c r="D13" s="129" t="s">
        <v>161</v>
      </c>
      <c r="E13" s="129">
        <v>1.56</v>
      </c>
      <c r="F13" s="130" t="s">
        <v>274</v>
      </c>
      <c r="G13" s="131">
        <v>0.43</v>
      </c>
      <c r="H13" s="129" t="s">
        <v>152</v>
      </c>
      <c r="I13" s="132">
        <v>0.25</v>
      </c>
      <c r="J13" s="96"/>
      <c r="K13" s="96"/>
      <c r="L13" s="96"/>
      <c r="M13" s="96"/>
      <c r="N13" s="96"/>
    </row>
    <row r="14" spans="1:16" x14ac:dyDescent="0.2">
      <c r="A14" s="127" t="s">
        <v>11</v>
      </c>
      <c r="B14" s="128" t="s">
        <v>63</v>
      </c>
      <c r="C14" s="129">
        <v>0.54</v>
      </c>
      <c r="D14" s="129" t="s">
        <v>161</v>
      </c>
      <c r="E14" s="129">
        <v>1.56</v>
      </c>
      <c r="F14" s="130" t="s">
        <v>274</v>
      </c>
      <c r="G14" s="131">
        <v>0.43</v>
      </c>
      <c r="H14" s="129" t="s">
        <v>152</v>
      </c>
      <c r="I14" s="132">
        <v>0.25</v>
      </c>
      <c r="J14" s="96"/>
      <c r="K14" s="96"/>
      <c r="L14" s="96"/>
      <c r="M14" s="96"/>
      <c r="N14" s="96"/>
    </row>
    <row r="15" spans="1:16" x14ac:dyDescent="0.2">
      <c r="A15" s="127" t="s">
        <v>12</v>
      </c>
      <c r="B15" s="128" t="s">
        <v>64</v>
      </c>
      <c r="C15" s="129">
        <v>0.65</v>
      </c>
      <c r="D15" s="129" t="s">
        <v>161</v>
      </c>
      <c r="E15" s="129">
        <v>1.56</v>
      </c>
      <c r="F15" s="130" t="s">
        <v>274</v>
      </c>
      <c r="G15" s="131">
        <v>0.43</v>
      </c>
      <c r="H15" s="129" t="s">
        <v>152</v>
      </c>
      <c r="I15" s="132">
        <v>0.25</v>
      </c>
      <c r="J15" s="96"/>
      <c r="K15" s="96"/>
      <c r="L15" s="96"/>
      <c r="M15" s="96"/>
      <c r="N15" s="96"/>
    </row>
    <row r="16" spans="1:16" x14ac:dyDescent="0.2">
      <c r="A16" s="127" t="s">
        <v>13</v>
      </c>
      <c r="B16" s="128" t="s">
        <v>65</v>
      </c>
      <c r="C16" s="129">
        <v>0.56000000000000005</v>
      </c>
      <c r="D16" s="129" t="s">
        <v>161</v>
      </c>
      <c r="E16" s="129">
        <v>1.56</v>
      </c>
      <c r="F16" s="130" t="s">
        <v>274</v>
      </c>
      <c r="G16" s="131">
        <v>0.43</v>
      </c>
      <c r="H16" s="129" t="s">
        <v>152</v>
      </c>
      <c r="I16" s="132">
        <v>0.25</v>
      </c>
      <c r="J16" s="96"/>
      <c r="K16" s="96"/>
      <c r="L16" s="96"/>
      <c r="M16" s="96"/>
      <c r="N16" s="96"/>
    </row>
    <row r="17" spans="1:14" x14ac:dyDescent="0.2">
      <c r="A17" s="127" t="s">
        <v>14</v>
      </c>
      <c r="B17" s="128" t="s">
        <v>66</v>
      </c>
      <c r="C17" s="129">
        <v>0.57999999999999996</v>
      </c>
      <c r="D17" s="129" t="s">
        <v>161</v>
      </c>
      <c r="E17" s="129">
        <v>1.56</v>
      </c>
      <c r="F17" s="130" t="s">
        <v>274</v>
      </c>
      <c r="G17" s="131">
        <v>0.43</v>
      </c>
      <c r="H17" s="129" t="s">
        <v>152</v>
      </c>
      <c r="I17" s="132">
        <v>0.25</v>
      </c>
      <c r="J17" s="96"/>
      <c r="K17" s="96"/>
      <c r="L17" s="96"/>
      <c r="M17" s="96"/>
      <c r="N17" s="96"/>
    </row>
    <row r="18" spans="1:14" x14ac:dyDescent="0.2">
      <c r="A18" s="127" t="s">
        <v>15</v>
      </c>
      <c r="B18" s="128" t="s">
        <v>67</v>
      </c>
      <c r="C18" s="129">
        <v>0.64</v>
      </c>
      <c r="D18" s="129" t="s">
        <v>161</v>
      </c>
      <c r="E18" s="129">
        <v>1.56</v>
      </c>
      <c r="F18" s="130" t="s">
        <v>274</v>
      </c>
      <c r="G18" s="131">
        <v>0.43</v>
      </c>
      <c r="H18" s="129" t="s">
        <v>152</v>
      </c>
      <c r="I18" s="132">
        <v>0.25</v>
      </c>
      <c r="J18" s="96"/>
      <c r="K18" s="96"/>
      <c r="L18" s="96"/>
      <c r="M18" s="96"/>
      <c r="N18" s="96"/>
    </row>
    <row r="19" spans="1:14" x14ac:dyDescent="0.2">
      <c r="A19" s="127" t="s">
        <v>16</v>
      </c>
      <c r="B19" s="128" t="s">
        <v>68</v>
      </c>
      <c r="C19" s="129">
        <v>0.73</v>
      </c>
      <c r="D19" s="129" t="s">
        <v>161</v>
      </c>
      <c r="E19" s="129">
        <v>1.56</v>
      </c>
      <c r="F19" s="130" t="s">
        <v>274</v>
      </c>
      <c r="G19" s="131">
        <v>0.43</v>
      </c>
      <c r="H19" s="129" t="s">
        <v>152</v>
      </c>
      <c r="I19" s="132">
        <v>0.25</v>
      </c>
      <c r="J19" s="96"/>
      <c r="K19" s="96"/>
      <c r="L19" s="96"/>
      <c r="M19" s="96"/>
      <c r="N19" s="96"/>
    </row>
    <row r="20" spans="1:14" x14ac:dyDescent="0.2">
      <c r="A20" s="127" t="s">
        <v>52</v>
      </c>
      <c r="B20" s="128" t="s">
        <v>69</v>
      </c>
      <c r="C20" s="129">
        <v>0.69</v>
      </c>
      <c r="D20" s="129" t="s">
        <v>131</v>
      </c>
      <c r="E20" s="129">
        <v>1.56</v>
      </c>
      <c r="F20" s="130" t="s">
        <v>274</v>
      </c>
      <c r="G20" s="131">
        <v>0.43</v>
      </c>
      <c r="H20" s="129" t="s">
        <v>282</v>
      </c>
      <c r="I20" s="132">
        <v>0.25</v>
      </c>
      <c r="J20" s="96"/>
      <c r="K20" s="96"/>
      <c r="L20" s="96"/>
      <c r="M20" s="96"/>
      <c r="N20" s="96"/>
    </row>
    <row r="21" spans="1:14" x14ac:dyDescent="0.2">
      <c r="A21" s="127" t="s">
        <v>154</v>
      </c>
      <c r="B21" s="128" t="s">
        <v>155</v>
      </c>
      <c r="C21" s="129">
        <v>0.36</v>
      </c>
      <c r="D21" s="129" t="s">
        <v>161</v>
      </c>
      <c r="E21" s="129">
        <v>1.3</v>
      </c>
      <c r="F21" s="130" t="s">
        <v>274</v>
      </c>
      <c r="G21" s="131">
        <v>0.55000000000000004</v>
      </c>
      <c r="H21" s="129" t="s">
        <v>153</v>
      </c>
      <c r="I21" s="132">
        <v>0.43</v>
      </c>
      <c r="J21" s="96"/>
      <c r="K21" s="96"/>
      <c r="L21" s="96"/>
      <c r="M21" s="96"/>
      <c r="N21" s="96"/>
    </row>
    <row r="22" spans="1:14" x14ac:dyDescent="0.2">
      <c r="A22" s="127" t="s">
        <v>17</v>
      </c>
      <c r="B22" s="128" t="s">
        <v>70</v>
      </c>
      <c r="C22" s="129">
        <v>0.4</v>
      </c>
      <c r="D22" s="129" t="s">
        <v>161</v>
      </c>
      <c r="E22" s="129">
        <v>1.3</v>
      </c>
      <c r="F22" s="130" t="s">
        <v>274</v>
      </c>
      <c r="G22" s="131">
        <v>0.55000000000000004</v>
      </c>
      <c r="H22" s="129" t="s">
        <v>153</v>
      </c>
      <c r="I22" s="132">
        <v>0.43</v>
      </c>
      <c r="J22" s="96"/>
      <c r="K22" s="96"/>
      <c r="L22" s="96"/>
      <c r="M22" s="96"/>
      <c r="N22" s="96"/>
    </row>
    <row r="23" spans="1:14" x14ac:dyDescent="0.2">
      <c r="A23" s="127" t="s">
        <v>18</v>
      </c>
      <c r="B23" s="128" t="s">
        <v>71</v>
      </c>
      <c r="C23" s="129">
        <v>0.43</v>
      </c>
      <c r="D23" s="129" t="s">
        <v>161</v>
      </c>
      <c r="E23" s="129">
        <v>1.3</v>
      </c>
      <c r="F23" s="130" t="s">
        <v>274</v>
      </c>
      <c r="G23" s="131">
        <v>0.55000000000000004</v>
      </c>
      <c r="H23" s="129" t="s">
        <v>153</v>
      </c>
      <c r="I23" s="132">
        <v>0.43</v>
      </c>
      <c r="J23" s="96"/>
      <c r="K23" s="96"/>
      <c r="L23" s="96"/>
      <c r="M23" s="96"/>
      <c r="N23" s="96"/>
    </row>
    <row r="24" spans="1:14" x14ac:dyDescent="0.2">
      <c r="A24" s="127" t="s">
        <v>19</v>
      </c>
      <c r="B24" s="128" t="s">
        <v>72</v>
      </c>
      <c r="C24" s="129">
        <v>0.37</v>
      </c>
      <c r="D24" s="129" t="s">
        <v>161</v>
      </c>
      <c r="E24" s="129">
        <v>1.3</v>
      </c>
      <c r="F24" s="130" t="s">
        <v>274</v>
      </c>
      <c r="G24" s="131">
        <v>0.55000000000000004</v>
      </c>
      <c r="H24" s="129" t="s">
        <v>152</v>
      </c>
      <c r="I24" s="132">
        <v>0.43</v>
      </c>
      <c r="J24" s="96"/>
      <c r="K24" s="96"/>
      <c r="L24" s="96"/>
      <c r="M24" s="96"/>
      <c r="N24" s="96"/>
    </row>
    <row r="25" spans="1:14" x14ac:dyDescent="0.2">
      <c r="A25" s="127" t="s">
        <v>20</v>
      </c>
      <c r="B25" s="128" t="s">
        <v>73</v>
      </c>
      <c r="C25" s="129">
        <v>0.36</v>
      </c>
      <c r="D25" s="129" t="s">
        <v>161</v>
      </c>
      <c r="E25" s="129">
        <v>1.3</v>
      </c>
      <c r="F25" s="130" t="s">
        <v>274</v>
      </c>
      <c r="G25" s="131">
        <v>0.55000000000000004</v>
      </c>
      <c r="H25" s="129" t="s">
        <v>152</v>
      </c>
      <c r="I25" s="132">
        <v>0.43</v>
      </c>
      <c r="J25" s="96"/>
      <c r="K25" s="96"/>
      <c r="L25" s="96"/>
      <c r="M25" s="96"/>
      <c r="N25" s="96"/>
    </row>
    <row r="26" spans="1:14" x14ac:dyDescent="0.2">
      <c r="A26" s="127" t="s">
        <v>21</v>
      </c>
      <c r="B26" s="128" t="s">
        <v>74</v>
      </c>
      <c r="C26" s="129">
        <v>0.56000000000000005</v>
      </c>
      <c r="D26" s="129" t="s">
        <v>161</v>
      </c>
      <c r="E26" s="129">
        <v>1.56</v>
      </c>
      <c r="F26" s="130" t="s">
        <v>274</v>
      </c>
      <c r="G26" s="131">
        <v>0.53</v>
      </c>
      <c r="H26" s="129" t="s">
        <v>275</v>
      </c>
      <c r="I26" s="132">
        <v>0.25</v>
      </c>
      <c r="J26" s="96"/>
      <c r="K26" s="96"/>
      <c r="L26" s="96"/>
      <c r="M26" s="96"/>
      <c r="N26" s="96"/>
    </row>
    <row r="27" spans="1:14" x14ac:dyDescent="0.2">
      <c r="A27" s="127" t="s">
        <v>22</v>
      </c>
      <c r="B27" s="128" t="s">
        <v>75</v>
      </c>
      <c r="C27" s="129">
        <v>0.51</v>
      </c>
      <c r="D27" s="129" t="s">
        <v>161</v>
      </c>
      <c r="E27" s="129">
        <v>1.56</v>
      </c>
      <c r="F27" s="130" t="s">
        <v>274</v>
      </c>
      <c r="G27" s="131">
        <v>0.53</v>
      </c>
      <c r="H27" s="129" t="s">
        <v>275</v>
      </c>
      <c r="I27" s="132">
        <v>0.25</v>
      </c>
      <c r="J27" s="96"/>
      <c r="K27" s="96"/>
      <c r="L27" s="96"/>
      <c r="M27" s="96"/>
      <c r="N27" s="96"/>
    </row>
    <row r="28" spans="1:14" x14ac:dyDescent="0.2">
      <c r="A28" s="127" t="s">
        <v>23</v>
      </c>
      <c r="B28" s="128" t="s">
        <v>76</v>
      </c>
      <c r="C28" s="129">
        <v>0.51</v>
      </c>
      <c r="D28" s="129" t="s">
        <v>161</v>
      </c>
      <c r="E28" s="129">
        <v>1.56</v>
      </c>
      <c r="F28" s="130" t="s">
        <v>274</v>
      </c>
      <c r="G28" s="131">
        <v>0.53</v>
      </c>
      <c r="H28" s="129" t="s">
        <v>275</v>
      </c>
      <c r="I28" s="132">
        <v>0.25</v>
      </c>
      <c r="J28" s="96"/>
      <c r="K28" s="96"/>
      <c r="L28" s="96"/>
      <c r="M28" s="96"/>
      <c r="N28" s="96"/>
    </row>
    <row r="29" spans="1:14" x14ac:dyDescent="0.2">
      <c r="A29" s="127" t="s">
        <v>24</v>
      </c>
      <c r="B29" s="128" t="s">
        <v>24</v>
      </c>
      <c r="C29" s="129">
        <v>0.56000000000000005</v>
      </c>
      <c r="D29" s="129" t="s">
        <v>161</v>
      </c>
      <c r="E29" s="129">
        <v>1.56</v>
      </c>
      <c r="F29" s="130" t="s">
        <v>274</v>
      </c>
      <c r="G29" s="131">
        <v>0.53</v>
      </c>
      <c r="H29" s="129" t="s">
        <v>275</v>
      </c>
      <c r="I29" s="132">
        <v>0.25</v>
      </c>
      <c r="J29" s="96"/>
      <c r="K29" s="96"/>
      <c r="L29" s="96"/>
      <c r="M29" s="96"/>
      <c r="N29" s="96"/>
    </row>
    <row r="30" spans="1:14" x14ac:dyDescent="0.2">
      <c r="A30" s="127" t="s">
        <v>25</v>
      </c>
      <c r="B30" s="128" t="s">
        <v>77</v>
      </c>
      <c r="C30" s="129">
        <v>0.55000000000000004</v>
      </c>
      <c r="D30" s="129" t="s">
        <v>161</v>
      </c>
      <c r="E30" s="129">
        <v>1.56</v>
      </c>
      <c r="F30" s="130" t="s">
        <v>274</v>
      </c>
      <c r="G30" s="131">
        <v>0.53</v>
      </c>
      <c r="H30" s="129" t="s">
        <v>152</v>
      </c>
      <c r="I30" s="132">
        <v>0.25</v>
      </c>
      <c r="J30" s="96"/>
      <c r="K30" s="96"/>
      <c r="L30" s="96"/>
      <c r="M30" s="96"/>
      <c r="N30" s="96"/>
    </row>
    <row r="31" spans="1:14" x14ac:dyDescent="0.2">
      <c r="A31" s="127" t="s">
        <v>26</v>
      </c>
      <c r="B31" s="128" t="s">
        <v>78</v>
      </c>
      <c r="C31" s="129">
        <v>0.56000000000000005</v>
      </c>
      <c r="D31" s="129" t="s">
        <v>161</v>
      </c>
      <c r="E31" s="129">
        <v>1.56</v>
      </c>
      <c r="F31" s="130" t="s">
        <v>274</v>
      </c>
      <c r="G31" s="131">
        <v>0.43</v>
      </c>
      <c r="H31" s="129" t="s">
        <v>278</v>
      </c>
      <c r="I31" s="132">
        <v>0.25</v>
      </c>
      <c r="J31" s="96"/>
      <c r="K31" s="96"/>
      <c r="L31" s="96"/>
      <c r="M31" s="96"/>
      <c r="N31" s="96"/>
    </row>
    <row r="32" spans="1:14" x14ac:dyDescent="0.2">
      <c r="A32" s="127" t="s">
        <v>27</v>
      </c>
      <c r="B32" s="128" t="s">
        <v>79</v>
      </c>
      <c r="C32" s="129">
        <v>0.48</v>
      </c>
      <c r="D32" s="129" t="s">
        <v>161</v>
      </c>
      <c r="E32" s="129">
        <v>1.3</v>
      </c>
      <c r="F32" s="130" t="s">
        <v>274</v>
      </c>
      <c r="G32" s="131">
        <v>0.6</v>
      </c>
      <c r="H32" s="129" t="s">
        <v>281</v>
      </c>
      <c r="I32" s="132">
        <v>0.43</v>
      </c>
      <c r="J32" s="96"/>
      <c r="K32" s="96"/>
      <c r="L32" s="96"/>
      <c r="M32" s="96"/>
      <c r="N32" s="96"/>
    </row>
    <row r="33" spans="1:14" x14ac:dyDescent="0.2">
      <c r="A33" s="127" t="s">
        <v>28</v>
      </c>
      <c r="B33" s="128" t="s">
        <v>80</v>
      </c>
      <c r="C33" s="129">
        <v>0.42</v>
      </c>
      <c r="D33" s="129" t="s">
        <v>161</v>
      </c>
      <c r="E33" s="129">
        <v>1.3</v>
      </c>
      <c r="F33" s="130" t="s">
        <v>274</v>
      </c>
      <c r="G33" s="131">
        <v>0.6</v>
      </c>
      <c r="H33" s="129" t="s">
        <v>281</v>
      </c>
      <c r="I33" s="132">
        <v>0.43</v>
      </c>
      <c r="J33" s="96"/>
      <c r="K33" s="96"/>
      <c r="L33" s="96"/>
      <c r="M33" s="96"/>
      <c r="N33" s="96"/>
    </row>
    <row r="34" spans="1:14" x14ac:dyDescent="0.2">
      <c r="A34" s="127" t="s">
        <v>81</v>
      </c>
      <c r="B34" s="128" t="s">
        <v>163</v>
      </c>
      <c r="C34" s="129">
        <v>0.42</v>
      </c>
      <c r="D34" s="129" t="s">
        <v>103</v>
      </c>
      <c r="E34" s="129">
        <v>1.3</v>
      </c>
      <c r="F34" s="130" t="s">
        <v>274</v>
      </c>
      <c r="G34" s="131">
        <v>0.6</v>
      </c>
      <c r="H34" s="128" t="s">
        <v>280</v>
      </c>
      <c r="I34" s="132">
        <v>0.43</v>
      </c>
      <c r="J34" s="96"/>
      <c r="K34" s="96"/>
      <c r="L34" s="96"/>
      <c r="M34" s="96"/>
      <c r="N34" s="96"/>
    </row>
    <row r="35" spans="1:14" x14ac:dyDescent="0.2">
      <c r="A35" s="127" t="s">
        <v>29</v>
      </c>
      <c r="B35" s="128" t="s">
        <v>82</v>
      </c>
      <c r="C35" s="129">
        <v>0.5</v>
      </c>
      <c r="D35" s="129" t="s">
        <v>161</v>
      </c>
      <c r="E35" s="129">
        <v>1.56</v>
      </c>
      <c r="F35" s="130" t="s">
        <v>274</v>
      </c>
      <c r="G35" s="131">
        <v>0.43</v>
      </c>
      <c r="H35" s="129" t="s">
        <v>278</v>
      </c>
      <c r="I35" s="132">
        <v>0.25</v>
      </c>
      <c r="J35" s="96"/>
      <c r="K35" s="96"/>
      <c r="L35" s="96"/>
      <c r="M35" s="96"/>
      <c r="N35" s="96"/>
    </row>
    <row r="36" spans="1:14" x14ac:dyDescent="0.2">
      <c r="A36" s="127" t="s">
        <v>102</v>
      </c>
      <c r="B36" s="128" t="s">
        <v>101</v>
      </c>
      <c r="C36" s="129">
        <v>0.55000000000000004</v>
      </c>
      <c r="D36" s="129" t="s">
        <v>161</v>
      </c>
      <c r="E36" s="129">
        <v>1.56</v>
      </c>
      <c r="F36" s="130" t="s">
        <v>274</v>
      </c>
      <c r="G36" s="131">
        <v>0.53</v>
      </c>
      <c r="H36" s="129" t="s">
        <v>275</v>
      </c>
      <c r="I36" s="132">
        <v>0.25</v>
      </c>
      <c r="J36" s="96"/>
      <c r="K36" s="96"/>
      <c r="L36" s="96"/>
      <c r="M36" s="96"/>
      <c r="N36" s="96"/>
    </row>
    <row r="37" spans="1:14" x14ac:dyDescent="0.2">
      <c r="A37" s="127" t="s">
        <v>30</v>
      </c>
      <c r="B37" s="128" t="s">
        <v>104</v>
      </c>
      <c r="C37" s="129">
        <v>0.52</v>
      </c>
      <c r="D37" s="129" t="s">
        <v>161</v>
      </c>
      <c r="E37" s="129">
        <v>1.56</v>
      </c>
      <c r="F37" s="130" t="s">
        <v>274</v>
      </c>
      <c r="G37" s="131">
        <v>0.53</v>
      </c>
      <c r="H37" s="129" t="s">
        <v>275</v>
      </c>
      <c r="I37" s="132">
        <v>0.25</v>
      </c>
      <c r="J37" s="96"/>
      <c r="K37" s="96"/>
      <c r="L37" s="96"/>
      <c r="M37" s="96"/>
      <c r="N37" s="96"/>
    </row>
    <row r="38" spans="1:14" x14ac:dyDescent="0.2">
      <c r="A38" s="127" t="s">
        <v>31</v>
      </c>
      <c r="B38" s="128" t="s">
        <v>105</v>
      </c>
      <c r="C38" s="129">
        <v>0.52</v>
      </c>
      <c r="D38" s="129" t="s">
        <v>161</v>
      </c>
      <c r="E38" s="129">
        <v>1.56</v>
      </c>
      <c r="F38" s="130" t="s">
        <v>274</v>
      </c>
      <c r="G38" s="131">
        <v>0.43</v>
      </c>
      <c r="H38" s="129" t="s">
        <v>278</v>
      </c>
      <c r="I38" s="132">
        <v>0.25</v>
      </c>
      <c r="J38" s="96"/>
      <c r="K38" s="96"/>
      <c r="L38" s="96"/>
      <c r="M38" s="96"/>
      <c r="N38" s="96"/>
    </row>
    <row r="39" spans="1:14" x14ac:dyDescent="0.2">
      <c r="A39" s="127" t="s">
        <v>107</v>
      </c>
      <c r="B39" s="128" t="s">
        <v>132</v>
      </c>
      <c r="C39" s="129">
        <v>0.313</v>
      </c>
      <c r="D39" s="129" t="s">
        <v>130</v>
      </c>
      <c r="E39" s="129">
        <v>1.56</v>
      </c>
      <c r="F39" s="130" t="s">
        <v>274</v>
      </c>
      <c r="G39" s="131">
        <v>0.6</v>
      </c>
      <c r="H39" s="129" t="s">
        <v>283</v>
      </c>
      <c r="I39" s="132">
        <v>1.03</v>
      </c>
      <c r="J39" s="96"/>
      <c r="K39" s="96"/>
      <c r="L39" s="96"/>
      <c r="M39" s="96"/>
      <c r="N39" s="96"/>
    </row>
    <row r="40" spans="1:14" x14ac:dyDescent="0.2">
      <c r="A40" s="127" t="s">
        <v>108</v>
      </c>
      <c r="B40" s="128" t="s">
        <v>132</v>
      </c>
      <c r="C40" s="129">
        <v>0.35199999999999998</v>
      </c>
      <c r="D40" s="129" t="s">
        <v>130</v>
      </c>
      <c r="E40" s="129">
        <v>1.56</v>
      </c>
      <c r="F40" s="130" t="s">
        <v>274</v>
      </c>
      <c r="G40" s="131">
        <v>0.6</v>
      </c>
      <c r="H40" s="129" t="s">
        <v>283</v>
      </c>
      <c r="I40" s="132">
        <v>1.03</v>
      </c>
      <c r="J40" s="96"/>
      <c r="K40" s="96"/>
      <c r="L40" s="96"/>
      <c r="M40" s="96"/>
      <c r="N40" s="96"/>
    </row>
    <row r="41" spans="1:14" x14ac:dyDescent="0.2">
      <c r="A41" s="127" t="s">
        <v>121</v>
      </c>
      <c r="B41" s="128" t="s">
        <v>132</v>
      </c>
      <c r="C41" s="129">
        <v>0.32200000000000001</v>
      </c>
      <c r="D41" s="129" t="s">
        <v>130</v>
      </c>
      <c r="E41" s="129">
        <v>1.56</v>
      </c>
      <c r="F41" s="130" t="s">
        <v>274</v>
      </c>
      <c r="G41" s="131">
        <v>0.6</v>
      </c>
      <c r="H41" s="129" t="s">
        <v>283</v>
      </c>
      <c r="I41" s="132">
        <v>1.03</v>
      </c>
      <c r="J41" s="96"/>
      <c r="K41" s="96"/>
      <c r="L41" s="96"/>
      <c r="M41" s="96"/>
      <c r="N41" s="96"/>
    </row>
    <row r="42" spans="1:14" x14ac:dyDescent="0.2">
      <c r="A42" s="127" t="s">
        <v>122</v>
      </c>
      <c r="B42" s="128" t="s">
        <v>132</v>
      </c>
      <c r="C42" s="129">
        <v>0.311</v>
      </c>
      <c r="D42" s="129" t="s">
        <v>130</v>
      </c>
      <c r="E42" s="129">
        <v>1.56</v>
      </c>
      <c r="F42" s="130" t="s">
        <v>274</v>
      </c>
      <c r="G42" s="131">
        <v>0.6</v>
      </c>
      <c r="H42" s="129" t="s">
        <v>283</v>
      </c>
      <c r="I42" s="132">
        <v>1.03</v>
      </c>
      <c r="J42" s="96"/>
      <c r="K42" s="96"/>
      <c r="L42" s="96"/>
      <c r="M42" s="96"/>
      <c r="N42" s="96"/>
    </row>
    <row r="43" spans="1:14" x14ac:dyDescent="0.2">
      <c r="A43" s="127" t="s">
        <v>109</v>
      </c>
      <c r="B43" s="128" t="s">
        <v>132</v>
      </c>
      <c r="C43" s="129">
        <v>0.33900000000000002</v>
      </c>
      <c r="D43" s="129" t="s">
        <v>130</v>
      </c>
      <c r="E43" s="129">
        <v>1.56</v>
      </c>
      <c r="F43" s="130" t="s">
        <v>274</v>
      </c>
      <c r="G43" s="131">
        <v>0.6</v>
      </c>
      <c r="H43" s="129" t="s">
        <v>283</v>
      </c>
      <c r="I43" s="132">
        <v>1.03</v>
      </c>
      <c r="J43" s="96"/>
      <c r="K43" s="96"/>
      <c r="L43" s="96"/>
      <c r="M43" s="96"/>
      <c r="N43" s="96"/>
    </row>
    <row r="44" spans="1:14" x14ac:dyDescent="0.2">
      <c r="A44" s="127" t="s">
        <v>123</v>
      </c>
      <c r="B44" s="128" t="s">
        <v>132</v>
      </c>
      <c r="C44" s="129">
        <v>0.33600000000000002</v>
      </c>
      <c r="D44" s="129" t="s">
        <v>130</v>
      </c>
      <c r="E44" s="129">
        <v>1.56</v>
      </c>
      <c r="F44" s="130" t="s">
        <v>274</v>
      </c>
      <c r="G44" s="131">
        <v>0.6</v>
      </c>
      <c r="H44" s="129" t="s">
        <v>283</v>
      </c>
      <c r="I44" s="132">
        <v>1.03</v>
      </c>
      <c r="J44" s="96"/>
      <c r="K44" s="96"/>
      <c r="L44" s="96"/>
      <c r="M44" s="96"/>
      <c r="N44" s="96"/>
    </row>
    <row r="45" spans="1:14" x14ac:dyDescent="0.2">
      <c r="A45" s="127" t="s">
        <v>110</v>
      </c>
      <c r="B45" s="128" t="s">
        <v>132</v>
      </c>
      <c r="C45" s="129">
        <v>0.32900000000000001</v>
      </c>
      <c r="D45" s="129" t="s">
        <v>130</v>
      </c>
      <c r="E45" s="129">
        <v>1.56</v>
      </c>
      <c r="F45" s="130" t="s">
        <v>274</v>
      </c>
      <c r="G45" s="131">
        <v>0.6</v>
      </c>
      <c r="H45" s="129" t="s">
        <v>283</v>
      </c>
      <c r="I45" s="132">
        <v>1.03</v>
      </c>
      <c r="J45" s="96"/>
      <c r="K45" s="96"/>
      <c r="L45" s="96"/>
      <c r="M45" s="96"/>
      <c r="N45" s="96"/>
    </row>
    <row r="46" spans="1:14" x14ac:dyDescent="0.2">
      <c r="A46" s="127" t="s">
        <v>124</v>
      </c>
      <c r="B46" s="128" t="s">
        <v>132</v>
      </c>
      <c r="C46" s="129">
        <v>0.34300000000000003</v>
      </c>
      <c r="D46" s="129" t="s">
        <v>130</v>
      </c>
      <c r="E46" s="129">
        <v>1.56</v>
      </c>
      <c r="F46" s="130" t="s">
        <v>274</v>
      </c>
      <c r="G46" s="131">
        <v>0.6</v>
      </c>
      <c r="H46" s="129" t="s">
        <v>283</v>
      </c>
      <c r="I46" s="132">
        <v>1.03</v>
      </c>
      <c r="J46" s="96"/>
      <c r="K46" s="96"/>
      <c r="L46" s="96"/>
      <c r="M46" s="96"/>
      <c r="N46" s="96"/>
    </row>
    <row r="47" spans="1:14" x14ac:dyDescent="0.2">
      <c r="A47" s="127" t="s">
        <v>125</v>
      </c>
      <c r="B47" s="128" t="s">
        <v>132</v>
      </c>
      <c r="C47" s="129">
        <v>0.32500000000000001</v>
      </c>
      <c r="D47" s="129" t="s">
        <v>130</v>
      </c>
      <c r="E47" s="129">
        <v>1.56</v>
      </c>
      <c r="F47" s="130" t="s">
        <v>274</v>
      </c>
      <c r="G47" s="131">
        <v>0.6</v>
      </c>
      <c r="H47" s="129" t="s">
        <v>283</v>
      </c>
      <c r="I47" s="132">
        <v>1.03</v>
      </c>
      <c r="J47" s="96"/>
      <c r="K47" s="96"/>
      <c r="L47" s="96"/>
      <c r="M47" s="96"/>
      <c r="N47" s="96"/>
    </row>
    <row r="48" spans="1:14" x14ac:dyDescent="0.2">
      <c r="A48" s="127" t="s">
        <v>126</v>
      </c>
      <c r="B48" s="128" t="s">
        <v>132</v>
      </c>
      <c r="C48" s="129">
        <v>0.32</v>
      </c>
      <c r="D48" s="129" t="s">
        <v>130</v>
      </c>
      <c r="E48" s="129">
        <v>1.56</v>
      </c>
      <c r="F48" s="130" t="s">
        <v>274</v>
      </c>
      <c r="G48" s="131">
        <v>0.6</v>
      </c>
      <c r="H48" s="129" t="s">
        <v>283</v>
      </c>
      <c r="I48" s="132">
        <v>1.03</v>
      </c>
      <c r="J48" s="96"/>
      <c r="K48" s="96"/>
      <c r="L48" s="96"/>
      <c r="M48" s="96"/>
      <c r="N48" s="96"/>
    </row>
    <row r="49" spans="1:14" x14ac:dyDescent="0.2">
      <c r="A49" s="127" t="s">
        <v>111</v>
      </c>
      <c r="B49" s="128" t="s">
        <v>132</v>
      </c>
      <c r="C49" s="129">
        <v>0.28199999999999997</v>
      </c>
      <c r="D49" s="129" t="s">
        <v>130</v>
      </c>
      <c r="E49" s="129">
        <v>1.56</v>
      </c>
      <c r="F49" s="130" t="s">
        <v>274</v>
      </c>
      <c r="G49" s="131">
        <v>0.6</v>
      </c>
      <c r="H49" s="129" t="s">
        <v>283</v>
      </c>
      <c r="I49" s="132">
        <v>1.03</v>
      </c>
      <c r="J49" s="96"/>
      <c r="K49" s="96"/>
      <c r="L49" s="96"/>
      <c r="M49" s="96"/>
      <c r="N49" s="96"/>
    </row>
    <row r="50" spans="1:14" x14ac:dyDescent="0.2">
      <c r="A50" s="127" t="s">
        <v>127</v>
      </c>
      <c r="B50" s="128" t="s">
        <v>132</v>
      </c>
      <c r="C50" s="129">
        <v>0.32800000000000001</v>
      </c>
      <c r="D50" s="129" t="s">
        <v>130</v>
      </c>
      <c r="E50" s="129">
        <v>1.56</v>
      </c>
      <c r="F50" s="130" t="s">
        <v>274</v>
      </c>
      <c r="G50" s="131">
        <v>0.6</v>
      </c>
      <c r="H50" s="129" t="s">
        <v>283</v>
      </c>
      <c r="I50" s="132">
        <v>1.03</v>
      </c>
      <c r="J50" s="96"/>
      <c r="K50" s="96"/>
      <c r="L50" s="96"/>
      <c r="M50" s="96"/>
      <c r="N50" s="96"/>
    </row>
    <row r="51" spans="1:14" x14ac:dyDescent="0.2">
      <c r="A51" s="127" t="s">
        <v>112</v>
      </c>
      <c r="B51" s="128" t="s">
        <v>132</v>
      </c>
      <c r="C51" s="129">
        <v>0.32600000000000001</v>
      </c>
      <c r="D51" s="129" t="s">
        <v>130</v>
      </c>
      <c r="E51" s="129">
        <v>1.56</v>
      </c>
      <c r="F51" s="130" t="s">
        <v>274</v>
      </c>
      <c r="G51" s="131">
        <v>0.6</v>
      </c>
      <c r="H51" s="129" t="s">
        <v>283</v>
      </c>
      <c r="I51" s="132">
        <v>1.03</v>
      </c>
      <c r="J51" s="96"/>
      <c r="K51" s="96"/>
      <c r="L51" s="96"/>
      <c r="M51" s="96"/>
      <c r="N51" s="96"/>
    </row>
    <row r="52" spans="1:14" x14ac:dyDescent="0.2">
      <c r="A52" s="127" t="s">
        <v>113</v>
      </c>
      <c r="B52" s="128" t="s">
        <v>132</v>
      </c>
      <c r="C52" s="129">
        <v>0.35899999999999999</v>
      </c>
      <c r="D52" s="129" t="s">
        <v>130</v>
      </c>
      <c r="E52" s="129">
        <v>1.56</v>
      </c>
      <c r="F52" s="130" t="s">
        <v>274</v>
      </c>
      <c r="G52" s="131">
        <v>0.6</v>
      </c>
      <c r="H52" s="129" t="s">
        <v>283</v>
      </c>
      <c r="I52" s="132">
        <v>1.03</v>
      </c>
      <c r="J52" s="96"/>
      <c r="K52" s="96"/>
      <c r="L52" s="96"/>
      <c r="M52" s="96"/>
      <c r="N52" s="96"/>
    </row>
    <row r="53" spans="1:14" x14ac:dyDescent="0.2">
      <c r="A53" s="127" t="s">
        <v>114</v>
      </c>
      <c r="B53" s="128" t="s">
        <v>132</v>
      </c>
      <c r="C53" s="129">
        <v>0.34599999999999997</v>
      </c>
      <c r="D53" s="129" t="s">
        <v>130</v>
      </c>
      <c r="E53" s="129">
        <v>1.56</v>
      </c>
      <c r="F53" s="130" t="s">
        <v>274</v>
      </c>
      <c r="G53" s="131">
        <v>0.6</v>
      </c>
      <c r="H53" s="129" t="s">
        <v>283</v>
      </c>
      <c r="I53" s="132">
        <v>1.03</v>
      </c>
      <c r="J53" s="96"/>
      <c r="K53" s="96"/>
      <c r="L53" s="96"/>
      <c r="M53" s="96"/>
      <c r="N53" s="96"/>
    </row>
    <row r="54" spans="1:14" x14ac:dyDescent="0.2">
      <c r="A54" s="127" t="s">
        <v>115</v>
      </c>
      <c r="B54" s="128" t="s">
        <v>132</v>
      </c>
      <c r="C54" s="129">
        <v>0.32600000000000001</v>
      </c>
      <c r="D54" s="129" t="s">
        <v>130</v>
      </c>
      <c r="E54" s="129">
        <v>1.56</v>
      </c>
      <c r="F54" s="130" t="s">
        <v>274</v>
      </c>
      <c r="G54" s="131">
        <v>0.6</v>
      </c>
      <c r="H54" s="129" t="s">
        <v>283</v>
      </c>
      <c r="I54" s="132">
        <v>1.03</v>
      </c>
      <c r="J54" s="96"/>
      <c r="K54" s="96"/>
      <c r="L54" s="96"/>
      <c r="M54" s="96"/>
      <c r="N54" s="96"/>
    </row>
    <row r="55" spans="1:14" x14ac:dyDescent="0.2">
      <c r="A55" s="127" t="s">
        <v>116</v>
      </c>
      <c r="B55" s="128" t="s">
        <v>132</v>
      </c>
      <c r="C55" s="129">
        <v>0.30499999999999999</v>
      </c>
      <c r="D55" s="129" t="s">
        <v>130</v>
      </c>
      <c r="E55" s="129">
        <v>1.56</v>
      </c>
      <c r="F55" s="130" t="s">
        <v>274</v>
      </c>
      <c r="G55" s="131">
        <v>0.6</v>
      </c>
      <c r="H55" s="129" t="s">
        <v>283</v>
      </c>
      <c r="I55" s="132">
        <v>1.03</v>
      </c>
      <c r="J55" s="96"/>
      <c r="K55" s="96"/>
      <c r="L55" s="96"/>
      <c r="M55" s="96"/>
      <c r="N55" s="96"/>
    </row>
    <row r="56" spans="1:14" x14ac:dyDescent="0.2">
      <c r="A56" s="127" t="s">
        <v>128</v>
      </c>
      <c r="B56" s="128" t="s">
        <v>132</v>
      </c>
      <c r="C56" s="129">
        <v>0.32300000000000001</v>
      </c>
      <c r="D56" s="129" t="s">
        <v>130</v>
      </c>
      <c r="E56" s="129">
        <v>1.56</v>
      </c>
      <c r="F56" s="130" t="s">
        <v>274</v>
      </c>
      <c r="G56" s="131">
        <v>0.6</v>
      </c>
      <c r="H56" s="129" t="s">
        <v>283</v>
      </c>
      <c r="I56" s="132">
        <v>1.03</v>
      </c>
      <c r="J56" s="96"/>
      <c r="K56" s="96"/>
      <c r="L56" s="96"/>
      <c r="M56" s="96"/>
      <c r="N56" s="96"/>
    </row>
    <row r="57" spans="1:14" x14ac:dyDescent="0.2">
      <c r="A57" s="127" t="s">
        <v>129</v>
      </c>
      <c r="B57" s="128" t="s">
        <v>132</v>
      </c>
      <c r="C57" s="129">
        <v>0.36699999999999999</v>
      </c>
      <c r="D57" s="129" t="s">
        <v>130</v>
      </c>
      <c r="E57" s="129">
        <v>1.56</v>
      </c>
      <c r="F57" s="130" t="s">
        <v>274</v>
      </c>
      <c r="G57" s="131">
        <v>0.6</v>
      </c>
      <c r="H57" s="129" t="s">
        <v>283</v>
      </c>
      <c r="I57" s="132">
        <v>1.03</v>
      </c>
      <c r="J57" s="96"/>
      <c r="K57" s="96"/>
      <c r="L57" s="96"/>
      <c r="M57" s="96"/>
      <c r="N57" s="96"/>
    </row>
    <row r="58" spans="1:14" x14ac:dyDescent="0.2">
      <c r="A58" s="127" t="s">
        <v>117</v>
      </c>
      <c r="B58" s="128" t="s">
        <v>132</v>
      </c>
      <c r="C58" s="129">
        <v>0.36</v>
      </c>
      <c r="D58" s="129" t="s">
        <v>130</v>
      </c>
      <c r="E58" s="129">
        <v>1.56</v>
      </c>
      <c r="F58" s="130" t="s">
        <v>274</v>
      </c>
      <c r="G58" s="131">
        <v>0.6</v>
      </c>
      <c r="H58" s="129" t="s">
        <v>283</v>
      </c>
      <c r="I58" s="132">
        <v>1.03</v>
      </c>
      <c r="J58" s="96"/>
      <c r="K58" s="96"/>
      <c r="L58" s="96"/>
      <c r="M58" s="96"/>
      <c r="N58" s="96"/>
    </row>
    <row r="59" spans="1:14" x14ac:dyDescent="0.2">
      <c r="A59" s="127" t="s">
        <v>118</v>
      </c>
      <c r="B59" s="128" t="s">
        <v>132</v>
      </c>
      <c r="C59" s="129">
        <v>0.36799999999999999</v>
      </c>
      <c r="D59" s="129" t="s">
        <v>130</v>
      </c>
      <c r="E59" s="129">
        <v>1.56</v>
      </c>
      <c r="F59" s="130" t="s">
        <v>274</v>
      </c>
      <c r="G59" s="131">
        <v>0.6</v>
      </c>
      <c r="H59" s="129" t="s">
        <v>283</v>
      </c>
      <c r="I59" s="132">
        <v>1.03</v>
      </c>
      <c r="J59" s="96"/>
      <c r="K59" s="96"/>
      <c r="L59" s="96"/>
      <c r="M59" s="96"/>
      <c r="N59" s="96"/>
    </row>
    <row r="60" spans="1:14" x14ac:dyDescent="0.2">
      <c r="A60" s="127" t="s">
        <v>119</v>
      </c>
      <c r="B60" s="128" t="s">
        <v>132</v>
      </c>
      <c r="C60" s="129">
        <v>0.30599999999999999</v>
      </c>
      <c r="D60" s="129" t="s">
        <v>130</v>
      </c>
      <c r="E60" s="129">
        <v>1.56</v>
      </c>
      <c r="F60" s="130" t="s">
        <v>274</v>
      </c>
      <c r="G60" s="131">
        <v>0.6</v>
      </c>
      <c r="H60" s="129" t="s">
        <v>283</v>
      </c>
      <c r="I60" s="132">
        <v>1.03</v>
      </c>
      <c r="J60" s="96"/>
      <c r="K60" s="96"/>
      <c r="L60" s="96"/>
      <c r="M60" s="96"/>
      <c r="N60" s="96"/>
    </row>
    <row r="61" spans="1:14" x14ac:dyDescent="0.2">
      <c r="A61" s="127" t="s">
        <v>120</v>
      </c>
      <c r="B61" s="128" t="s">
        <v>132</v>
      </c>
      <c r="C61" s="129">
        <v>0.313</v>
      </c>
      <c r="D61" s="129" t="s">
        <v>130</v>
      </c>
      <c r="E61" s="129">
        <v>1.56</v>
      </c>
      <c r="F61" s="130" t="s">
        <v>274</v>
      </c>
      <c r="G61" s="131">
        <v>0.6</v>
      </c>
      <c r="H61" s="129" t="s">
        <v>283</v>
      </c>
      <c r="I61" s="132">
        <v>1.03</v>
      </c>
      <c r="J61" s="96"/>
      <c r="K61" s="96"/>
      <c r="L61" s="96"/>
      <c r="M61" s="96"/>
      <c r="N61" s="96"/>
    </row>
    <row r="62" spans="1:14" x14ac:dyDescent="0.2">
      <c r="A62" s="127" t="s">
        <v>32</v>
      </c>
      <c r="B62" s="128" t="s">
        <v>133</v>
      </c>
      <c r="C62" s="129">
        <v>0.37</v>
      </c>
      <c r="D62" s="129" t="s">
        <v>161</v>
      </c>
      <c r="E62" s="129">
        <v>1.56</v>
      </c>
      <c r="F62" s="130" t="s">
        <v>274</v>
      </c>
      <c r="G62" s="131">
        <v>0.6</v>
      </c>
      <c r="H62" s="129" t="s">
        <v>283</v>
      </c>
      <c r="I62" s="132">
        <v>1.03</v>
      </c>
      <c r="J62" s="96"/>
      <c r="K62" s="96"/>
      <c r="L62" s="96"/>
      <c r="M62" s="96"/>
      <c r="N62" s="96"/>
    </row>
    <row r="63" spans="1:14" x14ac:dyDescent="0.2">
      <c r="A63" s="127" t="s">
        <v>90</v>
      </c>
      <c r="B63" s="128" t="s">
        <v>83</v>
      </c>
      <c r="C63" s="129">
        <v>0.45</v>
      </c>
      <c r="D63" s="129" t="s">
        <v>161</v>
      </c>
      <c r="E63" s="129">
        <v>1.3</v>
      </c>
      <c r="F63" s="130" t="s">
        <v>274</v>
      </c>
      <c r="G63" s="131">
        <v>0.45</v>
      </c>
      <c r="H63" s="129" t="s">
        <v>276</v>
      </c>
      <c r="I63" s="132">
        <v>0.43</v>
      </c>
      <c r="J63" s="96"/>
      <c r="K63" s="96"/>
      <c r="L63" s="96"/>
      <c r="M63" s="96"/>
      <c r="N63" s="96"/>
    </row>
    <row r="64" spans="1:14" x14ac:dyDescent="0.2">
      <c r="A64" s="127" t="s">
        <v>33</v>
      </c>
      <c r="B64" s="128" t="s">
        <v>134</v>
      </c>
      <c r="C64" s="129">
        <v>0.39</v>
      </c>
      <c r="D64" s="129" t="s">
        <v>161</v>
      </c>
      <c r="E64" s="129">
        <v>1.3</v>
      </c>
      <c r="F64" s="130" t="s">
        <v>274</v>
      </c>
      <c r="G64" s="131">
        <v>0.45</v>
      </c>
      <c r="H64" s="129" t="s">
        <v>276</v>
      </c>
      <c r="I64" s="132">
        <v>0.43</v>
      </c>
      <c r="J64" s="96"/>
      <c r="K64" s="96"/>
      <c r="L64" s="96"/>
      <c r="M64" s="96"/>
      <c r="N64" s="96"/>
    </row>
    <row r="65" spans="1:14" x14ac:dyDescent="0.2">
      <c r="A65" s="127" t="s">
        <v>34</v>
      </c>
      <c r="B65" s="128" t="s">
        <v>135</v>
      </c>
      <c r="C65" s="129">
        <v>0.44</v>
      </c>
      <c r="D65" s="129" t="s">
        <v>161</v>
      </c>
      <c r="E65" s="129">
        <v>1.3</v>
      </c>
      <c r="F65" s="130" t="s">
        <v>274</v>
      </c>
      <c r="G65" s="131">
        <v>0.45</v>
      </c>
      <c r="H65" s="129" t="s">
        <v>276</v>
      </c>
      <c r="I65" s="132">
        <v>0.43</v>
      </c>
      <c r="J65" s="96"/>
      <c r="K65" s="96"/>
      <c r="L65" s="96"/>
      <c r="M65" s="96"/>
      <c r="N65" s="96"/>
    </row>
    <row r="66" spans="1:14" x14ac:dyDescent="0.2">
      <c r="A66" s="127" t="s">
        <v>35</v>
      </c>
      <c r="B66" s="128" t="s">
        <v>84</v>
      </c>
      <c r="C66" s="129">
        <v>0.46</v>
      </c>
      <c r="D66" s="129" t="s">
        <v>161</v>
      </c>
      <c r="E66" s="129">
        <v>1.3</v>
      </c>
      <c r="F66" s="130" t="s">
        <v>274</v>
      </c>
      <c r="G66" s="131">
        <v>0.45</v>
      </c>
      <c r="H66" s="129" t="s">
        <v>276</v>
      </c>
      <c r="I66" s="132">
        <v>0.43</v>
      </c>
      <c r="J66" s="96"/>
      <c r="K66" s="96"/>
      <c r="L66" s="96"/>
      <c r="M66" s="96"/>
      <c r="N66" s="96"/>
    </row>
    <row r="67" spans="1:14" x14ac:dyDescent="0.2">
      <c r="A67" s="127" t="s">
        <v>36</v>
      </c>
      <c r="B67" s="128" t="s">
        <v>85</v>
      </c>
      <c r="C67" s="129">
        <v>0.46</v>
      </c>
      <c r="D67" s="129" t="s">
        <v>161</v>
      </c>
      <c r="E67" s="129">
        <v>1.3</v>
      </c>
      <c r="F67" s="130" t="s">
        <v>274</v>
      </c>
      <c r="G67" s="131">
        <v>0.45</v>
      </c>
      <c r="H67" s="129" t="s">
        <v>152</v>
      </c>
      <c r="I67" s="132">
        <v>0.59</v>
      </c>
      <c r="J67" s="96"/>
      <c r="K67" s="96"/>
      <c r="L67" s="96"/>
      <c r="M67" s="96"/>
      <c r="N67" s="96"/>
    </row>
    <row r="68" spans="1:14" x14ac:dyDescent="0.2">
      <c r="A68" s="127" t="s">
        <v>37</v>
      </c>
      <c r="B68" s="128" t="s">
        <v>136</v>
      </c>
      <c r="C68" s="129">
        <v>0.44</v>
      </c>
      <c r="D68" s="129" t="s">
        <v>161</v>
      </c>
      <c r="E68" s="129">
        <v>1.3</v>
      </c>
      <c r="F68" s="130" t="s">
        <v>274</v>
      </c>
      <c r="G68" s="131">
        <v>0.45</v>
      </c>
      <c r="H68" s="129" t="s">
        <v>276</v>
      </c>
      <c r="I68" s="132">
        <v>0.43</v>
      </c>
      <c r="J68" s="96"/>
      <c r="K68" s="96"/>
      <c r="L68" s="96"/>
      <c r="M68" s="96"/>
      <c r="N68" s="96"/>
    </row>
    <row r="69" spans="1:14" x14ac:dyDescent="0.2">
      <c r="A69" s="127" t="s">
        <v>38</v>
      </c>
      <c r="B69" s="128" t="s">
        <v>86</v>
      </c>
      <c r="C69" s="129">
        <v>0.46</v>
      </c>
      <c r="D69" s="129" t="s">
        <v>161</v>
      </c>
      <c r="E69" s="129">
        <v>1.3</v>
      </c>
      <c r="F69" s="130" t="s">
        <v>274</v>
      </c>
      <c r="G69" s="131">
        <v>0.45</v>
      </c>
      <c r="H69" s="129" t="s">
        <v>276</v>
      </c>
      <c r="I69" s="132">
        <v>0.43</v>
      </c>
      <c r="J69" s="96"/>
      <c r="K69" s="96"/>
      <c r="L69" s="96"/>
      <c r="M69" s="96"/>
      <c r="N69" s="96"/>
    </row>
    <row r="70" spans="1:14" x14ac:dyDescent="0.2">
      <c r="A70" s="127" t="s">
        <v>39</v>
      </c>
      <c r="B70" s="128" t="s">
        <v>137</v>
      </c>
      <c r="C70" s="129">
        <v>0.48</v>
      </c>
      <c r="D70" s="129" t="s">
        <v>161</v>
      </c>
      <c r="E70" s="129">
        <v>2.4</v>
      </c>
      <c r="F70" s="129" t="s">
        <v>284</v>
      </c>
      <c r="G70" s="131">
        <v>0.45</v>
      </c>
      <c r="H70" s="129" t="s">
        <v>276</v>
      </c>
      <c r="I70" s="132">
        <v>0.43</v>
      </c>
      <c r="J70" s="96"/>
      <c r="K70" s="96"/>
      <c r="L70" s="96"/>
      <c r="M70" s="96"/>
      <c r="N70" s="96"/>
    </row>
    <row r="71" spans="1:14" x14ac:dyDescent="0.2">
      <c r="A71" s="127" t="s">
        <v>40</v>
      </c>
      <c r="B71" s="128" t="s">
        <v>87</v>
      </c>
      <c r="C71" s="129">
        <v>0.46</v>
      </c>
      <c r="D71" s="129" t="s">
        <v>150</v>
      </c>
      <c r="E71" s="129">
        <v>1.3</v>
      </c>
      <c r="F71" s="130" t="s">
        <v>274</v>
      </c>
      <c r="G71" s="131">
        <v>0.45</v>
      </c>
      <c r="H71" s="129" t="s">
        <v>276</v>
      </c>
      <c r="I71" s="132">
        <v>0.43</v>
      </c>
      <c r="J71" s="96"/>
      <c r="K71" s="96"/>
      <c r="L71" s="96"/>
      <c r="M71" s="96"/>
      <c r="N71" s="96"/>
    </row>
    <row r="72" spans="1:14" x14ac:dyDescent="0.2">
      <c r="A72" s="127" t="s">
        <v>41</v>
      </c>
      <c r="B72" s="128" t="s">
        <v>88</v>
      </c>
      <c r="C72" s="129">
        <v>0.44</v>
      </c>
      <c r="D72" s="129" t="s">
        <v>161</v>
      </c>
      <c r="E72" s="129">
        <v>1.3</v>
      </c>
      <c r="F72" s="130" t="s">
        <v>274</v>
      </c>
      <c r="G72" s="131">
        <v>0.45</v>
      </c>
      <c r="H72" s="129" t="s">
        <v>276</v>
      </c>
      <c r="I72" s="132">
        <v>0.43</v>
      </c>
      <c r="J72" s="96"/>
      <c r="K72" s="96"/>
      <c r="L72" s="96"/>
      <c r="M72" s="96"/>
      <c r="N72" s="96"/>
    </row>
    <row r="73" spans="1:14" x14ac:dyDescent="0.2">
      <c r="A73" s="127" t="s">
        <v>138</v>
      </c>
      <c r="B73" s="128" t="s">
        <v>140</v>
      </c>
      <c r="C73" s="129">
        <v>0.46</v>
      </c>
      <c r="D73" s="129" t="s">
        <v>151</v>
      </c>
      <c r="E73" s="129">
        <v>1.3</v>
      </c>
      <c r="F73" s="130" t="s">
        <v>274</v>
      </c>
      <c r="G73" s="131">
        <v>0.45</v>
      </c>
      <c r="H73" s="129" t="s">
        <v>276</v>
      </c>
      <c r="I73" s="132">
        <v>0.43</v>
      </c>
      <c r="J73" s="96"/>
      <c r="K73" s="96"/>
      <c r="L73" s="96"/>
      <c r="M73" s="96"/>
      <c r="N73" s="96"/>
    </row>
    <row r="74" spans="1:14" x14ac:dyDescent="0.2">
      <c r="A74" s="127" t="s">
        <v>42</v>
      </c>
      <c r="B74" s="128" t="s">
        <v>139</v>
      </c>
      <c r="C74" s="129">
        <v>0.34</v>
      </c>
      <c r="D74" s="129" t="s">
        <v>161</v>
      </c>
      <c r="E74" s="129">
        <v>1.3</v>
      </c>
      <c r="F74" s="130" t="s">
        <v>274</v>
      </c>
      <c r="G74" s="131">
        <v>0.45</v>
      </c>
      <c r="H74" s="129" t="s">
        <v>276</v>
      </c>
      <c r="I74" s="132">
        <v>0.43</v>
      </c>
      <c r="J74" s="96"/>
      <c r="K74" s="96"/>
      <c r="L74" s="96"/>
      <c r="M74" s="96"/>
      <c r="N74" s="96"/>
    </row>
    <row r="75" spans="1:14" x14ac:dyDescent="0.2">
      <c r="A75" s="127" t="s">
        <v>43</v>
      </c>
      <c r="B75" s="128" t="s">
        <v>162</v>
      </c>
      <c r="C75" s="129">
        <v>0.5</v>
      </c>
      <c r="D75" s="129" t="s">
        <v>161</v>
      </c>
      <c r="E75" s="129">
        <v>1.56</v>
      </c>
      <c r="F75" s="130" t="s">
        <v>274</v>
      </c>
      <c r="G75" s="131">
        <v>0.53</v>
      </c>
      <c r="H75" s="129" t="s">
        <v>275</v>
      </c>
      <c r="I75" s="132">
        <v>0.25</v>
      </c>
      <c r="J75" s="96"/>
      <c r="K75" s="96"/>
      <c r="L75" s="96"/>
      <c r="M75" s="96"/>
      <c r="N75" s="96"/>
    </row>
    <row r="76" spans="1:14" x14ac:dyDescent="0.2">
      <c r="A76" s="127" t="s">
        <v>44</v>
      </c>
      <c r="B76" s="128" t="s">
        <v>89</v>
      </c>
      <c r="C76" s="129">
        <v>0.57999999999999996</v>
      </c>
      <c r="D76" s="129" t="s">
        <v>161</v>
      </c>
      <c r="E76" s="129">
        <v>1.56</v>
      </c>
      <c r="F76" s="130" t="s">
        <v>274</v>
      </c>
      <c r="G76" s="131">
        <v>0.3</v>
      </c>
      <c r="H76" s="129" t="s">
        <v>277</v>
      </c>
      <c r="I76" s="132">
        <v>0.25</v>
      </c>
      <c r="J76" s="96"/>
      <c r="K76" s="96"/>
      <c r="L76" s="96"/>
      <c r="M76" s="96"/>
      <c r="N76" s="96"/>
    </row>
    <row r="77" spans="1:14" x14ac:dyDescent="0.2">
      <c r="A77" s="127" t="s">
        <v>47</v>
      </c>
      <c r="B77" s="128" t="s">
        <v>141</v>
      </c>
      <c r="C77" s="129">
        <v>0.37</v>
      </c>
      <c r="D77" s="129" t="s">
        <v>161</v>
      </c>
      <c r="E77" s="129">
        <v>1.3</v>
      </c>
      <c r="F77" s="130" t="s">
        <v>274</v>
      </c>
      <c r="G77" s="131">
        <v>0.55000000000000004</v>
      </c>
      <c r="H77" s="129" t="s">
        <v>152</v>
      </c>
      <c r="I77" s="132">
        <v>0.43</v>
      </c>
      <c r="J77" s="96"/>
      <c r="K77" s="96"/>
      <c r="L77" s="96"/>
      <c r="M77" s="96"/>
      <c r="N77" s="96"/>
    </row>
    <row r="78" spans="1:14" x14ac:dyDescent="0.2">
      <c r="A78" s="127" t="s">
        <v>45</v>
      </c>
      <c r="B78" s="128" t="s">
        <v>96</v>
      </c>
      <c r="C78" s="129">
        <v>0.37</v>
      </c>
      <c r="D78" s="129" t="s">
        <v>161</v>
      </c>
      <c r="E78" s="129">
        <v>1.3</v>
      </c>
      <c r="F78" s="130" t="s">
        <v>274</v>
      </c>
      <c r="G78" s="131">
        <v>0.55000000000000004</v>
      </c>
      <c r="H78" s="129" t="s">
        <v>152</v>
      </c>
      <c r="I78" s="132">
        <v>0.43</v>
      </c>
      <c r="J78" s="96"/>
      <c r="K78" s="96"/>
      <c r="L78" s="96"/>
      <c r="M78" s="96"/>
      <c r="N78" s="96"/>
    </row>
    <row r="79" spans="1:14" x14ac:dyDescent="0.2">
      <c r="A79" s="127" t="s">
        <v>46</v>
      </c>
      <c r="B79" s="128" t="s">
        <v>95</v>
      </c>
      <c r="C79" s="129">
        <v>0.38</v>
      </c>
      <c r="D79" s="129" t="s">
        <v>161</v>
      </c>
      <c r="E79" s="129">
        <v>1.3</v>
      </c>
      <c r="F79" s="130" t="s">
        <v>274</v>
      </c>
      <c r="G79" s="131">
        <v>0.55000000000000004</v>
      </c>
      <c r="H79" s="129" t="s">
        <v>153</v>
      </c>
      <c r="I79" s="132">
        <v>0.43</v>
      </c>
      <c r="J79" s="96"/>
      <c r="K79" s="96"/>
      <c r="L79" s="96"/>
      <c r="M79" s="96"/>
      <c r="N79" s="96"/>
    </row>
    <row r="80" spans="1:14" x14ac:dyDescent="0.2">
      <c r="A80" s="127" t="s">
        <v>48</v>
      </c>
      <c r="B80" s="128" t="s">
        <v>94</v>
      </c>
      <c r="C80" s="129">
        <v>0.36</v>
      </c>
      <c r="D80" s="129" t="s">
        <v>161</v>
      </c>
      <c r="E80" s="129">
        <v>1.3</v>
      </c>
      <c r="F80" s="130" t="s">
        <v>274</v>
      </c>
      <c r="G80" s="131">
        <v>0.55000000000000004</v>
      </c>
      <c r="H80" s="129" t="s">
        <v>153</v>
      </c>
      <c r="I80" s="132">
        <v>0.43</v>
      </c>
      <c r="J80" s="96"/>
      <c r="K80" s="96"/>
      <c r="L80" s="96"/>
      <c r="M80" s="96"/>
      <c r="N80" s="96"/>
    </row>
    <row r="81" spans="1:14" x14ac:dyDescent="0.2">
      <c r="A81" s="127" t="s">
        <v>49</v>
      </c>
      <c r="B81" s="128" t="s">
        <v>142</v>
      </c>
      <c r="C81" s="129">
        <v>0.37</v>
      </c>
      <c r="D81" s="129" t="s">
        <v>161</v>
      </c>
      <c r="E81" s="129">
        <v>1.56</v>
      </c>
      <c r="F81" s="130" t="s">
        <v>274</v>
      </c>
      <c r="G81" s="131">
        <v>0.43</v>
      </c>
      <c r="H81" s="129" t="s">
        <v>278</v>
      </c>
      <c r="I81" s="132">
        <v>0.25</v>
      </c>
      <c r="J81" s="96"/>
      <c r="K81" s="96"/>
      <c r="L81" s="96"/>
      <c r="M81" s="96"/>
      <c r="N81" s="96"/>
    </row>
    <row r="82" spans="1:14" x14ac:dyDescent="0.2">
      <c r="A82" s="127" t="s">
        <v>158</v>
      </c>
      <c r="B82" s="128" t="s">
        <v>159</v>
      </c>
      <c r="C82" s="129">
        <v>0.35</v>
      </c>
      <c r="D82" s="129" t="s">
        <v>160</v>
      </c>
      <c r="E82" s="129">
        <v>1.3</v>
      </c>
      <c r="F82" s="130" t="s">
        <v>274</v>
      </c>
      <c r="G82" s="131">
        <v>0.55000000000000004</v>
      </c>
      <c r="H82" s="129" t="s">
        <v>153</v>
      </c>
      <c r="I82" s="132">
        <v>0.43</v>
      </c>
      <c r="J82" s="96"/>
      <c r="K82" s="96"/>
      <c r="L82" s="96"/>
      <c r="M82" s="96"/>
      <c r="N82" s="96"/>
    </row>
    <row r="83" spans="1:14" x14ac:dyDescent="0.2">
      <c r="A83" s="127" t="s">
        <v>156</v>
      </c>
      <c r="B83" s="128" t="s">
        <v>157</v>
      </c>
      <c r="C83" s="129">
        <v>0.34</v>
      </c>
      <c r="D83" s="129" t="s">
        <v>161</v>
      </c>
      <c r="E83" s="129">
        <v>1.3</v>
      </c>
      <c r="F83" s="130" t="s">
        <v>274</v>
      </c>
      <c r="G83" s="131">
        <v>0.55000000000000004</v>
      </c>
      <c r="H83" s="129" t="s">
        <v>153</v>
      </c>
      <c r="I83" s="132">
        <v>0.43</v>
      </c>
      <c r="J83" s="96"/>
      <c r="K83" s="96"/>
      <c r="L83" s="96"/>
      <c r="M83" s="96"/>
      <c r="N83" s="96"/>
    </row>
    <row r="84" spans="1:14" x14ac:dyDescent="0.2">
      <c r="A84" s="127" t="s">
        <v>92</v>
      </c>
      <c r="B84" s="128" t="s">
        <v>93</v>
      </c>
      <c r="C84" s="129">
        <v>0.31</v>
      </c>
      <c r="D84" s="129" t="s">
        <v>161</v>
      </c>
      <c r="E84" s="129">
        <v>1.3</v>
      </c>
      <c r="F84" s="130" t="s">
        <v>274</v>
      </c>
      <c r="G84" s="131">
        <v>0.55000000000000004</v>
      </c>
      <c r="H84" s="129" t="s">
        <v>153</v>
      </c>
      <c r="I84" s="132">
        <v>0.43</v>
      </c>
      <c r="J84" s="96"/>
      <c r="K84" s="96"/>
      <c r="L84" s="96"/>
      <c r="M84" s="96"/>
      <c r="N84" s="96"/>
    </row>
    <row r="85" spans="1:14" x14ac:dyDescent="0.2">
      <c r="A85" s="127" t="s">
        <v>50</v>
      </c>
      <c r="B85" s="128" t="s">
        <v>143</v>
      </c>
      <c r="C85" s="129">
        <v>0.43</v>
      </c>
      <c r="D85" s="129" t="s">
        <v>161</v>
      </c>
      <c r="E85" s="129">
        <v>1.56</v>
      </c>
      <c r="F85" s="130" t="s">
        <v>274</v>
      </c>
      <c r="G85" s="131">
        <v>0.53</v>
      </c>
      <c r="H85" s="129" t="s">
        <v>275</v>
      </c>
      <c r="I85" s="132">
        <v>0.25</v>
      </c>
      <c r="J85" s="96"/>
      <c r="K85" s="96"/>
      <c r="L85" s="96"/>
      <c r="M85" s="96"/>
      <c r="N85" s="96"/>
    </row>
    <row r="86" spans="1:14" x14ac:dyDescent="0.2">
      <c r="A86" s="127" t="s">
        <v>51</v>
      </c>
      <c r="B86" s="128" t="s">
        <v>91</v>
      </c>
      <c r="C86" s="129">
        <v>0.38</v>
      </c>
      <c r="D86" s="129" t="s">
        <v>161</v>
      </c>
      <c r="E86" s="129">
        <v>1.56</v>
      </c>
      <c r="F86" s="130" t="s">
        <v>274</v>
      </c>
      <c r="G86" s="131">
        <v>0.6</v>
      </c>
      <c r="H86" s="129" t="s">
        <v>279</v>
      </c>
      <c r="I86" s="132">
        <v>0.25</v>
      </c>
      <c r="J86" s="96"/>
      <c r="K86" s="96"/>
      <c r="L86" s="96"/>
      <c r="M86" s="96"/>
      <c r="N86" s="96"/>
    </row>
    <row r="87" spans="1:14" x14ac:dyDescent="0.2">
      <c r="A87" s="281" t="s">
        <v>321</v>
      </c>
      <c r="B87" s="282" t="s">
        <v>322</v>
      </c>
      <c r="C87" s="283">
        <v>0.41</v>
      </c>
      <c r="D87" s="283" t="s">
        <v>323</v>
      </c>
      <c r="E87" s="283">
        <v>1.56</v>
      </c>
      <c r="F87" s="284" t="s">
        <v>274</v>
      </c>
      <c r="G87" s="285">
        <v>0.43</v>
      </c>
      <c r="H87" s="283" t="s">
        <v>278</v>
      </c>
      <c r="I87" s="286">
        <v>0.25</v>
      </c>
      <c r="J87" s="96"/>
      <c r="K87" s="96"/>
      <c r="L87" s="96"/>
      <c r="M87" s="96"/>
      <c r="N87" s="96"/>
    </row>
    <row r="88" spans="1:14" x14ac:dyDescent="0.2">
      <c r="A88" s="127" t="s">
        <v>148</v>
      </c>
      <c r="B88" s="135"/>
      <c r="C88" s="129">
        <v>0.42</v>
      </c>
      <c r="D88" s="129" t="s">
        <v>161</v>
      </c>
      <c r="E88" s="129">
        <v>1.3</v>
      </c>
      <c r="F88" s="130" t="s">
        <v>274</v>
      </c>
      <c r="G88" s="136"/>
      <c r="H88" s="135"/>
      <c r="I88" s="137"/>
    </row>
    <row r="89" spans="1:14" ht="16" thickBot="1" x14ac:dyDescent="0.25">
      <c r="A89" s="138" t="s">
        <v>149</v>
      </c>
      <c r="B89" s="139"/>
      <c r="C89" s="140">
        <v>0.56999999999999995</v>
      </c>
      <c r="D89" s="141" t="s">
        <v>161</v>
      </c>
      <c r="E89" s="140">
        <v>1.56</v>
      </c>
      <c r="F89" s="140" t="s">
        <v>274</v>
      </c>
      <c r="G89" s="139"/>
      <c r="H89" s="139"/>
      <c r="I89" s="142"/>
    </row>
    <row r="93" spans="1:14" x14ac:dyDescent="0.2">
      <c r="A93" s="127" t="s">
        <v>208</v>
      </c>
    </row>
    <row r="94" spans="1:14" x14ac:dyDescent="0.2">
      <c r="A94" s="127" t="s">
        <v>209</v>
      </c>
    </row>
    <row r="95" spans="1:14" x14ac:dyDescent="0.2">
      <c r="A95" s="127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68"/>
      <c r="J1" s="68"/>
      <c r="K1" s="68"/>
      <c r="L1" s="68"/>
      <c r="M1" s="68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3" t="s">
        <v>271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5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26"/>
      <c r="J3" s="226"/>
      <c r="K3" s="226"/>
      <c r="L3" s="226"/>
      <c r="M3" s="226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26"/>
      <c r="J4" s="226"/>
      <c r="K4" s="226"/>
      <c r="L4" s="226"/>
      <c r="M4" s="226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3" t="s">
        <v>207</v>
      </c>
      <c r="B5" s="144" t="s">
        <v>250</v>
      </c>
      <c r="C5" s="145" t="str">
        <f>Calculateur!S2</f>
        <v>ΔStock moyen de long terme (tCO₂/ha)</v>
      </c>
      <c r="D5" s="145" t="str">
        <f>Calculateur!T2</f>
        <v>Δstock CO₂ 30 ans (tCO₂/ha)</v>
      </c>
      <c r="E5" s="145" t="s">
        <v>228</v>
      </c>
      <c r="F5" s="145" t="s">
        <v>239</v>
      </c>
      <c r="G5" s="145" t="s">
        <v>240</v>
      </c>
      <c r="H5" s="146" t="s">
        <v>241</v>
      </c>
      <c r="I5" s="147" t="s">
        <v>242</v>
      </c>
      <c r="J5" s="148" t="s">
        <v>243</v>
      </c>
      <c r="K5" s="149" t="s">
        <v>244</v>
      </c>
      <c r="L5" s="87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0" t="str">
        <f>IF('Données projet'!$B$9="","",'Données projet'!$B$9)</f>
        <v>Hêtre</v>
      </c>
      <c r="B6" s="151">
        <f>'Données projet'!D9</f>
        <v>0.41670453212000003</v>
      </c>
      <c r="C6" s="152">
        <f ca="1">IF(OR('Données projet'!B9="",'Données projet'!C9="",'Données projet'!C9=0%),0,Calculateur!S3)</f>
        <v>623.31285537237943</v>
      </c>
      <c r="D6" s="152">
        <f>IF(OR('Données projet'!B9="",'Données projet'!C9="",'Données projet'!C9=0%),0,Calculateur!T3)</f>
        <v>462.33909258902241</v>
      </c>
      <c r="E6" s="152">
        <f ca="1">MIN(C6,D6)</f>
        <v>462.33909258902241</v>
      </c>
      <c r="F6" s="152">
        <f ca="1">E6*B6</f>
        <v>192.65879525809396</v>
      </c>
      <c r="G6" s="152">
        <f ca="1">F6*(100%-'Données projet'!$C$24)*(100%-'Données projet'!$C$25)*(100%-'Données projet'!$C$26)*(100%-'Données projet'!$C$27)</f>
        <v>173.39291573228456</v>
      </c>
      <c r="H6" s="153">
        <f>IF(OR('Données projet'!B9="",'Données projet'!C9="",'Données projet'!C9=0%),0,AVERAGE(Calculateur!$AC$3:$AC$33)*B6)</f>
        <v>9.7305926021881969E-2</v>
      </c>
      <c r="I6" s="154">
        <f>H6*(100%-'Données projet'!$C$24)*(100%-'Données projet'!$C$25)*(100%-'Données projet'!$C$26)*(100%-'Données projet'!$C$27)</f>
        <v>8.7575333419693771E-2</v>
      </c>
      <c r="J6" s="155">
        <f>IF(OR('Données projet'!B9="",'Données projet'!C9="",'Données projet'!C9=0%),0,SUM(Calculateur!$V$3:$V$33)*VLOOKUP('Données projet'!$B$9,Paramètres!$A$1:$I$89,9,0)*B6)</f>
        <v>15.418067688440001</v>
      </c>
      <c r="K6" s="156">
        <f>J6*(100%-'Données projet'!$C$24)*(100%-'Données projet'!$C$25)*(100%-'Données projet'!$C$26)*(100%-'Données projet'!$C$27)</f>
        <v>13.876260919596001</v>
      </c>
      <c r="L6" s="157">
        <f ca="1">G6+I6+K6</f>
        <v>187.35675198530026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58" t="str">
        <f>IF('Données projet'!$B$10="","",'Données projet'!$B$10)</f>
        <v>Erable champêtre</v>
      </c>
      <c r="B7" s="159">
        <f>'Données projet'!D10</f>
        <v>0.25002273394000002</v>
      </c>
      <c r="C7" s="152">
        <f ca="1">IF(OR('Données projet'!B10="",'Données projet'!C10="",'Données projet'!C10=0%),0,Calculateur!AN3)</f>
        <v>390.70479111593545</v>
      </c>
      <c r="D7" s="152">
        <f>IF(OR('Données projet'!B10="",'Données projet'!C10="",'Données projet'!C10=0%),0,Calculateur!AO3)</f>
        <v>374.99493809709708</v>
      </c>
      <c r="E7" s="152">
        <f t="shared" ref="E7:E15" ca="1" si="0">MIN(C7,D7)</f>
        <v>374.99493809709708</v>
      </c>
      <c r="F7" s="152">
        <f t="shared" ref="F7:F15" ca="1" si="1">E7*B7</f>
        <v>93.757259636697285</v>
      </c>
      <c r="G7" s="152">
        <f ca="1">F7*(100%-'Données projet'!$C$24)*(100%-'Données projet'!$C$25)*(100%-'Données projet'!$C$26)*(100%-'Données projet'!$C$27)</f>
        <v>84.381533673027562</v>
      </c>
      <c r="H7" s="160">
        <f>IF(OR('Données projet'!B10="",'Données projet'!C10="",'Données projet'!C10=0%),0,AVERAGE(Calculateur!$AX$3:$AX$33)*B7)</f>
        <v>0</v>
      </c>
      <c r="I7" s="154">
        <f>H7*(100%-'Données projet'!$C$24)*(100%-'Données projet'!$C$25)*(100%-'Données projet'!$C$26)*(100%-'Données projet'!$C$27)</f>
        <v>0</v>
      </c>
      <c r="J7" s="155">
        <f>IF(OR('Données projet'!B10="",'Données projet'!C10="",'Données projet'!C10=0%),0,SUM(Calculateur!$AQ$3:$AQ$33)*VLOOKUP('Données projet'!$B$10,Paramètres!$A$1:$I$89,9,0)*B7)</f>
        <v>0</v>
      </c>
      <c r="K7" s="156">
        <f>J7*(100%-'Données projet'!$C$24)*(100%-'Données projet'!$C$25)*(100%-'Données projet'!$C$26)*(100%-'Données projet'!$C$27)</f>
        <v>0</v>
      </c>
      <c r="L7" s="157">
        <f t="shared" ref="L7:L15" ca="1" si="2">G7+I7+K7</f>
        <v>84.381533673027562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58" t="str">
        <f>IF('Données projet'!$B$11="","",'Données projet'!$B$11)</f>
        <v>Erable sycomore</v>
      </c>
      <c r="B8" s="159">
        <f>'Données projet'!D11</f>
        <v>8.3340899090000004E-2</v>
      </c>
      <c r="C8" s="152">
        <f ca="1">IF(OR('Données projet'!B11="",'Données projet'!C11="",'Données projet'!C11=0%),0,Calculateur!BI3)</f>
        <v>359.18294335011535</v>
      </c>
      <c r="D8" s="152">
        <f>IF(OR('Données projet'!B11="",'Données projet'!C11="",'Données projet'!C11=0%),0,Calculateur!BJ3)</f>
        <v>345.47508134331241</v>
      </c>
      <c r="E8" s="152">
        <f t="shared" ca="1" si="0"/>
        <v>345.47508134331241</v>
      </c>
      <c r="F8" s="152">
        <f t="shared" ca="1" si="1"/>
        <v>28.792203892342542</v>
      </c>
      <c r="G8" s="152">
        <f ca="1">F8*(100%-'Données projet'!$C$24)*(100%-'Données projet'!$C$25)*(100%-'Données projet'!$C$26)*(100%-'Données projet'!$C$27)</f>
        <v>25.91298350310829</v>
      </c>
      <c r="H8" s="160">
        <f>IF(OR('Données projet'!B11="",'Données projet'!C11="",'Données projet'!C11=0%),0,AVERAGE(Calculateur!$BS$3:$BS$33)*B8)</f>
        <v>0</v>
      </c>
      <c r="I8" s="154">
        <f>H8*(100%-'Données projet'!$C$24)*(100%-'Données projet'!$C$25)*(100%-'Données projet'!$C$26)*(100%-'Données projet'!$C$27)</f>
        <v>0</v>
      </c>
      <c r="J8" s="155">
        <f>IF(OR('Données projet'!B11="",'Données projet'!C11="",'Données projet'!C11=0%),0,SUM(Calculateur!$BL$3:$BL$33)*VLOOKUP('Données projet'!$B$11,Paramètres!$A$1:$I$89,9,0)*B8)</f>
        <v>0</v>
      </c>
      <c r="K8" s="156">
        <f>J8*(100%-'Données projet'!$C$24)*(100%-'Données projet'!$C$25)*(100%-'Données projet'!$C$26)*(100%-'Données projet'!$C$27)</f>
        <v>0</v>
      </c>
      <c r="L8" s="157">
        <f t="shared" ca="1" si="2"/>
        <v>25.91298350310829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58" t="str">
        <f>IF('Données projet'!$B$12="","",'Données projet'!$B$12)</f>
        <v>Châtaignier</v>
      </c>
      <c r="B9" s="159">
        <f>'Données projet'!D12</f>
        <v>0.12501136697000001</v>
      </c>
      <c r="C9" s="152">
        <f ca="1">IF(OR('Données projet'!B12="",'Données projet'!C12="",'Données projet'!C12=0%),0,Calculateur!CD3)</f>
        <v>333.9187211440219</v>
      </c>
      <c r="D9" s="152">
        <f>IF(OR('Données projet'!B12="",'Données projet'!C12="",'Données projet'!C12=0%),0,Calculateur!CE3)</f>
        <v>321.81422611044997</v>
      </c>
      <c r="E9" s="152">
        <f t="shared" ca="1" si="0"/>
        <v>321.81422611044997</v>
      </c>
      <c r="F9" s="152">
        <f t="shared" ca="1" si="1"/>
        <v>40.230436316460022</v>
      </c>
      <c r="G9" s="152">
        <f ca="1">F9*(100%-'Données projet'!$C$24)*(100%-'Données projet'!$C$25)*(100%-'Données projet'!$C$26)*(100%-'Données projet'!$C$27)</f>
        <v>36.207392684814018</v>
      </c>
      <c r="H9" s="160">
        <f>IF(OR('Données projet'!B12="",'Données projet'!C12="",'Données projet'!C12=0%),0,AVERAGE(Calculateur!$CN$3:$CN$33)*B9)</f>
        <v>0</v>
      </c>
      <c r="I9" s="154">
        <f>H9*(100%-'Données projet'!$C$24)*(100%-'Données projet'!$C$25)*(100%-'Données projet'!$C$26)*(100%-'Données projet'!$C$27)</f>
        <v>0</v>
      </c>
      <c r="J9" s="155">
        <f>IF(OR('Données projet'!B12="",'Données projet'!C12="",'Données projet'!C12=0%),0,SUM(Calculateur!$CG$3:$CG$33)*VLOOKUP('Données projet'!$B$12,Paramètres!$A$1:$I$89,9,0)*B9)</f>
        <v>0</v>
      </c>
      <c r="K9" s="156">
        <f>J9*(100%-'Données projet'!$C$24)*(100%-'Données projet'!$C$25)*(100%-'Données projet'!$C$26)*(100%-'Données projet'!$C$27)</f>
        <v>0</v>
      </c>
      <c r="L9" s="157">
        <f t="shared" ca="1" si="2"/>
        <v>36.207392684814018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58" t="str">
        <f>IF('Données projet'!$B$13="","",'Données projet'!$B$13)</f>
        <v>Bouleau verruqueux</v>
      </c>
      <c r="B10" s="159">
        <f>'Données projet'!D13</f>
        <v>0.41670453212000003</v>
      </c>
      <c r="C10" s="152">
        <f ca="1">IF(OR('Données projet'!B13="",'Données projet'!C13="",'Données projet'!C13=0%),0,Calculateur!CY3)</f>
        <v>365.492319515595</v>
      </c>
      <c r="D10" s="152">
        <f>IF(OR('Données projet'!B13="",'Données projet'!C13="",'Données projet'!C13=0%),0,Calculateur!CZ3)</f>
        <v>351.38386928091433</v>
      </c>
      <c r="E10" s="152">
        <f t="shared" ca="1" si="0"/>
        <v>351.38386928091433</v>
      </c>
      <c r="F10" s="152">
        <f t="shared" ca="1" si="1"/>
        <v>146.42325084321865</v>
      </c>
      <c r="G10" s="152">
        <f ca="1">F10*(100%-'Données projet'!$C$24)*(100%-'Données projet'!$C$25)*(100%-'Données projet'!$C$26)*(100%-'Données projet'!$C$27)</f>
        <v>131.78092575889679</v>
      </c>
      <c r="H10" s="160">
        <f>IF(OR('Données projet'!B13="",'Données projet'!C13="",'Données projet'!C13=0%),0,AVERAGE(Calculateur!$DI$3:$DI$33)*B10)</f>
        <v>0</v>
      </c>
      <c r="I10" s="154">
        <f>H10*(100%-'Données projet'!$C$24)*(100%-'Données projet'!$C$25)*(100%-'Données projet'!$C$26)*(100%-'Données projet'!$C$27)</f>
        <v>0</v>
      </c>
      <c r="J10" s="155">
        <f>IF(OR('Données projet'!B13="",'Données projet'!C13="",'Données projet'!C13=0%),0,SUM(Calculateur!$DB$3:$DB$33)*VLOOKUP('Données projet'!$B$13,Paramètres!$A$1:$I$89,9,0)*B10)</f>
        <v>0</v>
      </c>
      <c r="K10" s="156">
        <f>J10*(100%-'Données projet'!$C$24)*(100%-'Données projet'!$C$25)*(100%-'Données projet'!$C$26)*(100%-'Données projet'!$C$27)</f>
        <v>0</v>
      </c>
      <c r="L10" s="157">
        <f t="shared" ca="1" si="2"/>
        <v>131.78092575889679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58" t="str">
        <f>IF('Données projet'!$B$14="","",'Données projet'!$B$14)</f>
        <v>Chêne pédonculé</v>
      </c>
      <c r="B11" s="159">
        <f>'Données projet'!D14</f>
        <v>0.16668183485000002</v>
      </c>
      <c r="C11" s="152">
        <f ca="1">IF(OR('Données projet'!B14="",'Données projet'!C14="",'Données projet'!C14=0%),0,Calculateur!DT3)</f>
        <v>544.89250424794909</v>
      </c>
      <c r="D11" s="152">
        <f>IF(OR('Données projet'!B14="",'Données projet'!C14="",'Données projet'!C14=0%),0,Calculateur!DU3)</f>
        <v>253.98688498110715</v>
      </c>
      <c r="E11" s="152">
        <f t="shared" ca="1" si="0"/>
        <v>253.98688498110715</v>
      </c>
      <c r="F11" s="152">
        <f t="shared" ca="1" si="1"/>
        <v>42.335000016486852</v>
      </c>
      <c r="G11" s="152">
        <f ca="1">F11*(100%-'Données projet'!$C$24)*(100%-'Données projet'!$C$25)*(100%-'Données projet'!$C$26)*(100%-'Données projet'!$C$27)</f>
        <v>38.101500014838166</v>
      </c>
      <c r="H11" s="160">
        <f>IF(OR('Données projet'!B14="",'Données projet'!C14="",'Données projet'!C14=0%),0,AVERAGE(Calculateur!$ED$3:$ED$33)*B11)</f>
        <v>0</v>
      </c>
      <c r="I11" s="154">
        <f>H11*(100%-'Données projet'!$C$24)*(100%-'Données projet'!$C$25)*(100%-'Données projet'!$C$26)*(100%-'Données projet'!$C$27)</f>
        <v>0</v>
      </c>
      <c r="J11" s="155">
        <f>IF(OR('Données projet'!B14="",'Données projet'!C14="",'Données projet'!C14=0%),0,SUM(Calculateur!$DW$3:$DW$33)*VLOOKUP('Données projet'!$B$14,Paramètres!$A$1:$I$89,9,0)*B11)</f>
        <v>0</v>
      </c>
      <c r="K11" s="156">
        <f>J11*(100%-'Données projet'!$C$24)*(100%-'Données projet'!$C$25)*(100%-'Données projet'!$C$26)*(100%-'Données projet'!$C$27)</f>
        <v>0</v>
      </c>
      <c r="L11" s="157">
        <f t="shared" ca="1" si="2"/>
        <v>38.101500014838166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58" t="str">
        <f>IF('Données projet'!$B$15="","",'Données projet'!$B$15)</f>
        <v>Chêne sessile</v>
      </c>
      <c r="B12" s="159">
        <f>'Données projet'!D15</f>
        <v>0.16668183485000002</v>
      </c>
      <c r="C12" s="152">
        <f ca="1">IF(OR('Données projet'!B15="",'Données projet'!C15="",'Données projet'!C15=0%),0,Calculateur!EO3)</f>
        <v>581.88778927327667</v>
      </c>
      <c r="D12" s="152">
        <f>IF(OR('Données projet'!B15="",'Données projet'!C15="",'Données projet'!C15=0%),0,Calculateur!EP3)</f>
        <v>269.67340993773422</v>
      </c>
      <c r="E12" s="152">
        <f t="shared" ca="1" si="0"/>
        <v>269.67340993773422</v>
      </c>
      <c r="F12" s="152">
        <f t="shared" ca="1" si="1"/>
        <v>44.949658778677765</v>
      </c>
      <c r="G12" s="152">
        <f ca="1">F12*(100%-'Données projet'!$C$24)*(100%-'Données projet'!$C$25)*(100%-'Données projet'!$C$26)*(100%-'Données projet'!$C$27)</f>
        <v>40.454692900809988</v>
      </c>
      <c r="H12" s="160">
        <f>IF(OR('Données projet'!B15="",'Données projet'!C15="",'Données projet'!C15=0%),0,AVERAGE(Calculateur!$EY$3:$EY$33)*B12)</f>
        <v>0</v>
      </c>
      <c r="I12" s="154">
        <f>H12*(100%-'Données projet'!$C$24)*(100%-'Données projet'!$C$25)*(100%-'Données projet'!$C$26)*(100%-'Données projet'!$C$27)</f>
        <v>0</v>
      </c>
      <c r="J12" s="155">
        <f>IF(OR('Données projet'!B15="",'Données projet'!C15="",'Données projet'!C15=0%),0,SUM(Calculateur!$ER$3:$ER$33)*VLOOKUP('Données projet'!$B$15,Paramètres!$A$1:$I$89,9,0)*B12)</f>
        <v>0</v>
      </c>
      <c r="K12" s="156">
        <f>J12*(100%-'Données projet'!$C$24)*(100%-'Données projet'!$C$25)*(100%-'Données projet'!$C$26)*(100%-'Données projet'!$C$27)</f>
        <v>0</v>
      </c>
      <c r="L12" s="157">
        <f t="shared" ca="1" si="2"/>
        <v>40.454692900809988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58" t="str">
        <f>IF('Données projet'!$B$16="","",'Données projet'!$B$16)</f>
        <v>Chêne pubescent</v>
      </c>
      <c r="B13" s="159">
        <f>'Données projet'!D16</f>
        <v>0.16668183485000002</v>
      </c>
      <c r="C13" s="152">
        <f ca="1">IF(OR('Données projet'!B16="",'Données projet'!C16="",'Données projet'!C16=0%),0,Calculateur!FJ3)</f>
        <v>646.50767193970182</v>
      </c>
      <c r="D13" s="152">
        <f>IF(OR('Données projet'!B16="",'Données projet'!C16="",'Données projet'!C16=0%),0,Calculateur!FK3)</f>
        <v>297.06786598620607</v>
      </c>
      <c r="E13" s="152">
        <f t="shared" ca="1" si="0"/>
        <v>297.06786598620607</v>
      </c>
      <c r="F13" s="152">
        <f t="shared" ca="1" si="1"/>
        <v>49.515816977554735</v>
      </c>
      <c r="G13" s="152">
        <f ca="1">F13*(100%-'Données projet'!$C$24)*(100%-'Données projet'!$C$25)*(100%-'Données projet'!$C$26)*(100%-'Données projet'!$C$27)</f>
        <v>44.564235279799263</v>
      </c>
      <c r="H13" s="160">
        <f>IF(OR('Données projet'!B16="",'Données projet'!C16="",'Données projet'!C16=0%),0,AVERAGE(Calculateur!$FT$3:$FT$33)*B13)</f>
        <v>0</v>
      </c>
      <c r="I13" s="154">
        <f>H13*(100%-'Données projet'!$C$24)*(100%-'Données projet'!$C$25)*(100%-'Données projet'!$C$26)*(100%-'Données projet'!$C$27)</f>
        <v>0</v>
      </c>
      <c r="J13" s="155">
        <f>IF(OR('Données projet'!C16="",'Données projet'!C16=0%),0,SUM(Calculateur!$FM$3:$FM$33)*VLOOKUP('Données projet'!$B$16,Paramètres!$A$1:$I$89,9,0)*B13)</f>
        <v>0</v>
      </c>
      <c r="K13" s="156">
        <f>J13*(100%-'Données projet'!$C$24)*(100%-'Données projet'!$C$25)*(100%-'Données projet'!$C$26)*(100%-'Données projet'!$C$27)</f>
        <v>0</v>
      </c>
      <c r="L13" s="157">
        <f t="shared" ca="1" si="2"/>
        <v>44.564235279799263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58" t="str">
        <f>IF('Données projet'!$B$17="","",'Données projet'!$B$17)</f>
        <v>Tilleul</v>
      </c>
      <c r="B14" s="159">
        <f>'Données projet'!D17</f>
        <v>0.16668183485000002</v>
      </c>
      <c r="C14" s="152">
        <f ca="1">IF(OR('Données projet'!B17="",'Données projet'!C17="",'Données projet'!C17=0%),0,Calculateur!GE3)</f>
        <v>442.85175349826028</v>
      </c>
      <c r="D14" s="152">
        <f>IF(OR('Données projet'!B17="",'Données projet'!C17="",'Données projet'!C17=0%),0,Calculateur!GF3)</f>
        <v>210.70697808232501</v>
      </c>
      <c r="E14" s="152">
        <f t="shared" ca="1" si="0"/>
        <v>210.70697808232501</v>
      </c>
      <c r="F14" s="152">
        <f t="shared" ca="1" si="1"/>
        <v>35.121025722460672</v>
      </c>
      <c r="G14" s="152">
        <f ca="1">F14*(100%-'Données projet'!$C$24)*(100%-'Données projet'!$C$25)*(100%-'Données projet'!$C$26)*(100%-'Données projet'!$C$27)</f>
        <v>31.608923150214604</v>
      </c>
      <c r="H14" s="160">
        <f>IF(OR('Données projet'!B17="",'Données projet'!C17="",'Données projet'!C17=0%),0,AVERAGE(Calculateur!$GO$3:$GO$33)*B14)</f>
        <v>0</v>
      </c>
      <c r="I14" s="154">
        <f>H14*(100%-'Données projet'!$C$24)*(100%-'Données projet'!$C$25)*(100%-'Données projet'!$C$26)*(100%-'Données projet'!$C$27)</f>
        <v>0</v>
      </c>
      <c r="J14" s="155">
        <f>IF(OR('Données projet'!B17="",'Données projet'!C17="",'Données projet'!C17=0%),0,SUM(Calculateur!$GH$3:$GH$33)*VLOOKUP('Données projet'!$B$17,Paramètres!$A$1:$I$89,9,0)*B14)</f>
        <v>0</v>
      </c>
      <c r="K14" s="156">
        <f>J14*(100%-'Données projet'!$C$24)*(100%-'Données projet'!$C$25)*(100%-'Données projet'!$C$26)*(100%-'Données projet'!$C$27)</f>
        <v>0</v>
      </c>
      <c r="L14" s="157">
        <f t="shared" ca="1" si="2"/>
        <v>31.608923150214604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1" t="str">
        <f>IF('Données projet'!B18="","",'Données projet'!B18)</f>
        <v>Charme</v>
      </c>
      <c r="B15" s="162">
        <f>'Données projet'!D18</f>
        <v>0.58338636697000001</v>
      </c>
      <c r="C15" s="163">
        <f ca="1">IF(OR('Données projet'!B18="",'Données projet'!C18="",'Données projet'!C18=0%),0,Calculateur!GZ3)</f>
        <v>420.2510366318939</v>
      </c>
      <c r="D15" s="163">
        <f>IF(OR('Données projet'!B18="",'Données projet'!C18="",'Données projet'!C18=0%),0,Calculateur!HA3)</f>
        <v>220.59884411514116</v>
      </c>
      <c r="E15" s="163">
        <f t="shared" ca="1" si="0"/>
        <v>220.59884411514116</v>
      </c>
      <c r="F15" s="164">
        <f t="shared" ca="1" si="1"/>
        <v>128.69435822611356</v>
      </c>
      <c r="G15" s="164">
        <f ca="1">F15*(100%-'Données projet'!$C$24)*(100%-'Données projet'!$C$25)*(100%-'Données projet'!$C$26)*(100%-'Données projet'!$C$27)</f>
        <v>115.82492240350221</v>
      </c>
      <c r="H15" s="165">
        <f>IF(OR('Données projet'!B18="",'Données projet'!C18="",'Données projet'!C18=0%),0,AVERAGE(Calculateur!$HJ$3:$HJ$33)*B15)</f>
        <v>1.8727821541608028E-2</v>
      </c>
      <c r="I15" s="166">
        <f>H15*(100%-'Données projet'!$C$24)*(100%-'Données projet'!$C$25)*(100%-'Données projet'!$C$26)*(100%-'Données projet'!$C$27)</f>
        <v>1.6855039387447226E-2</v>
      </c>
      <c r="J15" s="167">
        <f>IF(OR('Données projet'!B18="",'Données projet'!C18="",'Données projet'!C18=0%),0,SUM(Calculateur!$HC$3:$HC$33)*VLOOKUP('Données projet'!$B$18,Paramètres!$A$1:$I$89,9,0)*B15)</f>
        <v>1.6043125091675001</v>
      </c>
      <c r="K15" s="168">
        <f>J15*(100%-'Données projet'!$C$24)*(100%-'Données projet'!$C$25)*(100%-'Données projet'!$C$26)*(100%-'Données projet'!$C$27)</f>
        <v>1.4438812582507501</v>
      </c>
      <c r="L15" s="169">
        <f t="shared" ca="1" si="2"/>
        <v>117.28565870114042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1"/>
      <c r="B16" s="228"/>
      <c r="C16" s="229"/>
      <c r="D16" s="25"/>
      <c r="E16" s="25"/>
      <c r="F16" s="170">
        <f t="shared" ref="F16:L16" ca="1" si="3">SUM(F6:F15)</f>
        <v>802.47780566810616</v>
      </c>
      <c r="G16" s="171">
        <f t="shared" ca="1" si="3"/>
        <v>722.2300251012955</v>
      </c>
      <c r="H16" s="172">
        <f t="shared" si="3"/>
        <v>0.11603374756349</v>
      </c>
      <c r="I16" s="172">
        <f t="shared" si="3"/>
        <v>0.104430372807141</v>
      </c>
      <c r="J16" s="173">
        <f t="shared" si="3"/>
        <v>17.0223801976075</v>
      </c>
      <c r="K16" s="173">
        <f t="shared" si="3"/>
        <v>15.320142177846751</v>
      </c>
      <c r="L16" s="174">
        <f t="shared" ca="1" si="3"/>
        <v>737.65459765194942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1"/>
      <c r="B17" s="228"/>
      <c r="C17" s="229"/>
      <c r="D17" s="226"/>
      <c r="E17" s="226"/>
      <c r="F17" s="315" t="s">
        <v>246</v>
      </c>
      <c r="G17" s="316"/>
      <c r="H17" s="316"/>
      <c r="I17" s="316"/>
      <c r="J17" s="316"/>
      <c r="K17" s="316"/>
      <c r="L17" s="316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1"/>
      <c r="B18" s="228"/>
      <c r="C18" s="229"/>
      <c r="D18" s="226"/>
      <c r="E18" s="226"/>
      <c r="F18" s="317"/>
      <c r="G18" s="317"/>
      <c r="H18" s="317"/>
      <c r="I18" s="317"/>
      <c r="J18" s="317"/>
      <c r="K18" s="317"/>
      <c r="L18" s="317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26"/>
      <c r="J19" s="226"/>
      <c r="K19" s="226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26"/>
      <c r="J20" s="226"/>
      <c r="K20" s="226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5" t="str">
        <f>A6</f>
        <v>Hêtre</v>
      </c>
      <c r="B21" s="5"/>
      <c r="C21" s="5"/>
      <c r="D21" s="5"/>
      <c r="E21" s="5"/>
      <c r="F21" s="5"/>
      <c r="G21" s="5"/>
      <c r="H21" s="5"/>
      <c r="I21" s="226"/>
      <c r="J21" s="226"/>
      <c r="K21" s="226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26"/>
      <c r="J22" s="226"/>
      <c r="K22" s="226"/>
      <c r="L22" s="226"/>
      <c r="M22" s="226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26"/>
      <c r="J23" s="226"/>
      <c r="K23" s="226"/>
      <c r="L23" s="226"/>
      <c r="M23" s="226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26"/>
      <c r="J24" s="226"/>
      <c r="K24" s="226"/>
      <c r="L24" s="226"/>
      <c r="M24" s="226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26"/>
      <c r="J25" s="226"/>
      <c r="K25" s="226"/>
      <c r="L25" s="226"/>
      <c r="M25" s="226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26"/>
      <c r="J26" s="226"/>
      <c r="K26" s="226"/>
      <c r="L26" s="226"/>
      <c r="M26" s="226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26"/>
      <c r="J27" s="226"/>
      <c r="K27" s="226"/>
      <c r="L27" s="226"/>
      <c r="M27" s="226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26"/>
      <c r="J28" s="226"/>
      <c r="K28" s="226"/>
      <c r="L28" s="226"/>
      <c r="M28" s="226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26"/>
      <c r="J29" s="226"/>
      <c r="K29" s="226"/>
      <c r="L29" s="226"/>
      <c r="M29" s="226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26"/>
      <c r="J30" s="226"/>
      <c r="K30" s="226"/>
      <c r="L30" s="226"/>
      <c r="M30" s="226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26"/>
      <c r="J31" s="226"/>
      <c r="K31" s="226"/>
      <c r="L31" s="226"/>
      <c r="M31" s="226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26"/>
      <c r="J32" s="226"/>
      <c r="K32" s="226"/>
      <c r="L32" s="226"/>
      <c r="M32" s="226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26"/>
      <c r="J33" s="226"/>
      <c r="K33" s="226"/>
      <c r="L33" s="226"/>
      <c r="M33" s="226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26"/>
      <c r="J34" s="226"/>
      <c r="K34" s="226"/>
      <c r="L34" s="226"/>
      <c r="M34" s="226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26"/>
      <c r="J35" s="226"/>
      <c r="K35" s="226"/>
      <c r="L35" s="226"/>
      <c r="M35" s="226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26"/>
      <c r="J36" s="226"/>
      <c r="K36" s="226"/>
      <c r="L36" s="226"/>
      <c r="M36" s="226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26"/>
      <c r="J37" s="226"/>
      <c r="K37" s="226"/>
      <c r="L37" s="226"/>
      <c r="M37" s="226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26"/>
      <c r="J38" s="226"/>
      <c r="K38" s="226"/>
      <c r="L38" s="226"/>
      <c r="M38" s="226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5" t="str">
        <f>A7</f>
        <v>Erable champêtre</v>
      </c>
      <c r="B39" s="5"/>
      <c r="C39" s="5"/>
      <c r="D39" s="5"/>
      <c r="E39" s="5"/>
      <c r="F39" s="5"/>
      <c r="G39" s="5"/>
      <c r="H39" s="5"/>
      <c r="I39" s="226"/>
      <c r="J39" s="226"/>
      <c r="K39" s="226"/>
      <c r="L39" s="226"/>
      <c r="M39" s="226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26"/>
      <c r="J40" s="226"/>
      <c r="K40" s="226"/>
      <c r="L40" s="226"/>
      <c r="M40" s="226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26"/>
      <c r="J41" s="226"/>
      <c r="K41" s="226"/>
      <c r="L41" s="226"/>
      <c r="M41" s="226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26"/>
      <c r="J42" s="226"/>
      <c r="K42" s="226"/>
      <c r="L42" s="226"/>
      <c r="M42" s="226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26"/>
      <c r="J43" s="226"/>
      <c r="K43" s="226"/>
      <c r="L43" s="226"/>
      <c r="M43" s="226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26"/>
      <c r="J44" s="226"/>
      <c r="K44" s="226"/>
      <c r="L44" s="226"/>
      <c r="M44" s="226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26"/>
      <c r="J45" s="226"/>
      <c r="K45" s="226"/>
      <c r="L45" s="226"/>
      <c r="M45" s="226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26"/>
      <c r="J46" s="226"/>
      <c r="K46" s="226"/>
      <c r="L46" s="226"/>
      <c r="M46" s="226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26"/>
      <c r="J47" s="226"/>
      <c r="K47" s="226"/>
      <c r="L47" s="226"/>
      <c r="M47" s="226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26"/>
      <c r="J48" s="226"/>
      <c r="K48" s="226"/>
      <c r="L48" s="226"/>
      <c r="M48" s="226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26"/>
      <c r="J49" s="226"/>
      <c r="K49" s="226"/>
      <c r="L49" s="226"/>
      <c r="M49" s="226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26"/>
      <c r="J50" s="226"/>
      <c r="K50" s="226"/>
      <c r="L50" s="226"/>
      <c r="M50" s="226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26"/>
      <c r="J51" s="226"/>
      <c r="K51" s="226"/>
      <c r="L51" s="226"/>
      <c r="M51" s="226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26"/>
      <c r="J52" s="226"/>
      <c r="K52" s="226"/>
      <c r="L52" s="226"/>
      <c r="M52" s="226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26"/>
      <c r="J53" s="226"/>
      <c r="K53" s="226"/>
      <c r="L53" s="226"/>
      <c r="M53" s="226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26"/>
      <c r="J54" s="226"/>
      <c r="K54" s="226"/>
      <c r="L54" s="226"/>
      <c r="M54" s="226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26"/>
      <c r="J55" s="226"/>
      <c r="K55" s="226"/>
      <c r="L55" s="226"/>
      <c r="M55" s="226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26"/>
      <c r="J56" s="226"/>
      <c r="K56" s="226"/>
      <c r="L56" s="226"/>
      <c r="M56" s="226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5" t="str">
        <f>A8</f>
        <v>Erable sycomore</v>
      </c>
      <c r="B57" s="5"/>
      <c r="C57" s="5"/>
      <c r="D57" s="5"/>
      <c r="E57" s="5"/>
      <c r="F57" s="5"/>
      <c r="G57" s="5"/>
      <c r="H57" s="5"/>
      <c r="I57" s="226"/>
      <c r="J57" s="226"/>
      <c r="K57" s="226"/>
      <c r="L57" s="226"/>
      <c r="M57" s="226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26"/>
      <c r="J58" s="226"/>
      <c r="K58" s="226"/>
      <c r="L58" s="226"/>
      <c r="M58" s="226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26"/>
      <c r="J59" s="226"/>
      <c r="K59" s="226"/>
      <c r="L59" s="226"/>
      <c r="M59" s="226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26"/>
      <c r="J60" s="226"/>
      <c r="K60" s="226"/>
      <c r="L60" s="226"/>
      <c r="M60" s="226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26"/>
      <c r="J61" s="226"/>
      <c r="K61" s="226"/>
      <c r="L61" s="226"/>
      <c r="M61" s="226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26"/>
      <c r="J62" s="226"/>
      <c r="K62" s="226"/>
      <c r="L62" s="226"/>
      <c r="M62" s="226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26"/>
      <c r="J63" s="226"/>
      <c r="K63" s="226"/>
      <c r="L63" s="226"/>
      <c r="M63" s="226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26"/>
      <c r="J64" s="226"/>
      <c r="K64" s="226"/>
      <c r="L64" s="226"/>
      <c r="M64" s="226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26"/>
      <c r="J65" s="226"/>
      <c r="K65" s="226"/>
      <c r="L65" s="226"/>
      <c r="M65" s="226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26"/>
      <c r="J66" s="226"/>
      <c r="K66" s="226"/>
      <c r="L66" s="226"/>
      <c r="M66" s="226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26"/>
      <c r="J67" s="226"/>
      <c r="K67" s="226"/>
      <c r="L67" s="226"/>
      <c r="M67" s="226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26"/>
      <c r="J68" s="226"/>
      <c r="K68" s="226"/>
      <c r="L68" s="226"/>
      <c r="M68" s="226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26"/>
      <c r="J69" s="226"/>
      <c r="K69" s="226"/>
      <c r="L69" s="226"/>
      <c r="M69" s="226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26"/>
      <c r="J70" s="226"/>
      <c r="K70" s="226"/>
      <c r="L70" s="226"/>
      <c r="M70" s="226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26"/>
      <c r="J71" s="226"/>
      <c r="K71" s="226"/>
      <c r="L71" s="226"/>
      <c r="M71" s="226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26"/>
      <c r="J72" s="226"/>
      <c r="K72" s="226"/>
      <c r="L72" s="226"/>
      <c r="M72" s="226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26"/>
      <c r="J73" s="226"/>
      <c r="K73" s="226"/>
      <c r="L73" s="226"/>
      <c r="M73" s="226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26"/>
      <c r="J74" s="226"/>
      <c r="K74" s="226"/>
      <c r="L74" s="226"/>
      <c r="M74" s="226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26"/>
      <c r="J75" s="226"/>
      <c r="K75" s="226"/>
      <c r="L75" s="226"/>
      <c r="M75" s="226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5" t="str">
        <f>A9</f>
        <v>Châtaignier</v>
      </c>
      <c r="B76" s="5"/>
      <c r="C76" s="5"/>
      <c r="D76" s="5"/>
      <c r="E76" s="5"/>
      <c r="F76" s="5"/>
      <c r="G76" s="5"/>
      <c r="H76" s="5"/>
      <c r="I76" s="226"/>
      <c r="J76" s="226"/>
      <c r="K76" s="226"/>
      <c r="L76" s="226"/>
      <c r="M76" s="226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26"/>
      <c r="J77" s="226"/>
      <c r="K77" s="226"/>
      <c r="L77" s="226"/>
      <c r="M77" s="226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26"/>
      <c r="J78" s="226"/>
      <c r="K78" s="226"/>
      <c r="L78" s="226"/>
      <c r="M78" s="226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26"/>
      <c r="J79" s="226"/>
      <c r="K79" s="226"/>
      <c r="L79" s="226"/>
      <c r="M79" s="226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26"/>
      <c r="J80" s="226"/>
      <c r="K80" s="226"/>
      <c r="L80" s="226"/>
      <c r="M80" s="226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26"/>
      <c r="J81" s="226"/>
      <c r="K81" s="226"/>
      <c r="L81" s="226"/>
      <c r="M81" s="226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26"/>
      <c r="J82" s="226"/>
      <c r="K82" s="226"/>
      <c r="L82" s="226"/>
      <c r="M82" s="226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26"/>
      <c r="J83" s="226"/>
      <c r="K83" s="226"/>
      <c r="L83" s="226"/>
      <c r="M83" s="226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26"/>
      <c r="J84" s="226"/>
      <c r="K84" s="226"/>
      <c r="L84" s="226"/>
      <c r="M84" s="226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26"/>
      <c r="J85" s="226"/>
      <c r="K85" s="226"/>
      <c r="L85" s="226"/>
      <c r="M85" s="226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26"/>
      <c r="J86" s="226"/>
      <c r="K86" s="226"/>
      <c r="L86" s="226"/>
      <c r="M86" s="226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26"/>
      <c r="J87" s="226"/>
      <c r="K87" s="226"/>
      <c r="L87" s="226"/>
      <c r="M87" s="226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26"/>
      <c r="J88" s="226"/>
      <c r="K88" s="226"/>
      <c r="L88" s="226"/>
      <c r="M88" s="226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26"/>
      <c r="J89" s="226"/>
      <c r="K89" s="226"/>
      <c r="L89" s="226"/>
      <c r="M89" s="226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26"/>
      <c r="J90" s="226"/>
      <c r="K90" s="226"/>
      <c r="L90" s="226"/>
      <c r="M90" s="226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26"/>
      <c r="J91" s="226"/>
      <c r="K91" s="226"/>
      <c r="L91" s="226"/>
      <c r="M91" s="226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26"/>
      <c r="J92" s="226"/>
      <c r="K92" s="226"/>
      <c r="L92" s="226"/>
      <c r="M92" s="226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26"/>
      <c r="J93" s="226"/>
      <c r="K93" s="226"/>
      <c r="L93" s="226"/>
      <c r="M93" s="226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5" t="str">
        <f>A10</f>
        <v>Bouleau verruqueux</v>
      </c>
      <c r="B94" s="5"/>
      <c r="C94" s="5"/>
      <c r="D94" s="5"/>
      <c r="E94" s="5"/>
      <c r="F94" s="5"/>
      <c r="G94" s="5"/>
      <c r="H94" s="5"/>
      <c r="I94" s="226"/>
      <c r="J94" s="226"/>
      <c r="K94" s="226"/>
      <c r="L94" s="226"/>
      <c r="M94" s="226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26"/>
      <c r="J95" s="226"/>
      <c r="K95" s="226"/>
      <c r="L95" s="226"/>
      <c r="M95" s="226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26"/>
      <c r="J96" s="226"/>
      <c r="K96" s="226"/>
      <c r="L96" s="226"/>
      <c r="M96" s="226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26"/>
      <c r="J97" s="226"/>
      <c r="K97" s="226"/>
      <c r="L97" s="226"/>
      <c r="M97" s="226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26"/>
      <c r="J98" s="226"/>
      <c r="K98" s="226"/>
      <c r="L98" s="226"/>
      <c r="M98" s="226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26"/>
      <c r="J99" s="226"/>
      <c r="K99" s="226"/>
      <c r="L99" s="226"/>
      <c r="M99" s="226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26"/>
      <c r="J100" s="226"/>
      <c r="K100" s="226"/>
      <c r="L100" s="226"/>
      <c r="M100" s="226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26"/>
      <c r="J101" s="226"/>
      <c r="K101" s="226"/>
      <c r="L101" s="226"/>
      <c r="M101" s="226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26"/>
      <c r="J102" s="226"/>
      <c r="K102" s="226"/>
      <c r="L102" s="226"/>
      <c r="M102" s="226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26"/>
      <c r="J103" s="226"/>
      <c r="K103" s="226"/>
      <c r="L103" s="226"/>
      <c r="M103" s="226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26"/>
      <c r="J104" s="226"/>
      <c r="K104" s="226"/>
      <c r="L104" s="226"/>
      <c r="M104" s="226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26"/>
      <c r="J105" s="226"/>
      <c r="K105" s="226"/>
      <c r="L105" s="226"/>
      <c r="M105" s="226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26"/>
      <c r="J106" s="226"/>
      <c r="K106" s="226"/>
      <c r="L106" s="226"/>
      <c r="M106" s="226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26"/>
      <c r="J107" s="226"/>
      <c r="K107" s="226"/>
      <c r="L107" s="226"/>
      <c r="M107" s="226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26"/>
      <c r="J108" s="226"/>
      <c r="K108" s="226"/>
      <c r="L108" s="226"/>
      <c r="M108" s="226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26"/>
      <c r="J109" s="226"/>
      <c r="K109" s="226"/>
      <c r="L109" s="226"/>
      <c r="M109" s="226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26"/>
      <c r="J110" s="226"/>
      <c r="K110" s="226"/>
      <c r="L110" s="226"/>
      <c r="M110" s="226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26"/>
      <c r="J111" s="226"/>
      <c r="K111" s="226"/>
      <c r="L111" s="226"/>
      <c r="M111" s="226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5" t="str">
        <f>A11</f>
        <v>Chêne pédonculé</v>
      </c>
      <c r="B112" s="5"/>
      <c r="C112" s="5"/>
      <c r="D112" s="5"/>
      <c r="E112" s="5"/>
      <c r="F112" s="5"/>
      <c r="G112" s="5"/>
      <c r="H112" s="5"/>
      <c r="I112" s="226"/>
      <c r="J112" s="226"/>
      <c r="K112" s="226"/>
      <c r="L112" s="226"/>
      <c r="M112" s="226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26"/>
      <c r="J113" s="226"/>
      <c r="K113" s="226"/>
      <c r="L113" s="226"/>
      <c r="M113" s="226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26"/>
      <c r="J114" s="226"/>
      <c r="K114" s="226"/>
      <c r="L114" s="226"/>
      <c r="M114" s="226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26"/>
      <c r="J115" s="226"/>
      <c r="K115" s="226"/>
      <c r="L115" s="226"/>
      <c r="M115" s="226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26"/>
      <c r="J116" s="226"/>
      <c r="K116" s="226"/>
      <c r="L116" s="226"/>
      <c r="M116" s="226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26"/>
      <c r="J117" s="226"/>
      <c r="K117" s="226"/>
      <c r="L117" s="226"/>
      <c r="M117" s="226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26"/>
      <c r="J118" s="226"/>
      <c r="K118" s="226"/>
      <c r="L118" s="226"/>
      <c r="M118" s="226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26"/>
      <c r="J119" s="226"/>
      <c r="K119" s="226"/>
      <c r="L119" s="226"/>
      <c r="M119" s="226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26"/>
      <c r="J120" s="226"/>
      <c r="K120" s="226"/>
      <c r="L120" s="226"/>
      <c r="M120" s="226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26"/>
      <c r="J121" s="226"/>
      <c r="K121" s="226"/>
      <c r="L121" s="226"/>
      <c r="M121" s="226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26"/>
      <c r="J122" s="226"/>
      <c r="K122" s="226"/>
      <c r="L122" s="226"/>
      <c r="M122" s="226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26"/>
      <c r="J123" s="226"/>
      <c r="K123" s="226"/>
      <c r="L123" s="226"/>
      <c r="M123" s="226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26"/>
      <c r="J124" s="226"/>
      <c r="K124" s="226"/>
      <c r="L124" s="226"/>
      <c r="M124" s="226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26"/>
      <c r="J125" s="226"/>
      <c r="K125" s="226"/>
      <c r="L125" s="226"/>
      <c r="M125" s="226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26"/>
      <c r="J126" s="226"/>
      <c r="K126" s="226"/>
      <c r="L126" s="226"/>
      <c r="M126" s="226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26"/>
      <c r="J127" s="226"/>
      <c r="K127" s="226"/>
      <c r="L127" s="226"/>
      <c r="M127" s="226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26"/>
      <c r="J128" s="226"/>
      <c r="K128" s="226"/>
      <c r="L128" s="226"/>
      <c r="M128" s="226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26"/>
      <c r="J129" s="226"/>
      <c r="K129" s="226"/>
      <c r="L129" s="226"/>
      <c r="M129" s="226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5" t="str">
        <f>A12</f>
        <v>Chêne sessile</v>
      </c>
      <c r="B130" s="5"/>
      <c r="C130" s="5"/>
      <c r="D130" s="5"/>
      <c r="E130" s="5"/>
      <c r="F130" s="5"/>
      <c r="G130" s="5"/>
      <c r="H130" s="5"/>
      <c r="I130" s="226"/>
      <c r="J130" s="226"/>
      <c r="K130" s="226"/>
      <c r="L130" s="226"/>
      <c r="M130" s="226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26"/>
      <c r="J131" s="226"/>
      <c r="K131" s="226"/>
      <c r="L131" s="226"/>
      <c r="M131" s="226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26"/>
      <c r="J132" s="226"/>
      <c r="K132" s="226"/>
      <c r="L132" s="226"/>
      <c r="M132" s="226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26"/>
      <c r="J133" s="226"/>
      <c r="K133" s="226"/>
      <c r="L133" s="226"/>
      <c r="M133" s="226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26"/>
      <c r="J134" s="226"/>
      <c r="K134" s="226"/>
      <c r="L134" s="226"/>
      <c r="M134" s="226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26"/>
      <c r="J135" s="226"/>
      <c r="K135" s="226"/>
      <c r="L135" s="226"/>
      <c r="M135" s="226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26"/>
      <c r="J136" s="226"/>
      <c r="K136" s="226"/>
      <c r="L136" s="226"/>
      <c r="M136" s="226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26"/>
      <c r="J137" s="226"/>
      <c r="K137" s="226"/>
      <c r="L137" s="226"/>
      <c r="M137" s="226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26"/>
      <c r="J138" s="226"/>
      <c r="K138" s="226"/>
      <c r="L138" s="226"/>
      <c r="M138" s="226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26"/>
      <c r="J139" s="226"/>
      <c r="K139" s="226"/>
      <c r="L139" s="226"/>
      <c r="M139" s="226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26"/>
      <c r="J140" s="226"/>
      <c r="K140" s="226"/>
      <c r="L140" s="226"/>
      <c r="M140" s="226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26"/>
      <c r="J141" s="226"/>
      <c r="K141" s="226"/>
      <c r="L141" s="226"/>
      <c r="M141" s="226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26"/>
      <c r="J142" s="226"/>
      <c r="K142" s="226"/>
      <c r="L142" s="226"/>
      <c r="M142" s="226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26"/>
      <c r="J143" s="226"/>
      <c r="K143" s="226"/>
      <c r="L143" s="226"/>
      <c r="M143" s="226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26"/>
      <c r="J144" s="226"/>
      <c r="K144" s="226"/>
      <c r="L144" s="226"/>
      <c r="M144" s="226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26"/>
      <c r="J145" s="226"/>
      <c r="K145" s="226"/>
      <c r="L145" s="226"/>
      <c r="M145" s="226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26"/>
      <c r="J146" s="226"/>
      <c r="K146" s="226"/>
      <c r="L146" s="226"/>
      <c r="M146" s="226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26"/>
      <c r="J147" s="226"/>
      <c r="K147" s="226"/>
      <c r="L147" s="226"/>
      <c r="M147" s="226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5" t="str">
        <f>A13</f>
        <v>Chêne pubescent</v>
      </c>
      <c r="B148" s="5"/>
      <c r="C148" s="5"/>
      <c r="D148" s="5"/>
      <c r="E148" s="5"/>
      <c r="F148" s="5"/>
      <c r="G148" s="5"/>
      <c r="H148" s="5"/>
      <c r="I148" s="226"/>
      <c r="J148" s="226"/>
      <c r="K148" s="226"/>
      <c r="L148" s="226"/>
      <c r="M148" s="226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26"/>
      <c r="J149" s="226"/>
      <c r="K149" s="226"/>
      <c r="L149" s="226"/>
      <c r="M149" s="226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26"/>
      <c r="J150" s="226"/>
      <c r="K150" s="226"/>
      <c r="L150" s="226"/>
      <c r="M150" s="226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26"/>
      <c r="J151" s="226"/>
      <c r="K151" s="226"/>
      <c r="L151" s="226"/>
      <c r="M151" s="226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26"/>
      <c r="J152" s="226"/>
      <c r="K152" s="226"/>
      <c r="L152" s="226"/>
      <c r="M152" s="226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26"/>
      <c r="J153" s="226"/>
      <c r="K153" s="226"/>
      <c r="L153" s="226"/>
      <c r="M153" s="226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26"/>
      <c r="J154" s="226"/>
      <c r="K154" s="226"/>
      <c r="L154" s="226"/>
      <c r="M154" s="226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26"/>
      <c r="J155" s="226"/>
      <c r="K155" s="226"/>
      <c r="L155" s="226"/>
      <c r="M155" s="226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26"/>
      <c r="J156" s="226"/>
      <c r="K156" s="226"/>
      <c r="L156" s="226"/>
      <c r="M156" s="226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26"/>
      <c r="J157" s="226"/>
      <c r="K157" s="226"/>
      <c r="L157" s="226"/>
      <c r="M157" s="226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26"/>
      <c r="J158" s="226"/>
      <c r="K158" s="226"/>
      <c r="L158" s="226"/>
      <c r="M158" s="226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26"/>
      <c r="J159" s="226"/>
      <c r="K159" s="226"/>
      <c r="L159" s="226"/>
      <c r="M159" s="226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26"/>
      <c r="J160" s="226"/>
      <c r="K160" s="226"/>
      <c r="L160" s="226"/>
      <c r="M160" s="226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26"/>
      <c r="J161" s="226"/>
      <c r="K161" s="226"/>
      <c r="L161" s="226"/>
      <c r="M161" s="226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26"/>
      <c r="J162" s="226"/>
      <c r="K162" s="226"/>
      <c r="L162" s="226"/>
      <c r="M162" s="226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26"/>
      <c r="J163" s="226"/>
      <c r="K163" s="226"/>
      <c r="L163" s="226"/>
      <c r="M163" s="226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26"/>
      <c r="J164" s="226"/>
      <c r="K164" s="226"/>
      <c r="L164" s="226"/>
      <c r="M164" s="226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26"/>
      <c r="J165" s="226"/>
      <c r="K165" s="226"/>
      <c r="L165" s="226"/>
      <c r="M165" s="226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5" t="str">
        <f>A14</f>
        <v>Tilleul</v>
      </c>
      <c r="B166" s="5"/>
      <c r="C166" s="5"/>
      <c r="D166" s="5"/>
      <c r="E166" s="5"/>
      <c r="F166" s="5"/>
      <c r="G166" s="5"/>
      <c r="H166" s="5"/>
      <c r="I166" s="226"/>
      <c r="J166" s="226"/>
      <c r="K166" s="226"/>
      <c r="L166" s="226"/>
      <c r="M166" s="226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26"/>
      <c r="J167" s="226"/>
      <c r="K167" s="226"/>
      <c r="L167" s="226"/>
      <c r="M167" s="226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26"/>
      <c r="J168" s="226"/>
      <c r="K168" s="226"/>
      <c r="L168" s="226"/>
      <c r="M168" s="226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26"/>
      <c r="J169" s="226"/>
      <c r="K169" s="226"/>
      <c r="L169" s="226"/>
      <c r="M169" s="226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26"/>
      <c r="J170" s="226"/>
      <c r="K170" s="226"/>
      <c r="L170" s="226"/>
      <c r="M170" s="226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26"/>
      <c r="J171" s="226"/>
      <c r="K171" s="226"/>
      <c r="L171" s="226"/>
      <c r="M171" s="226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26"/>
      <c r="J172" s="226"/>
      <c r="K172" s="226"/>
      <c r="L172" s="226"/>
      <c r="M172" s="226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26"/>
      <c r="J173" s="226"/>
      <c r="K173" s="226"/>
      <c r="L173" s="226"/>
      <c r="M173" s="226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26"/>
      <c r="J174" s="226"/>
      <c r="K174" s="226"/>
      <c r="L174" s="226"/>
      <c r="M174" s="226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26"/>
      <c r="J175" s="226"/>
      <c r="K175" s="226"/>
      <c r="L175" s="226"/>
      <c r="M175" s="226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26"/>
      <c r="J176" s="226"/>
      <c r="K176" s="226"/>
      <c r="L176" s="226"/>
      <c r="M176" s="226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26"/>
      <c r="J177" s="226"/>
      <c r="K177" s="226"/>
      <c r="L177" s="226"/>
      <c r="M177" s="226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26"/>
      <c r="J178" s="226"/>
      <c r="K178" s="226"/>
      <c r="L178" s="226"/>
      <c r="M178" s="226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26"/>
      <c r="J179" s="226"/>
      <c r="K179" s="226"/>
      <c r="L179" s="226"/>
      <c r="M179" s="226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26"/>
      <c r="J180" s="226"/>
      <c r="K180" s="226"/>
      <c r="L180" s="226"/>
      <c r="M180" s="226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26"/>
      <c r="J181" s="226"/>
      <c r="K181" s="226"/>
      <c r="L181" s="226"/>
      <c r="M181" s="226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26"/>
      <c r="J182" s="226"/>
      <c r="K182" s="226"/>
      <c r="L182" s="226"/>
      <c r="M182" s="226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26"/>
      <c r="J183" s="226"/>
      <c r="K183" s="226"/>
      <c r="L183" s="226"/>
      <c r="M183" s="226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5" t="str">
        <f>A15</f>
        <v>Charme</v>
      </c>
      <c r="B184" s="5"/>
      <c r="C184" s="5"/>
      <c r="D184" s="5"/>
      <c r="E184" s="5"/>
      <c r="F184" s="5"/>
      <c r="G184" s="5"/>
      <c r="H184" s="5"/>
      <c r="I184" s="226"/>
      <c r="J184" s="226"/>
      <c r="K184" s="226"/>
      <c r="L184" s="226"/>
      <c r="M184" s="226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26"/>
      <c r="J185" s="226"/>
      <c r="K185" s="226"/>
      <c r="L185" s="226"/>
      <c r="M185" s="226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26"/>
      <c r="J186" s="226"/>
      <c r="K186" s="226"/>
      <c r="L186" s="226"/>
      <c r="M186" s="226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26"/>
      <c r="J187" s="226"/>
      <c r="K187" s="226"/>
      <c r="L187" s="226"/>
      <c r="M187" s="226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26"/>
      <c r="J188" s="226"/>
      <c r="K188" s="226"/>
      <c r="L188" s="226"/>
      <c r="M188" s="226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26"/>
      <c r="J189" s="226"/>
      <c r="K189" s="226"/>
      <c r="L189" s="226"/>
      <c r="M189" s="226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26"/>
      <c r="J190" s="226"/>
      <c r="K190" s="226"/>
      <c r="L190" s="226"/>
      <c r="M190" s="226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26"/>
      <c r="J191" s="226"/>
      <c r="K191" s="226"/>
      <c r="L191" s="226"/>
      <c r="M191" s="226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26"/>
      <c r="J192" s="226"/>
      <c r="K192" s="226"/>
      <c r="L192" s="226"/>
      <c r="M192" s="226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26"/>
      <c r="J193" s="226"/>
      <c r="K193" s="226"/>
      <c r="L193" s="226"/>
      <c r="M193" s="226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26"/>
      <c r="J194" s="226"/>
      <c r="K194" s="226"/>
      <c r="L194" s="226"/>
      <c r="M194" s="226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26"/>
      <c r="J195" s="226"/>
      <c r="K195" s="226"/>
      <c r="L195" s="226"/>
      <c r="M195" s="226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26"/>
      <c r="J196" s="226"/>
      <c r="K196" s="226"/>
      <c r="L196" s="226"/>
      <c r="M196" s="226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26"/>
      <c r="J197" s="226"/>
      <c r="K197" s="226"/>
      <c r="L197" s="226"/>
      <c r="M197" s="226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26"/>
      <c r="J198" s="226"/>
      <c r="K198" s="226"/>
      <c r="L198" s="226"/>
      <c r="M198" s="226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26"/>
      <c r="J199" s="226"/>
      <c r="K199" s="226"/>
      <c r="L199" s="226"/>
      <c r="M199" s="226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26"/>
      <c r="J200" s="226"/>
      <c r="K200" s="226"/>
      <c r="L200" s="226"/>
      <c r="M200" s="226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26"/>
      <c r="J201" s="226"/>
      <c r="K201" s="226"/>
      <c r="L201" s="226"/>
      <c r="M201" s="226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26"/>
      <c r="J202" s="226"/>
      <c r="K202" s="226"/>
      <c r="L202" s="226"/>
      <c r="M202" s="226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68"/>
      <c r="J203" s="68"/>
      <c r="K203" s="68"/>
      <c r="L203" s="68"/>
      <c r="M203" s="226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68"/>
      <c r="J204" s="68"/>
      <c r="K204" s="68"/>
      <c r="L204" s="68"/>
      <c r="M204" s="68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68"/>
      <c r="J205" s="68"/>
      <c r="K205" s="68"/>
      <c r="L205" s="68"/>
      <c r="M205" s="68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68"/>
      <c r="J206" s="68"/>
      <c r="K206" s="68"/>
      <c r="L206" s="68"/>
      <c r="M206" s="68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68"/>
      <c r="J207" s="68"/>
      <c r="K207" s="68"/>
      <c r="L207" s="68"/>
      <c r="M207" s="68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68"/>
      <c r="J208" s="68"/>
      <c r="K208" s="68"/>
      <c r="L208" s="68"/>
      <c r="M208" s="68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68"/>
      <c r="J209" s="68"/>
      <c r="K209" s="68"/>
      <c r="L209" s="68"/>
      <c r="M209" s="68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68"/>
      <c r="J210" s="68"/>
      <c r="K210" s="68"/>
      <c r="L210" s="68"/>
      <c r="M210" s="68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68"/>
      <c r="J211" s="68"/>
      <c r="K211" s="68"/>
      <c r="L211" s="68"/>
      <c r="M211" s="68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68"/>
      <c r="J212" s="68"/>
      <c r="K212" s="68"/>
      <c r="L212" s="68"/>
      <c r="M212" s="68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68"/>
      <c r="J213" s="68"/>
      <c r="K213" s="68"/>
      <c r="L213" s="68"/>
      <c r="M213" s="68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68"/>
      <c r="J214" s="68"/>
      <c r="K214" s="68"/>
      <c r="L214" s="68"/>
      <c r="M214" s="68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68"/>
      <c r="J215" s="68"/>
      <c r="K215" s="68"/>
      <c r="L215" s="68"/>
      <c r="M215" s="68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68"/>
      <c r="J216" s="68"/>
      <c r="K216" s="68"/>
      <c r="L216" s="68"/>
      <c r="M216" s="68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68"/>
      <c r="J217" s="68"/>
      <c r="K217" s="68"/>
      <c r="L217" s="68"/>
      <c r="M217" s="68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68"/>
      <c r="J218" s="68"/>
      <c r="K218" s="68"/>
      <c r="L218" s="68"/>
      <c r="M218" s="68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68"/>
      <c r="J219" s="68"/>
      <c r="K219" s="68"/>
      <c r="L219" s="68"/>
      <c r="M219" s="68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68"/>
      <c r="J220" s="68"/>
      <c r="K220" s="68"/>
      <c r="L220" s="68"/>
      <c r="M220" s="68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68"/>
      <c r="J221" s="68"/>
      <c r="K221" s="68"/>
      <c r="L221" s="68"/>
      <c r="M221" s="68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68"/>
      <c r="J222" s="68"/>
      <c r="K222" s="68"/>
      <c r="L222" s="68"/>
      <c r="M222" s="68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68"/>
      <c r="J223" s="68"/>
      <c r="K223" s="68"/>
      <c r="L223" s="68"/>
      <c r="M223" s="68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68"/>
      <c r="J224" s="68"/>
      <c r="K224" s="68"/>
      <c r="L224" s="68"/>
      <c r="M224" s="68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68"/>
      <c r="J225" s="68"/>
      <c r="K225" s="68"/>
      <c r="L225" s="68"/>
      <c r="M225" s="68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68"/>
      <c r="J226" s="68"/>
      <c r="K226" s="68"/>
      <c r="L226" s="68"/>
      <c r="M226" s="68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68"/>
      <c r="J227" s="68"/>
      <c r="K227" s="68"/>
      <c r="L227" s="68"/>
      <c r="M227" s="68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68"/>
      <c r="J228" s="68"/>
      <c r="K228" s="68"/>
      <c r="L228" s="68"/>
      <c r="M228" s="68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68"/>
      <c r="J229" s="68"/>
      <c r="K229" s="68"/>
      <c r="L229" s="68"/>
      <c r="M229" s="68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68"/>
      <c r="J230" s="68"/>
      <c r="K230" s="68"/>
      <c r="L230" s="68"/>
      <c r="M230" s="68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68"/>
      <c r="J231" s="68"/>
      <c r="K231" s="68"/>
      <c r="L231" s="68"/>
      <c r="M231" s="68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68"/>
      <c r="J232" s="68"/>
      <c r="K232" s="68"/>
      <c r="L232" s="68"/>
      <c r="M232" s="68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68"/>
      <c r="J233" s="68"/>
      <c r="K233" s="68"/>
      <c r="L233" s="68"/>
      <c r="M233" s="68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68"/>
      <c r="J234" s="68"/>
      <c r="K234" s="68"/>
      <c r="L234" s="68"/>
      <c r="M234" s="68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68"/>
      <c r="J235" s="68"/>
      <c r="K235" s="68"/>
      <c r="L235" s="68"/>
      <c r="M235" s="68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68"/>
      <c r="J236" s="68"/>
      <c r="K236" s="68"/>
      <c r="L236" s="68"/>
      <c r="M236" s="68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68"/>
      <c r="J237" s="68"/>
      <c r="K237" s="68"/>
      <c r="L237" s="68"/>
      <c r="M237" s="68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68"/>
      <c r="J238" s="68"/>
      <c r="K238" s="68"/>
      <c r="L238" s="68"/>
      <c r="M238" s="68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68"/>
      <c r="J239" s="68"/>
      <c r="K239" s="68"/>
      <c r="L239" s="68"/>
      <c r="M239" s="68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68"/>
      <c r="J240" s="68"/>
      <c r="K240" s="68"/>
      <c r="L240" s="68"/>
      <c r="M240" s="68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68"/>
      <c r="J241" s="68"/>
      <c r="K241" s="68"/>
      <c r="L241" s="68"/>
      <c r="M241" s="68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68"/>
      <c r="J242" s="68"/>
      <c r="K242" s="68"/>
      <c r="L242" s="68"/>
      <c r="M242" s="68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68"/>
      <c r="J243" s="68"/>
      <c r="K243" s="68"/>
      <c r="L243" s="68"/>
      <c r="M243" s="68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68"/>
      <c r="J244" s="68"/>
      <c r="K244" s="68"/>
      <c r="L244" s="68"/>
      <c r="M244" s="68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68"/>
      <c r="J245" s="68"/>
      <c r="K245" s="68"/>
      <c r="L245" s="68"/>
      <c r="M245" s="68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68"/>
      <c r="J246" s="68"/>
      <c r="K246" s="68"/>
      <c r="L246" s="68"/>
      <c r="M246" s="68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68"/>
      <c r="J247" s="68"/>
      <c r="K247" s="68"/>
      <c r="L247" s="68"/>
      <c r="M247" s="68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68"/>
      <c r="J248" s="68"/>
      <c r="K248" s="68"/>
      <c r="L248" s="68"/>
      <c r="M248" s="68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68"/>
      <c r="J249" s="68"/>
      <c r="K249" s="68"/>
      <c r="L249" s="68"/>
      <c r="M249" s="68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68"/>
      <c r="J250" s="68"/>
      <c r="K250" s="68"/>
      <c r="L250" s="68"/>
      <c r="M250" s="68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68"/>
      <c r="J251" s="68"/>
      <c r="K251" s="68"/>
      <c r="L251" s="68"/>
      <c r="M251" s="68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68"/>
      <c r="J252" s="68"/>
      <c r="K252" s="68"/>
      <c r="L252" s="68"/>
      <c r="M252" s="68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68"/>
      <c r="J253" s="68"/>
      <c r="K253" s="68"/>
      <c r="L253" s="68"/>
      <c r="M253" s="68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68"/>
      <c r="J254" s="68"/>
      <c r="K254" s="68"/>
      <c r="L254" s="68"/>
      <c r="M254" s="68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68"/>
      <c r="J255" s="68"/>
      <c r="K255" s="68"/>
      <c r="L255" s="68"/>
      <c r="M255" s="68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68"/>
      <c r="J256" s="68"/>
      <c r="K256" s="68"/>
      <c r="L256" s="68"/>
      <c r="M256" s="68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68"/>
      <c r="J257" s="68"/>
      <c r="K257" s="68"/>
      <c r="L257" s="68"/>
      <c r="M257" s="68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68"/>
      <c r="J258" s="68"/>
      <c r="K258" s="68"/>
      <c r="L258" s="68"/>
      <c r="M258" s="68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68"/>
      <c r="J259" s="68"/>
      <c r="K259" s="68"/>
      <c r="L259" s="68"/>
      <c r="M259" s="68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68"/>
      <c r="J260" s="68"/>
      <c r="K260" s="68"/>
      <c r="L260" s="68"/>
      <c r="M260" s="68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68"/>
      <c r="J261" s="68"/>
      <c r="K261" s="68"/>
      <c r="L261" s="68"/>
      <c r="M261" s="68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68"/>
      <c r="J262" s="68"/>
      <c r="K262" s="68"/>
      <c r="L262" s="68"/>
      <c r="M262" s="68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68"/>
      <c r="J263" s="68"/>
      <c r="K263" s="68"/>
      <c r="L263" s="68"/>
      <c r="M263" s="68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68"/>
      <c r="J264" s="68"/>
      <c r="K264" s="68"/>
      <c r="L264" s="68"/>
      <c r="M264" s="68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68"/>
      <c r="J265" s="68"/>
      <c r="K265" s="68"/>
      <c r="L265" s="68"/>
      <c r="M265" s="68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68"/>
      <c r="J266" s="68"/>
      <c r="K266" s="68"/>
      <c r="L266" s="68"/>
      <c r="M266" s="68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68"/>
      <c r="J267" s="68"/>
      <c r="K267" s="68"/>
      <c r="L267" s="68"/>
      <c r="M267" s="68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68"/>
      <c r="J268" s="68"/>
      <c r="K268" s="68"/>
      <c r="L268" s="68"/>
      <c r="M268" s="68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68"/>
      <c r="J269" s="68"/>
      <c r="K269" s="68"/>
      <c r="L269" s="68"/>
      <c r="M269" s="68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68"/>
      <c r="J270" s="68"/>
      <c r="K270" s="68"/>
      <c r="L270" s="68"/>
      <c r="M270" s="68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68"/>
      <c r="J271" s="68"/>
      <c r="K271" s="68"/>
      <c r="L271" s="68"/>
      <c r="M271" s="68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68"/>
      <c r="J272" s="68"/>
      <c r="K272" s="68"/>
      <c r="L272" s="68"/>
      <c r="M272" s="68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68"/>
      <c r="J273" s="68"/>
      <c r="K273" s="68"/>
      <c r="L273" s="68"/>
      <c r="M273" s="68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68"/>
      <c r="J274" s="68"/>
      <c r="K274" s="68"/>
      <c r="L274" s="68"/>
      <c r="M274" s="68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68"/>
      <c r="J275" s="68"/>
      <c r="K275" s="68"/>
      <c r="L275" s="68"/>
      <c r="M275" s="68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68"/>
      <c r="J276" s="68"/>
      <c r="K276" s="68"/>
      <c r="L276" s="68"/>
      <c r="M276" s="68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68"/>
      <c r="J277" s="68"/>
      <c r="K277" s="68"/>
      <c r="L277" s="68"/>
      <c r="M277" s="68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68"/>
      <c r="J278" s="68"/>
      <c r="K278" s="68"/>
      <c r="L278" s="68"/>
      <c r="M278" s="68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68"/>
      <c r="J279" s="68"/>
      <c r="K279" s="68"/>
      <c r="L279" s="68"/>
      <c r="M279" s="68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68"/>
      <c r="J280" s="68"/>
      <c r="K280" s="68"/>
      <c r="L280" s="68"/>
      <c r="M280" s="68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68"/>
      <c r="J281" s="68"/>
      <c r="K281" s="68"/>
      <c r="L281" s="68"/>
      <c r="M281" s="68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68"/>
      <c r="J282" s="68"/>
      <c r="K282" s="68"/>
      <c r="L282" s="68"/>
      <c r="M282" s="68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68"/>
      <c r="J283" s="68"/>
      <c r="K283" s="68"/>
      <c r="L283" s="68"/>
      <c r="M283" s="68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68"/>
      <c r="J284" s="68"/>
      <c r="K284" s="68"/>
      <c r="L284" s="68"/>
      <c r="M284" s="68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68"/>
      <c r="J285" s="68"/>
      <c r="K285" s="68"/>
      <c r="L285" s="68"/>
      <c r="M285" s="68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68"/>
      <c r="J286" s="68"/>
      <c r="K286" s="68"/>
      <c r="L286" s="68"/>
      <c r="M286" s="68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68"/>
      <c r="J287" s="68"/>
      <c r="K287" s="68"/>
      <c r="L287" s="68"/>
      <c r="M287" s="68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68"/>
      <c r="J288" s="68"/>
      <c r="K288" s="68"/>
      <c r="L288" s="68"/>
      <c r="M288" s="68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68"/>
      <c r="J289" s="68"/>
      <c r="K289" s="68"/>
      <c r="L289" s="68"/>
      <c r="M289" s="68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68"/>
      <c r="J290" s="68"/>
      <c r="K290" s="68"/>
      <c r="L290" s="68"/>
      <c r="M290" s="68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68"/>
      <c r="J291" s="68"/>
      <c r="K291" s="68"/>
      <c r="L291" s="68"/>
      <c r="M291" s="68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68"/>
      <c r="J292" s="68"/>
      <c r="K292" s="68"/>
      <c r="L292" s="68"/>
      <c r="M292" s="68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68"/>
      <c r="J293" s="68"/>
      <c r="K293" s="68"/>
      <c r="L293" s="68"/>
      <c r="M293" s="68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68"/>
      <c r="J294" s="68"/>
      <c r="K294" s="68"/>
      <c r="L294" s="68"/>
      <c r="M294" s="68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68"/>
      <c r="J295" s="68"/>
      <c r="K295" s="68"/>
      <c r="L295" s="68"/>
      <c r="M295" s="68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68"/>
      <c r="J296" s="68"/>
      <c r="K296" s="68"/>
      <c r="L296" s="68"/>
      <c r="M296" s="68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68"/>
      <c r="J297" s="68"/>
      <c r="K297" s="68"/>
      <c r="L297" s="68"/>
      <c r="M297" s="68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68"/>
      <c r="J298" s="68"/>
      <c r="K298" s="68"/>
      <c r="L298" s="68"/>
      <c r="M298" s="68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68"/>
      <c r="J299" s="68"/>
      <c r="K299" s="68"/>
      <c r="L299" s="68"/>
      <c r="M299" s="68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68"/>
      <c r="J300" s="68"/>
      <c r="K300" s="68"/>
      <c r="L300" s="68"/>
      <c r="M300" s="68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68"/>
      <c r="J301" s="68"/>
      <c r="K301" s="68"/>
      <c r="L301" s="68"/>
      <c r="M301" s="68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68"/>
      <c r="J302" s="68"/>
      <c r="K302" s="68"/>
      <c r="L302" s="68"/>
      <c r="M302" s="68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68"/>
      <c r="J303" s="68"/>
      <c r="K303" s="68"/>
      <c r="L303" s="68"/>
      <c r="M303" s="68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68"/>
      <c r="J304" s="68"/>
      <c r="K304" s="68"/>
      <c r="L304" s="68"/>
      <c r="M304" s="68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68"/>
      <c r="J305" s="68"/>
      <c r="K305" s="68"/>
      <c r="L305" s="68"/>
      <c r="M305" s="68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68"/>
      <c r="J306" s="68"/>
      <c r="K306" s="68"/>
      <c r="L306" s="68"/>
      <c r="M306" s="68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68"/>
      <c r="J307" s="68"/>
      <c r="K307" s="68"/>
      <c r="L307" s="68"/>
      <c r="M307" s="68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68"/>
      <c r="J308" s="68"/>
      <c r="K308" s="68"/>
      <c r="L308" s="68"/>
      <c r="M308" s="68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68"/>
      <c r="J309" s="68"/>
      <c r="K309" s="68"/>
      <c r="L309" s="68"/>
      <c r="M309" s="68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68"/>
      <c r="J310" s="68"/>
      <c r="K310" s="68"/>
      <c r="L310" s="68"/>
      <c r="M310" s="68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68"/>
      <c r="J311" s="68"/>
      <c r="K311" s="68"/>
      <c r="L311" s="68"/>
      <c r="M311" s="68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68"/>
      <c r="J312" s="68"/>
      <c r="K312" s="68"/>
      <c r="L312" s="68"/>
      <c r="M312" s="68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68"/>
      <c r="J313" s="68"/>
      <c r="K313" s="68"/>
      <c r="L313" s="68"/>
      <c r="M313" s="68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68"/>
      <c r="J314" s="68"/>
      <c r="K314" s="68"/>
      <c r="L314" s="68"/>
      <c r="M314" s="68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68"/>
      <c r="J315" s="68"/>
      <c r="K315" s="68"/>
      <c r="L315" s="68"/>
      <c r="M315" s="68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68"/>
      <c r="J316" s="68"/>
      <c r="K316" s="68"/>
      <c r="L316" s="68"/>
      <c r="M316" s="68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68"/>
      <c r="J317" s="68"/>
      <c r="K317" s="68"/>
      <c r="L317" s="68"/>
      <c r="M317" s="68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68"/>
      <c r="J318" s="68"/>
      <c r="K318" s="68"/>
      <c r="L318" s="68"/>
      <c r="M318" s="68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68"/>
      <c r="J319" s="68"/>
      <c r="K319" s="68"/>
      <c r="L319" s="68"/>
      <c r="M319" s="68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68"/>
      <c r="J320" s="68"/>
      <c r="K320" s="68"/>
      <c r="L320" s="68"/>
      <c r="M320" s="68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68"/>
      <c r="J321" s="68"/>
      <c r="K321" s="68"/>
      <c r="L321" s="68"/>
      <c r="M321" s="68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68"/>
      <c r="J322" s="68"/>
      <c r="K322" s="68"/>
      <c r="L322" s="68"/>
      <c r="M322" s="68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68"/>
      <c r="J323" s="68"/>
      <c r="K323" s="68"/>
      <c r="L323" s="68"/>
      <c r="M323" s="68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68"/>
      <c r="J324" s="68"/>
      <c r="K324" s="68"/>
      <c r="L324" s="68"/>
      <c r="M324" s="68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68"/>
      <c r="J325" s="68"/>
      <c r="K325" s="68"/>
      <c r="L325" s="68"/>
      <c r="M325" s="68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68"/>
      <c r="J326" s="68"/>
      <c r="K326" s="68"/>
      <c r="L326" s="68"/>
      <c r="M326" s="68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68"/>
      <c r="J327" s="68"/>
      <c r="K327" s="68"/>
      <c r="L327" s="68"/>
      <c r="M327" s="68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68"/>
      <c r="J328" s="68"/>
      <c r="K328" s="68"/>
      <c r="L328" s="68"/>
      <c r="M328" s="68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68"/>
      <c r="J329" s="68"/>
      <c r="K329" s="68"/>
      <c r="L329" s="68"/>
      <c r="M329" s="68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68"/>
      <c r="J330" s="68"/>
      <c r="K330" s="68"/>
      <c r="L330" s="68"/>
      <c r="M330" s="68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68"/>
      <c r="J331" s="68"/>
      <c r="K331" s="68"/>
      <c r="L331" s="68"/>
      <c r="M331" s="68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68"/>
      <c r="J332" s="68"/>
      <c r="K332" s="68"/>
      <c r="L332" s="68"/>
      <c r="M332" s="68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68"/>
      <c r="J333" s="68"/>
      <c r="K333" s="68"/>
      <c r="L333" s="68"/>
      <c r="M333" s="68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68"/>
      <c r="J334" s="68"/>
      <c r="K334" s="68"/>
      <c r="L334" s="68"/>
      <c r="M334" s="68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68"/>
      <c r="J335" s="68"/>
      <c r="K335" s="68"/>
      <c r="L335" s="68"/>
      <c r="M335" s="68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68"/>
      <c r="J336" s="68"/>
      <c r="K336" s="68"/>
      <c r="L336" s="68"/>
      <c r="M336" s="68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68"/>
      <c r="J337" s="68"/>
      <c r="K337" s="68"/>
      <c r="L337" s="68"/>
      <c r="M337" s="68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68"/>
      <c r="J338" s="68"/>
      <c r="K338" s="68"/>
      <c r="L338" s="68"/>
      <c r="M338" s="68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68"/>
      <c r="J339" s="68"/>
      <c r="K339" s="68"/>
      <c r="L339" s="68"/>
      <c r="M339" s="68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68"/>
      <c r="J340" s="68"/>
      <c r="K340" s="68"/>
      <c r="L340" s="68"/>
      <c r="M340" s="68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68"/>
      <c r="J341" s="68"/>
      <c r="K341" s="68"/>
      <c r="L341" s="68"/>
      <c r="M341" s="68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68"/>
      <c r="J342" s="68"/>
      <c r="K342" s="68"/>
      <c r="L342" s="68"/>
      <c r="M342" s="68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68"/>
      <c r="J343" s="68"/>
      <c r="K343" s="68"/>
      <c r="L343" s="68"/>
      <c r="M343" s="68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68"/>
      <c r="J344" s="68"/>
      <c r="K344" s="68"/>
      <c r="L344" s="68"/>
      <c r="M344" s="68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68"/>
      <c r="J345" s="68"/>
      <c r="K345" s="68"/>
      <c r="L345" s="68"/>
      <c r="M345" s="68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68"/>
      <c r="J346" s="68"/>
      <c r="K346" s="68"/>
      <c r="L346" s="68"/>
      <c r="M346" s="68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68"/>
      <c r="J347" s="68"/>
      <c r="K347" s="68"/>
      <c r="L347" s="68"/>
      <c r="M347" s="68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68"/>
      <c r="J348" s="68"/>
      <c r="K348" s="68"/>
      <c r="L348" s="68"/>
      <c r="M348" s="68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68"/>
      <c r="J349" s="68"/>
      <c r="K349" s="68"/>
      <c r="L349" s="68"/>
      <c r="M349" s="68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68"/>
      <c r="J350" s="68"/>
      <c r="K350" s="68"/>
      <c r="L350" s="68"/>
      <c r="M350" s="68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68"/>
      <c r="J351" s="68"/>
      <c r="K351" s="68"/>
      <c r="L351" s="68"/>
      <c r="M351" s="68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68"/>
      <c r="J352" s="68"/>
      <c r="K352" s="68"/>
      <c r="L352" s="68"/>
      <c r="M352" s="68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68"/>
      <c r="J353" s="68"/>
      <c r="K353" s="68"/>
      <c r="L353" s="68"/>
      <c r="M353" s="68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68"/>
      <c r="J354" s="68"/>
      <c r="K354" s="68"/>
      <c r="L354" s="68"/>
      <c r="M354" s="68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68"/>
      <c r="J355" s="68"/>
      <c r="K355" s="68"/>
      <c r="L355" s="68"/>
      <c r="M355" s="68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68"/>
      <c r="J356" s="68"/>
      <c r="K356" s="68"/>
      <c r="L356" s="68"/>
      <c r="M356" s="68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H319" sqref="H319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68"/>
      <c r="G1" s="68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3" t="s">
        <v>272</v>
      </c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198" customFormat="1" x14ac:dyDescent="0.2">
      <c r="A3" s="95"/>
      <c r="B3" s="95"/>
      <c r="C3" s="95"/>
      <c r="D3" s="95"/>
      <c r="E3" s="95"/>
      <c r="F3" s="176"/>
      <c r="G3" s="176"/>
      <c r="H3" s="177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</row>
    <row r="4" spans="1:42" s="198" customFormat="1" x14ac:dyDescent="0.2">
      <c r="A4" s="95"/>
      <c r="B4" s="95"/>
      <c r="C4" s="95"/>
      <c r="D4" s="95"/>
      <c r="E4" s="95"/>
      <c r="G4" s="176"/>
      <c r="H4" s="335" t="s">
        <v>315</v>
      </c>
      <c r="I4" s="335"/>
      <c r="K4" s="332" t="s">
        <v>253</v>
      </c>
      <c r="L4" s="333"/>
      <c r="M4" s="263">
        <v>4.4999999999999998E-2</v>
      </c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</row>
    <row r="5" spans="1:42" s="198" customFormat="1" x14ac:dyDescent="0.2">
      <c r="A5" s="95"/>
      <c r="B5" s="95"/>
      <c r="C5" s="95"/>
      <c r="D5" s="95"/>
      <c r="E5" s="95"/>
      <c r="G5" s="176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</row>
    <row r="6" spans="1:42" s="198" customFormat="1" ht="16" thickBot="1" x14ac:dyDescent="0.25">
      <c r="A6" s="95"/>
      <c r="B6" s="95"/>
      <c r="C6" s="95"/>
      <c r="D6" s="95"/>
      <c r="E6" s="95"/>
      <c r="F6" s="224"/>
      <c r="G6" s="176"/>
      <c r="H6" s="178"/>
      <c r="I6" s="178"/>
      <c r="J6" s="178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</row>
    <row r="7" spans="1:42" s="198" customFormat="1" ht="27.75" customHeight="1" thickBot="1" x14ac:dyDescent="0.35">
      <c r="A7" s="270"/>
      <c r="B7" s="271"/>
      <c r="C7" s="271"/>
      <c r="D7" s="271"/>
      <c r="E7" s="272"/>
      <c r="F7" s="272" t="s">
        <v>192</v>
      </c>
      <c r="G7" s="273"/>
      <c r="H7" s="271"/>
      <c r="I7" s="271"/>
      <c r="J7" s="274"/>
      <c r="K7" s="268"/>
      <c r="L7" s="269"/>
      <c r="M7" s="269"/>
      <c r="N7" s="275" t="s">
        <v>191</v>
      </c>
      <c r="O7" s="275"/>
      <c r="P7" s="276"/>
      <c r="Q7" s="277"/>
      <c r="R7" s="324" t="s">
        <v>310</v>
      </c>
      <c r="S7" s="325"/>
      <c r="T7" s="325"/>
      <c r="U7" s="325"/>
      <c r="V7" s="326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</row>
    <row r="8" spans="1:42" x14ac:dyDescent="0.2">
      <c r="A8" s="25"/>
      <c r="C8" s="25"/>
      <c r="D8" s="25"/>
      <c r="E8" s="25"/>
      <c r="F8" s="216"/>
      <c r="G8" s="216"/>
      <c r="H8" s="5"/>
      <c r="I8" s="5"/>
      <c r="J8" s="209"/>
      <c r="K8" s="220"/>
      <c r="L8" s="25"/>
      <c r="M8" s="25"/>
      <c r="N8" s="25"/>
      <c r="O8" s="25"/>
      <c r="P8" s="25"/>
      <c r="Q8" s="260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55" t="s">
        <v>311</v>
      </c>
      <c r="C9" s="25"/>
      <c r="D9" s="25"/>
      <c r="E9" s="25"/>
      <c r="F9" s="256"/>
      <c r="G9" s="255" t="s">
        <v>314</v>
      </c>
      <c r="J9" s="209"/>
      <c r="K9" s="220"/>
      <c r="O9" s="25"/>
      <c r="P9" s="25"/>
      <c r="Q9" s="260"/>
      <c r="R9" s="25"/>
      <c r="S9" s="5"/>
      <c r="T9" s="181" t="s">
        <v>262</v>
      </c>
      <c r="U9" s="184" t="s">
        <v>249</v>
      </c>
      <c r="V9" s="181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55" t="s">
        <v>317</v>
      </c>
      <c r="C10" s="25"/>
      <c r="D10" s="25"/>
      <c r="E10" s="25"/>
      <c r="F10" s="256"/>
      <c r="G10" s="255" t="s">
        <v>316</v>
      </c>
      <c r="J10" s="209"/>
      <c r="K10" s="220"/>
      <c r="O10" s="25"/>
      <c r="P10" s="25"/>
      <c r="Q10" s="260"/>
      <c r="R10" s="25"/>
      <c r="S10" s="181" t="str">
        <f>B14</f>
        <v>Hêtre</v>
      </c>
      <c r="T10" s="18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-920.75892782177937</v>
      </c>
      <c r="U10" s="186">
        <f>'Données projet'!D9</f>
        <v>0.41670453212000003</v>
      </c>
      <c r="V10" s="185">
        <f>U10*T10</f>
        <v>-383.68441821328747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55" t="s">
        <v>312</v>
      </c>
      <c r="B11" s="25"/>
      <c r="C11" s="25"/>
      <c r="D11" s="25"/>
      <c r="E11" s="25"/>
      <c r="F11" s="256"/>
      <c r="G11" s="255" t="s">
        <v>313</v>
      </c>
      <c r="J11" s="209"/>
      <c r="K11" s="220"/>
      <c r="M11" s="5"/>
      <c r="N11" s="5"/>
      <c r="O11" s="25"/>
      <c r="P11" s="25"/>
      <c r="Q11" s="260"/>
      <c r="R11" s="25"/>
      <c r="S11" s="181" t="str">
        <f>B45</f>
        <v>Erable champêtre</v>
      </c>
      <c r="T11" s="26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-1498.9316280501394</v>
      </c>
      <c r="U11" s="186">
        <f>'Données projet'!D10</f>
        <v>0.25002273394000002</v>
      </c>
      <c r="V11" s="185">
        <f t="shared" ref="V11" si="0">U11*T11</f>
        <v>-374.76698363423105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56"/>
      <c r="G12" s="1"/>
      <c r="J12" s="209"/>
      <c r="K12" s="220"/>
      <c r="L12" s="212"/>
      <c r="M12" s="25"/>
      <c r="N12" s="25"/>
      <c r="O12" s="25"/>
      <c r="P12" s="25"/>
      <c r="Q12" s="260"/>
      <c r="R12" s="25"/>
      <c r="S12" s="181" t="str">
        <f>B76</f>
        <v>Erable sycomore</v>
      </c>
      <c r="T12" s="26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-1570.9316280501394</v>
      </c>
      <c r="U12" s="186">
        <f>'Données projet'!D11</f>
        <v>8.3340899090000004E-2</v>
      </c>
      <c r="V12" s="185">
        <f t="shared" ref="V12:V19" si="1">U12*T12</f>
        <v>-130.92285429061607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56"/>
      <c r="J13" s="25"/>
      <c r="K13" s="220"/>
      <c r="L13" s="180" t="s">
        <v>257</v>
      </c>
      <c r="M13" s="25"/>
      <c r="N13" s="25"/>
      <c r="O13" s="25"/>
      <c r="P13" s="25"/>
      <c r="Q13" s="260"/>
      <c r="R13" s="25"/>
      <c r="S13" s="181" t="str">
        <f>B107</f>
        <v>Châtaignier</v>
      </c>
      <c r="T13" s="26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-824.48352267287589</v>
      </c>
      <c r="U13" s="186">
        <f>'Données projet'!D12</f>
        <v>0.12501136697000001</v>
      </c>
      <c r="V13" s="185">
        <f t="shared" si="1"/>
        <v>-103.06981221357721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2" t="str">
        <f>IF('Données projet'!$B$9="","",'Données projet'!$B$9)</f>
        <v>Hêtre</v>
      </c>
      <c r="C14" s="5"/>
      <c r="D14" s="5"/>
      <c r="E14" s="5"/>
      <c r="F14" s="256"/>
      <c r="G14" s="216"/>
      <c r="H14" s="181" t="s">
        <v>178</v>
      </c>
      <c r="I14" s="181" t="s">
        <v>290</v>
      </c>
      <c r="J14" s="210"/>
      <c r="K14" s="179"/>
      <c r="L14" s="212"/>
      <c r="M14" s="25"/>
      <c r="N14" s="25"/>
      <c r="O14" s="5"/>
      <c r="P14" s="5"/>
      <c r="Q14" s="261"/>
      <c r="R14" s="5"/>
      <c r="S14" s="181" t="str">
        <f>B138</f>
        <v>Bouleau verruqueux</v>
      </c>
      <c r="T14" s="26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-1872.1556807387719</v>
      </c>
      <c r="U14" s="186">
        <f>'Données projet'!D13</f>
        <v>0.41670453212000003</v>
      </c>
      <c r="V14" s="185">
        <f t="shared" si="1"/>
        <v>-780.13575699805006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56"/>
      <c r="G15" s="336" t="s">
        <v>318</v>
      </c>
      <c r="H15" s="199"/>
      <c r="I15" s="200"/>
      <c r="J15" s="211"/>
      <c r="K15" s="220"/>
      <c r="L15" s="212"/>
      <c r="M15" s="25"/>
      <c r="N15" s="25"/>
      <c r="O15" s="25"/>
      <c r="P15" s="25"/>
      <c r="Q15" s="260"/>
      <c r="R15" s="25"/>
      <c r="S15" s="181" t="str">
        <f>B169</f>
        <v>Chêne pédonculé</v>
      </c>
      <c r="T15" s="26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-1165.5590696072459</v>
      </c>
      <c r="U15" s="186">
        <f>'Données projet'!D14</f>
        <v>0.16668183485000002</v>
      </c>
      <c r="V15" s="185">
        <f t="shared" si="1"/>
        <v>-194.27752434819462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2" t="s">
        <v>180</v>
      </c>
      <c r="B16" s="51" t="s">
        <v>256</v>
      </c>
      <c r="C16" s="51" t="s">
        <v>255</v>
      </c>
      <c r="D16" s="252" t="s">
        <v>252</v>
      </c>
      <c r="E16" s="252" t="s">
        <v>320</v>
      </c>
      <c r="F16" s="256"/>
      <c r="G16" s="336"/>
      <c r="H16" s="199"/>
      <c r="I16" s="200"/>
      <c r="J16" s="211"/>
      <c r="K16" s="220"/>
      <c r="L16" s="332" t="s">
        <v>254</v>
      </c>
      <c r="M16" s="333"/>
      <c r="N16" s="2"/>
      <c r="O16" s="25"/>
      <c r="P16" s="25"/>
      <c r="Q16" s="260"/>
      <c r="R16" s="25"/>
      <c r="S16" s="181" t="str">
        <f>B200</f>
        <v>Chêne sessile</v>
      </c>
      <c r="T16" s="26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-1165.5590696072459</v>
      </c>
      <c r="U16" s="186">
        <f>'Données projet'!D15</f>
        <v>0.16668183485000002</v>
      </c>
      <c r="V16" s="185">
        <f t="shared" si="1"/>
        <v>-194.27752434819462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05">
        <v>0</v>
      </c>
      <c r="B17" s="208" t="s">
        <v>132</v>
      </c>
      <c r="C17" s="207" t="s">
        <v>132</v>
      </c>
      <c r="D17" s="206" t="s">
        <v>132</v>
      </c>
      <c r="E17" s="202">
        <v>2904</v>
      </c>
      <c r="F17" s="256"/>
      <c r="G17" s="336"/>
      <c r="J17" s="211"/>
      <c r="K17" s="220"/>
      <c r="L17" s="290" t="s">
        <v>289</v>
      </c>
      <c r="M17" s="292"/>
      <c r="N17" s="183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0"/>
      <c r="R17" s="25"/>
      <c r="S17" s="181" t="str">
        <f>B231</f>
        <v>Chêne pubescent</v>
      </c>
      <c r="T17" s="26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-1165.5590696072459</v>
      </c>
      <c r="U17" s="186">
        <f>'Données projet'!D16</f>
        <v>0.16668183485000002</v>
      </c>
      <c r="V17" s="185">
        <f t="shared" si="1"/>
        <v>-194.27752434819462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05">
        <v>1</v>
      </c>
      <c r="B18" s="208" t="s">
        <v>132</v>
      </c>
      <c r="C18" s="207" t="s">
        <v>132</v>
      </c>
      <c r="D18" s="206" t="s">
        <v>132</v>
      </c>
      <c r="E18" s="202"/>
      <c r="F18" s="256"/>
      <c r="G18" s="336"/>
      <c r="J18" s="211"/>
      <c r="K18" s="220"/>
      <c r="L18" s="290" t="s">
        <v>255</v>
      </c>
      <c r="M18" s="292"/>
      <c r="N18" s="201"/>
      <c r="O18" s="25"/>
      <c r="P18" s="25"/>
      <c r="Q18" s="260"/>
      <c r="R18" s="25"/>
      <c r="S18" s="181" t="str">
        <f>B262</f>
        <v>Tilleul</v>
      </c>
      <c r="T18" s="26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-2253.4064843630276</v>
      </c>
      <c r="U18" s="186">
        <f>'Données projet'!D17</f>
        <v>0.16668183485000002</v>
      </c>
      <c r="V18" s="185">
        <f t="shared" si="1"/>
        <v>-375.60192747651729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05">
        <v>2</v>
      </c>
      <c r="B19" s="208" t="s">
        <v>132</v>
      </c>
      <c r="C19" s="207" t="s">
        <v>132</v>
      </c>
      <c r="D19" s="206" t="s">
        <v>132</v>
      </c>
      <c r="E19" s="202"/>
      <c r="F19" s="256"/>
      <c r="G19" s="336"/>
      <c r="H19" s="227" t="s">
        <v>178</v>
      </c>
      <c r="I19" s="227" t="s">
        <v>287</v>
      </c>
      <c r="J19" s="255"/>
      <c r="K19" s="179"/>
      <c r="L19" s="332" t="s">
        <v>288</v>
      </c>
      <c r="M19" s="333"/>
      <c r="N19" s="187">
        <f>N17*N18</f>
        <v>0</v>
      </c>
      <c r="O19" s="25"/>
      <c r="P19" s="5"/>
      <c r="Q19" s="261"/>
      <c r="R19" s="5"/>
      <c r="S19" s="181" t="str">
        <f>B293</f>
        <v>Charme</v>
      </c>
      <c r="T19" s="26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-2172.046288139416</v>
      </c>
      <c r="U19" s="186">
        <f>'Données projet'!D18</f>
        <v>0.58338636697000001</v>
      </c>
      <c r="V19" s="185">
        <f t="shared" si="1"/>
        <v>-1267.1421929283276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05">
        <v>3</v>
      </c>
      <c r="B20" s="208" t="s">
        <v>132</v>
      </c>
      <c r="C20" s="207" t="s">
        <v>132</v>
      </c>
      <c r="D20" s="206" t="s">
        <v>132</v>
      </c>
      <c r="E20" s="202"/>
      <c r="F20" s="256"/>
      <c r="G20" s="336"/>
      <c r="H20" s="199">
        <v>0</v>
      </c>
      <c r="I20" s="200">
        <v>1385.09</v>
      </c>
      <c r="J20" s="5"/>
      <c r="K20" s="179"/>
      <c r="O20" s="25"/>
      <c r="P20" s="5"/>
      <c r="Q20" s="261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05">
        <v>4</v>
      </c>
      <c r="B21" s="208" t="s">
        <v>132</v>
      </c>
      <c r="C21" s="207" t="s">
        <v>132</v>
      </c>
      <c r="D21" s="206" t="s">
        <v>132</v>
      </c>
      <c r="E21" s="202"/>
      <c r="F21" s="256"/>
      <c r="H21" s="199">
        <v>1</v>
      </c>
      <c r="I21" s="200">
        <v>400</v>
      </c>
      <c r="K21" s="179"/>
      <c r="O21" s="25"/>
      <c r="P21" s="5"/>
      <c r="Q21" s="261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05">
        <v>5</v>
      </c>
      <c r="B22" s="208" t="s">
        <v>132</v>
      </c>
      <c r="C22" s="207" t="s">
        <v>132</v>
      </c>
      <c r="D22" s="206" t="s">
        <v>132</v>
      </c>
      <c r="E22" s="202"/>
      <c r="F22" s="256"/>
      <c r="H22" s="199">
        <v>2</v>
      </c>
      <c r="I22" s="200">
        <v>400</v>
      </c>
      <c r="K22" s="179"/>
      <c r="O22" s="25"/>
      <c r="P22" s="5"/>
      <c r="Q22" s="261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88">
        <f>'Données projet'!A36</f>
        <v>18</v>
      </c>
      <c r="B23" s="189">
        <f>'Données projet'!D36</f>
        <v>2</v>
      </c>
      <c r="C23" s="202">
        <f>47*'Données projet'!E36+13.8*('Données projet'!F36+'Données projet'!G36)+15*'Données projet'!G36</f>
        <v>0</v>
      </c>
      <c r="D23" s="190">
        <f>B23*C23</f>
        <v>0</v>
      </c>
      <c r="E23" s="202"/>
      <c r="F23" s="256"/>
      <c r="H23" s="199">
        <v>3</v>
      </c>
      <c r="I23" s="200"/>
      <c r="K23" s="220"/>
      <c r="L23" s="334" t="s">
        <v>260</v>
      </c>
      <c r="M23" s="334"/>
      <c r="N23" s="334"/>
      <c r="O23" s="25"/>
      <c r="P23" s="25"/>
      <c r="Q23" s="260"/>
      <c r="R23" s="25"/>
      <c r="S23" s="181" t="s">
        <v>264</v>
      </c>
      <c r="T23" s="32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-13054.112383693071</v>
      </c>
      <c r="U23" s="329"/>
      <c r="V23" s="32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88">
        <f>'Données projet'!A37</f>
        <v>21</v>
      </c>
      <c r="B24" s="189">
        <f>'Données projet'!D37</f>
        <v>8</v>
      </c>
      <c r="C24" s="202">
        <f>47*'Données projet'!E37+13.8*('Données projet'!F37+'Données projet'!G37)+15*'Données projet'!G37</f>
        <v>0</v>
      </c>
      <c r="D24" s="190">
        <f t="shared" ref="D24:D42" si="2">B24*C24</f>
        <v>0</v>
      </c>
      <c r="E24" s="202"/>
      <c r="F24" s="259"/>
      <c r="H24" s="199">
        <v>4</v>
      </c>
      <c r="I24" s="200">
        <v>400</v>
      </c>
      <c r="K24" s="220"/>
      <c r="O24" s="25"/>
      <c r="P24" s="25"/>
      <c r="Q24" s="260"/>
      <c r="R24" s="25"/>
      <c r="S24" s="181" t="s">
        <v>261</v>
      </c>
      <c r="T24" s="33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0"/>
      <c r="V24" s="33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88">
        <f>'Données projet'!A38</f>
        <v>24</v>
      </c>
      <c r="B25" s="189">
        <f>'Données projet'!D38</f>
        <v>47</v>
      </c>
      <c r="C25" s="202">
        <f>47*'Données projet'!E38+13.8*('Données projet'!F38+'Données projet'!G38)+15*'Données projet'!G38</f>
        <v>0</v>
      </c>
      <c r="D25" s="190">
        <f t="shared" si="2"/>
        <v>0</v>
      </c>
      <c r="E25" s="202"/>
      <c r="F25" s="259"/>
      <c r="G25" s="1"/>
      <c r="H25" s="199">
        <v>5</v>
      </c>
      <c r="I25" s="200"/>
      <c r="K25" s="220"/>
      <c r="L25" s="266" t="s">
        <v>285</v>
      </c>
      <c r="M25" s="266"/>
      <c r="N25" s="266"/>
      <c r="O25" s="266"/>
      <c r="P25" s="201"/>
      <c r="Q25" s="260"/>
      <c r="R25" s="25"/>
      <c r="S25" s="194" t="s">
        <v>266</v>
      </c>
      <c r="T25" s="331">
        <f ca="1">T23-T24</f>
        <v>-13054.112383693071</v>
      </c>
      <c r="U25" s="331"/>
      <c r="V25" s="33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88">
        <f>'Données projet'!A39</f>
        <v>27</v>
      </c>
      <c r="B26" s="189">
        <f>'Données projet'!D39</f>
        <v>43</v>
      </c>
      <c r="C26" s="202">
        <f>47*'Données projet'!E39+13.8*('Données projet'!F39+'Données projet'!G39)+15*'Données projet'!G39</f>
        <v>0</v>
      </c>
      <c r="D26" s="190">
        <f t="shared" si="2"/>
        <v>0</v>
      </c>
      <c r="E26" s="202"/>
      <c r="F26" s="259"/>
      <c r="G26" s="254"/>
      <c r="H26" s="199"/>
      <c r="I26" s="200"/>
      <c r="K26" s="220"/>
      <c r="L26" s="318" t="s">
        <v>258</v>
      </c>
      <c r="M26" s="319"/>
      <c r="N26" s="319"/>
      <c r="O26" s="319"/>
      <c r="P26" s="320"/>
      <c r="Q26" s="260"/>
      <c r="R26" s="25"/>
      <c r="S26" s="194" t="s">
        <v>265</v>
      </c>
      <c r="T26" s="328" t="str">
        <f ca="1">IF(T25&lt;0,"Votre projet est additionnel","Votre projet n'est pas additionnel")</f>
        <v>Votre projet est additionnel</v>
      </c>
      <c r="U26" s="328"/>
      <c r="V26" s="32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88">
        <f>'Données projet'!A40</f>
        <v>30</v>
      </c>
      <c r="B27" s="189">
        <f>'Données projet'!D40</f>
        <v>48</v>
      </c>
      <c r="C27" s="202">
        <f>47*'Données projet'!E40+13.8*('Données projet'!F40+'Données projet'!G40)+15*'Données projet'!G40</f>
        <v>14.1</v>
      </c>
      <c r="D27" s="190">
        <f t="shared" si="2"/>
        <v>676.8</v>
      </c>
      <c r="E27" s="202"/>
      <c r="F27" s="259"/>
      <c r="G27" s="254"/>
      <c r="H27" s="199"/>
      <c r="I27" s="200"/>
      <c r="K27" s="220"/>
      <c r="L27" s="321"/>
      <c r="M27" s="322"/>
      <c r="N27" s="322"/>
      <c r="O27" s="322"/>
      <c r="P27" s="323"/>
      <c r="Q27" s="260"/>
      <c r="R27" s="25"/>
      <c r="S27" s="327" t="s">
        <v>267</v>
      </c>
      <c r="T27" s="327"/>
      <c r="U27" s="327"/>
      <c r="V27" s="32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88">
        <f>'Données projet'!A41</f>
        <v>36</v>
      </c>
      <c r="B28" s="189">
        <f>'Données projet'!D41</f>
        <v>92</v>
      </c>
      <c r="C28" s="202">
        <f>47*'Données projet'!E41+13.8*('Données projet'!F41+'Données projet'!G41)+15*'Données projet'!G41</f>
        <v>18.8</v>
      </c>
      <c r="D28" s="190">
        <f t="shared" si="2"/>
        <v>1729.6000000000001</v>
      </c>
      <c r="E28" s="202"/>
      <c r="F28" s="259"/>
      <c r="G28" s="217"/>
      <c r="H28" s="199"/>
      <c r="I28" s="200"/>
      <c r="K28" s="220"/>
      <c r="Q28" s="260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88">
        <f>'Données projet'!A42</f>
        <v>42</v>
      </c>
      <c r="B29" s="189">
        <f>'Données projet'!D42</f>
        <v>90</v>
      </c>
      <c r="C29" s="202">
        <f>47*'Données projet'!E42+13.8*('Données projet'!F42+'Données projet'!G42)+15*'Données projet'!G42</f>
        <v>23.5</v>
      </c>
      <c r="D29" s="190">
        <f t="shared" si="2"/>
        <v>2115</v>
      </c>
      <c r="E29" s="202"/>
      <c r="F29" s="259"/>
      <c r="G29" s="213"/>
      <c r="H29" s="199"/>
      <c r="I29" s="200"/>
      <c r="K29" s="220"/>
      <c r="O29" s="25"/>
      <c r="P29" s="25"/>
      <c r="Q29" s="260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88">
        <f>'Données projet'!A43</f>
        <v>51</v>
      </c>
      <c r="B30" s="189">
        <f>'Données projet'!D43</f>
        <v>119</v>
      </c>
      <c r="C30" s="202">
        <f>47*'Données projet'!E43+13.8*('Données projet'!F43+'Données projet'!G43)+15*'Données projet'!G43</f>
        <v>28.2</v>
      </c>
      <c r="D30" s="190">
        <f t="shared" si="2"/>
        <v>3355.7999999999997</v>
      </c>
      <c r="E30" s="202"/>
      <c r="F30" s="259"/>
      <c r="G30" s="213"/>
      <c r="H30" s="199"/>
      <c r="I30" s="200"/>
      <c r="K30" s="191"/>
      <c r="L30" s="181" t="s">
        <v>259</v>
      </c>
      <c r="M30" s="192">
        <f ca="1">SUM(OFFSET($P$33,0,0,MIN('Données projet'!$E$9:$E$18)+1,1))</f>
        <v>0</v>
      </c>
      <c r="O30" s="5"/>
      <c r="P30" s="5"/>
      <c r="Q30" s="261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88">
        <f>'Données projet'!A44</f>
        <v>63</v>
      </c>
      <c r="B31" s="189">
        <f>'Données projet'!D44</f>
        <v>124</v>
      </c>
      <c r="C31" s="202">
        <f>47*'Données projet'!E44+13.8*('Données projet'!F44+'Données projet'!G44)+15*'Données projet'!G44</f>
        <v>32.9</v>
      </c>
      <c r="D31" s="190">
        <f t="shared" si="2"/>
        <v>4079.6</v>
      </c>
      <c r="E31" s="202"/>
      <c r="F31" s="259"/>
      <c r="G31" s="213"/>
      <c r="H31" s="199"/>
      <c r="I31" s="200"/>
      <c r="K31" s="179"/>
      <c r="Q31" s="260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88">
        <f>'Données projet'!A45</f>
        <v>90</v>
      </c>
      <c r="B32" s="189">
        <f>'Données projet'!D45</f>
        <v>705</v>
      </c>
      <c r="C32" s="202">
        <f>47*'Données projet'!E45+13.8*('Données projet'!F45+'Données projet'!G45)+15*'Données projet'!G45</f>
        <v>37.6</v>
      </c>
      <c r="D32" s="190">
        <f t="shared" si="2"/>
        <v>26508</v>
      </c>
      <c r="E32" s="202"/>
      <c r="F32" s="259"/>
      <c r="G32" s="213"/>
      <c r="H32" s="199"/>
      <c r="I32" s="200"/>
      <c r="K32" s="179"/>
      <c r="N32" s="5"/>
      <c r="O32" s="265" t="s">
        <v>178</v>
      </c>
      <c r="P32" s="265" t="s">
        <v>252</v>
      </c>
      <c r="Q32" s="260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88">
        <f>'Données projet'!A46</f>
        <v>0</v>
      </c>
      <c r="B33" s="189">
        <f>'Données projet'!D46</f>
        <v>0</v>
      </c>
      <c r="C33" s="202">
        <f>47*'Données projet'!E46+13.8*('Données projet'!F46+'Données projet'!G46)+15*'Données projet'!G46</f>
        <v>0</v>
      </c>
      <c r="D33" s="190">
        <f t="shared" si="2"/>
        <v>0</v>
      </c>
      <c r="E33" s="202"/>
      <c r="F33" s="259"/>
      <c r="G33" s="213"/>
      <c r="H33" s="199"/>
      <c r="I33" s="200"/>
      <c r="K33" s="179"/>
      <c r="L33" s="5"/>
      <c r="M33" s="5"/>
      <c r="N33" s="5"/>
      <c r="O33" s="203">
        <v>0</v>
      </c>
      <c r="P33" s="193">
        <f t="shared" ref="P33:P64" si="3">$P$25/(1+$M$4)^O33</f>
        <v>0</v>
      </c>
      <c r="Q33" s="260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88">
        <f>'Données projet'!A47</f>
        <v>0</v>
      </c>
      <c r="B34" s="189">
        <f>'Données projet'!D47</f>
        <v>0</v>
      </c>
      <c r="C34" s="202">
        <f>47*'Données projet'!E47+13.8*('Données projet'!F47+'Données projet'!G47)+15*'Données projet'!G47</f>
        <v>0</v>
      </c>
      <c r="D34" s="190">
        <f t="shared" si="2"/>
        <v>0</v>
      </c>
      <c r="E34" s="202"/>
      <c r="F34" s="259"/>
      <c r="G34" s="213"/>
      <c r="H34" s="199"/>
      <c r="I34" s="200"/>
      <c r="K34" s="179"/>
      <c r="L34" s="279"/>
      <c r="M34" s="279"/>
      <c r="N34" s="280"/>
      <c r="O34" s="203">
        <f>IF(O33+1&lt;=MIN('Données projet'!$E$9:$E$18),O33+1,"STOP")</f>
        <v>1</v>
      </c>
      <c r="P34" s="193">
        <f t="shared" si="3"/>
        <v>0</v>
      </c>
      <c r="Q34" s="260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88">
        <f>'Données projet'!A48</f>
        <v>0</v>
      </c>
      <c r="B35" s="189">
        <f>'Données projet'!D48</f>
        <v>0</v>
      </c>
      <c r="C35" s="202">
        <f>47*'Données projet'!E48+13.8*('Données projet'!F48+'Données projet'!G48)+15*'Données projet'!G48</f>
        <v>0</v>
      </c>
      <c r="D35" s="190">
        <f t="shared" si="2"/>
        <v>0</v>
      </c>
      <c r="E35" s="202"/>
      <c r="F35" s="259"/>
      <c r="G35" s="213"/>
      <c r="H35" s="199"/>
      <c r="I35" s="200"/>
      <c r="K35" s="179"/>
      <c r="L35" s="279"/>
      <c r="M35" s="279"/>
      <c r="N35" s="280"/>
      <c r="O35" s="203">
        <f>IF(O34+1&lt;=MIN('Données projet'!$E$9:$E$18),O34+1,"STOP")</f>
        <v>2</v>
      </c>
      <c r="P35" s="193">
        <f t="shared" si="3"/>
        <v>0</v>
      </c>
      <c r="Q35" s="260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88">
        <f>'Données projet'!A49</f>
        <v>0</v>
      </c>
      <c r="B36" s="189">
        <f>'Données projet'!D49</f>
        <v>0</v>
      </c>
      <c r="C36" s="202">
        <f>47*'Données projet'!E49+13.8*('Données projet'!F49+'Données projet'!G49)+15*'Données projet'!G49</f>
        <v>0</v>
      </c>
      <c r="D36" s="190">
        <f t="shared" si="2"/>
        <v>0</v>
      </c>
      <c r="E36" s="202"/>
      <c r="F36" s="259"/>
      <c r="G36" s="213"/>
      <c r="H36" s="199"/>
      <c r="I36" s="200"/>
      <c r="K36" s="179"/>
      <c r="L36" s="25"/>
      <c r="M36" s="25"/>
      <c r="N36" s="25"/>
      <c r="O36" s="203">
        <f>IF(O35+1&lt;=MIN('Données projet'!$E$9:$E$18),O35+1,"STOP")</f>
        <v>3</v>
      </c>
      <c r="P36" s="193">
        <f t="shared" si="3"/>
        <v>0</v>
      </c>
      <c r="Q36" s="260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88">
        <f>'Données projet'!A50</f>
        <v>0</v>
      </c>
      <c r="B37" s="189">
        <f>'Données projet'!D50</f>
        <v>0</v>
      </c>
      <c r="C37" s="202">
        <f>47*'Données projet'!E50+13.8*('Données projet'!F50+'Données projet'!G50)+15*'Données projet'!G50</f>
        <v>0</v>
      </c>
      <c r="D37" s="190">
        <f t="shared" si="2"/>
        <v>0</v>
      </c>
      <c r="E37" s="202"/>
      <c r="F37" s="259"/>
      <c r="G37" s="213"/>
      <c r="H37" s="199"/>
      <c r="I37" s="200"/>
      <c r="K37" s="179"/>
      <c r="L37" s="25"/>
      <c r="M37" s="25"/>
      <c r="N37" s="25"/>
      <c r="O37" s="203">
        <f>IF(O36+1&lt;=MIN('Données projet'!$E$9:$E$18),O36+1,"STOP")</f>
        <v>4</v>
      </c>
      <c r="P37" s="193">
        <f t="shared" si="3"/>
        <v>0</v>
      </c>
      <c r="Q37" s="260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88">
        <f>'Données projet'!A51</f>
        <v>0</v>
      </c>
      <c r="B38" s="189">
        <f>'Données projet'!D51</f>
        <v>0</v>
      </c>
      <c r="C38" s="202">
        <f>47*'Données projet'!E51+13.8*('Données projet'!F51+'Données projet'!G51)+15*'Données projet'!G51</f>
        <v>0</v>
      </c>
      <c r="D38" s="190">
        <f t="shared" si="2"/>
        <v>0</v>
      </c>
      <c r="E38" s="202"/>
      <c r="F38" s="259"/>
      <c r="G38" s="213"/>
      <c r="H38" s="199"/>
      <c r="I38" s="200"/>
      <c r="K38" s="179"/>
      <c r="L38" s="25"/>
      <c r="M38" s="25"/>
      <c r="N38" s="25"/>
      <c r="O38" s="203">
        <f>IF(O37+1&lt;=MIN('Données projet'!$E$9:$E$18),O37+1,"STOP")</f>
        <v>5</v>
      </c>
      <c r="P38" s="193">
        <f t="shared" si="3"/>
        <v>0</v>
      </c>
      <c r="Q38" s="260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88">
        <f>'Données projet'!A52</f>
        <v>0</v>
      </c>
      <c r="B39" s="189">
        <f>'Données projet'!D52</f>
        <v>0</v>
      </c>
      <c r="C39" s="202">
        <f>47*'Données projet'!E52+13.8*('Données projet'!F52+'Données projet'!G52)+15*'Données projet'!G52</f>
        <v>0</v>
      </c>
      <c r="D39" s="190">
        <f t="shared" si="2"/>
        <v>0</v>
      </c>
      <c r="E39" s="202"/>
      <c r="F39" s="259"/>
      <c r="G39" s="213"/>
      <c r="H39" s="199"/>
      <c r="I39" s="200"/>
      <c r="K39" s="220"/>
      <c r="L39" s="25"/>
      <c r="M39" s="25"/>
      <c r="N39" s="25"/>
      <c r="O39" s="203">
        <f>IF(O38+1&lt;=MIN('Données projet'!$E$9:$E$18),O38+1,"STOP")</f>
        <v>6</v>
      </c>
      <c r="P39" s="193">
        <f t="shared" si="3"/>
        <v>0</v>
      </c>
      <c r="Q39" s="260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88">
        <f>'Données projet'!A53</f>
        <v>0</v>
      </c>
      <c r="B40" s="189">
        <f>'Données projet'!D53</f>
        <v>0</v>
      </c>
      <c r="C40" s="202">
        <f>47*'Données projet'!E53+13.8*('Données projet'!F53+'Données projet'!G53)+15*'Données projet'!G53</f>
        <v>0</v>
      </c>
      <c r="D40" s="190">
        <f t="shared" si="2"/>
        <v>0</v>
      </c>
      <c r="E40" s="202"/>
      <c r="F40" s="259"/>
      <c r="G40" s="213"/>
      <c r="H40" s="199"/>
      <c r="I40" s="200"/>
      <c r="K40" s="220"/>
      <c r="L40" s="25"/>
      <c r="M40" s="25"/>
      <c r="N40" s="25"/>
      <c r="O40" s="203">
        <f>IF(O39+1&lt;=MIN('Données projet'!$E$9:$E$18),O39+1,"STOP")</f>
        <v>7</v>
      </c>
      <c r="P40" s="193">
        <f t="shared" si="3"/>
        <v>0</v>
      </c>
      <c r="Q40" s="260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88">
        <f>'Données projet'!A54</f>
        <v>0</v>
      </c>
      <c r="B41" s="189">
        <f>'Données projet'!D54</f>
        <v>0</v>
      </c>
      <c r="C41" s="202">
        <f>47*'Données projet'!E54+13.8*('Données projet'!F54+'Données projet'!G54)+15*'Données projet'!G54</f>
        <v>0</v>
      </c>
      <c r="D41" s="190">
        <f t="shared" si="2"/>
        <v>0</v>
      </c>
      <c r="E41" s="202"/>
      <c r="F41" s="259"/>
      <c r="G41" s="213"/>
      <c r="H41" s="199"/>
      <c r="I41" s="200"/>
      <c r="K41" s="220"/>
      <c r="L41" s="25"/>
      <c r="M41" s="25"/>
      <c r="N41" s="25"/>
      <c r="O41" s="203">
        <f>IF(O40+1&lt;=MIN('Données projet'!$E$9:$E$18),O40+1,"STOP")</f>
        <v>8</v>
      </c>
      <c r="P41" s="193">
        <f t="shared" si="3"/>
        <v>0</v>
      </c>
      <c r="Q41" s="260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88">
        <f>'Données projet'!A55</f>
        <v>0</v>
      </c>
      <c r="B42" s="189">
        <f>'Données projet'!D55</f>
        <v>0</v>
      </c>
      <c r="C42" s="202">
        <f>47*'Données projet'!E55+13.8*('Données projet'!F55+'Données projet'!G55)+15*'Données projet'!G55</f>
        <v>0</v>
      </c>
      <c r="D42" s="190">
        <f t="shared" si="2"/>
        <v>0</v>
      </c>
      <c r="E42" s="202"/>
      <c r="F42" s="259"/>
      <c r="G42" s="213"/>
      <c r="H42" s="199"/>
      <c r="I42" s="200"/>
      <c r="K42" s="220"/>
      <c r="L42" s="25"/>
      <c r="M42" s="25"/>
      <c r="N42" s="25"/>
      <c r="O42" s="203">
        <f>IF(O41+1&lt;=MIN('Données projet'!$E$9:$E$18),O41+1,"STOP")</f>
        <v>9</v>
      </c>
      <c r="P42" s="193">
        <f t="shared" si="3"/>
        <v>0</v>
      </c>
      <c r="Q42" s="260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5"/>
      <c r="B43" s="195"/>
      <c r="C43" s="195"/>
      <c r="D43" s="251"/>
      <c r="E43" s="251"/>
      <c r="F43" s="264"/>
      <c r="G43" s="213"/>
      <c r="H43" s="199"/>
      <c r="I43" s="200"/>
      <c r="K43" s="220"/>
      <c r="L43" s="25"/>
      <c r="M43" s="25"/>
      <c r="N43" s="25"/>
      <c r="O43" s="203">
        <f>IF(O42+1&lt;=MIN('Données projet'!$E$9:$E$18),O42+1,"STOP")</f>
        <v>10</v>
      </c>
      <c r="P43" s="193">
        <f t="shared" si="3"/>
        <v>0</v>
      </c>
      <c r="Q43" s="261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56"/>
      <c r="G44" s="213"/>
      <c r="H44" s="199"/>
      <c r="I44" s="200"/>
      <c r="K44" s="220"/>
      <c r="L44" s="25"/>
      <c r="M44" s="25"/>
      <c r="N44" s="25"/>
      <c r="O44" s="203">
        <f>IF(O43+1&lt;=MIN('Données projet'!$E$9:$E$18),O43+1,"STOP")</f>
        <v>11</v>
      </c>
      <c r="P44" s="193">
        <f t="shared" si="3"/>
        <v>0</v>
      </c>
      <c r="Q44" s="261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2" t="str">
        <f>IF('Données projet'!$B$10="","",'Données projet'!$B$10)</f>
        <v>Erable champêtre</v>
      </c>
      <c r="C45" s="5"/>
      <c r="D45" s="5"/>
      <c r="E45" s="5"/>
      <c r="F45" s="256"/>
      <c r="G45" s="213"/>
      <c r="H45" s="199"/>
      <c r="I45" s="200"/>
      <c r="J45" s="25"/>
      <c r="K45" s="220"/>
      <c r="L45" s="25"/>
      <c r="M45" s="25"/>
      <c r="N45" s="25"/>
      <c r="O45" s="203">
        <f>IF(O44+1&lt;=MIN('Données projet'!$E$9:$E$18),O44+1,"STOP")</f>
        <v>12</v>
      </c>
      <c r="P45" s="193">
        <f t="shared" si="3"/>
        <v>0</v>
      </c>
      <c r="Q45" s="261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56"/>
      <c r="G46" s="213"/>
      <c r="H46" s="199"/>
      <c r="I46" s="200"/>
      <c r="J46" s="25"/>
      <c r="K46" s="220"/>
      <c r="L46" s="215"/>
      <c r="M46" s="215"/>
      <c r="N46" s="215"/>
      <c r="O46" s="203">
        <f>IF(O45+1&lt;=MIN('Données projet'!$E$9:$E$18),O45+1,"STOP")</f>
        <v>13</v>
      </c>
      <c r="P46" s="196">
        <f t="shared" si="3"/>
        <v>0</v>
      </c>
      <c r="Q46" s="261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2" t="s">
        <v>180</v>
      </c>
      <c r="B47" s="51" t="s">
        <v>256</v>
      </c>
      <c r="C47" s="51" t="s">
        <v>255</v>
      </c>
      <c r="D47" s="252" t="s">
        <v>252</v>
      </c>
      <c r="E47" s="252" t="s">
        <v>320</v>
      </c>
      <c r="F47" s="257"/>
      <c r="G47" s="213"/>
      <c r="H47" s="199"/>
      <c r="I47" s="200"/>
      <c r="J47" s="25"/>
      <c r="K47" s="220"/>
      <c r="L47" s="5"/>
      <c r="M47" s="5"/>
      <c r="N47" s="5"/>
      <c r="O47" s="203">
        <f>IF(O46+1&lt;=MIN('Données projet'!$E$9:$E$18),O46+1,"STOP")</f>
        <v>14</v>
      </c>
      <c r="P47" s="193">
        <f t="shared" si="3"/>
        <v>0</v>
      </c>
      <c r="Q47" s="261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05">
        <v>0</v>
      </c>
      <c r="B48" s="208" t="s">
        <v>132</v>
      </c>
      <c r="C48" s="207" t="s">
        <v>132</v>
      </c>
      <c r="D48" s="206" t="s">
        <v>132</v>
      </c>
      <c r="E48" s="202">
        <v>2832</v>
      </c>
      <c r="F48" s="257"/>
      <c r="G48" s="213"/>
      <c r="H48" s="199"/>
      <c r="I48" s="200"/>
      <c r="J48" s="25"/>
      <c r="K48" s="220"/>
      <c r="L48" s="5"/>
      <c r="M48" s="5"/>
      <c r="N48" s="5"/>
      <c r="O48" s="203">
        <f>IF(O47+1&lt;=MIN('Données projet'!$E$9:$E$18),O47+1,"STOP")</f>
        <v>15</v>
      </c>
      <c r="P48" s="193">
        <f t="shared" si="3"/>
        <v>0</v>
      </c>
      <c r="Q48" s="261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4" customFormat="1" ht="17.25" customHeight="1" x14ac:dyDescent="0.2">
      <c r="A49" s="205">
        <v>1</v>
      </c>
      <c r="B49" s="208" t="s">
        <v>132</v>
      </c>
      <c r="C49" s="207" t="s">
        <v>132</v>
      </c>
      <c r="D49" s="206" t="s">
        <v>132</v>
      </c>
      <c r="E49" s="202"/>
      <c r="F49" s="257"/>
      <c r="G49" s="214"/>
      <c r="H49" s="199"/>
      <c r="I49" s="200"/>
      <c r="J49" s="215"/>
      <c r="K49" s="222"/>
      <c r="L49" s="5"/>
      <c r="M49" s="5"/>
      <c r="N49" s="5"/>
      <c r="O49" s="203">
        <f>IF(O48+1&lt;=MIN('Données projet'!$E$9:$E$18),O48+1,"STOP")</f>
        <v>16</v>
      </c>
      <c r="P49" s="193">
        <f t="shared" si="3"/>
        <v>0</v>
      </c>
      <c r="Q49" s="262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</row>
    <row r="50" spans="1:56" ht="16" x14ac:dyDescent="0.2">
      <c r="A50" s="205">
        <v>2</v>
      </c>
      <c r="B50" s="208" t="s">
        <v>132</v>
      </c>
      <c r="C50" s="207" t="s">
        <v>132</v>
      </c>
      <c r="D50" s="206" t="s">
        <v>132</v>
      </c>
      <c r="E50" s="202"/>
      <c r="F50" s="257"/>
      <c r="G50" s="216"/>
      <c r="H50" s="199"/>
      <c r="I50" s="200"/>
      <c r="J50" s="25"/>
      <c r="K50" s="179"/>
      <c r="L50" s="5"/>
      <c r="M50" s="5"/>
      <c r="N50" s="5"/>
      <c r="O50" s="203">
        <f>IF(O49+1&lt;=MIN('Données projet'!$E$9:$E$18),O49+1,"STOP")</f>
        <v>17</v>
      </c>
      <c r="P50" s="193">
        <f t="shared" si="3"/>
        <v>0</v>
      </c>
      <c r="Q50" s="261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05">
        <v>3</v>
      </c>
      <c r="B51" s="208" t="s">
        <v>132</v>
      </c>
      <c r="C51" s="207" t="s">
        <v>132</v>
      </c>
      <c r="D51" s="206" t="s">
        <v>132</v>
      </c>
      <c r="E51" s="202"/>
      <c r="F51" s="257"/>
      <c r="G51" s="216"/>
      <c r="H51" s="199"/>
      <c r="I51" s="200"/>
      <c r="J51" s="25"/>
      <c r="K51" s="179"/>
      <c r="L51" s="5"/>
      <c r="M51" s="5"/>
      <c r="N51" s="5"/>
      <c r="O51" s="203">
        <f>IF(O50+1&lt;=MIN('Données projet'!$E$9:$E$18),O50+1,"STOP")</f>
        <v>18</v>
      </c>
      <c r="P51" s="193">
        <f t="shared" si="3"/>
        <v>0</v>
      </c>
      <c r="Q51" s="261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05">
        <v>4</v>
      </c>
      <c r="B52" s="208" t="s">
        <v>132</v>
      </c>
      <c r="C52" s="207" t="s">
        <v>132</v>
      </c>
      <c r="D52" s="206" t="s">
        <v>132</v>
      </c>
      <c r="E52" s="202"/>
      <c r="F52" s="257"/>
      <c r="G52" s="216"/>
      <c r="H52" s="199"/>
      <c r="I52" s="200"/>
      <c r="J52" s="25"/>
      <c r="K52" s="179"/>
      <c r="L52" s="5"/>
      <c r="M52" s="5"/>
      <c r="N52" s="5"/>
      <c r="O52" s="203">
        <f>IF(O51+1&lt;=MIN('Données projet'!$E$9:$E$18),O51+1,"STOP")</f>
        <v>19</v>
      </c>
      <c r="P52" s="193">
        <f t="shared" si="3"/>
        <v>0</v>
      </c>
      <c r="Q52" s="261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05">
        <v>5</v>
      </c>
      <c r="B53" s="208" t="s">
        <v>132</v>
      </c>
      <c r="C53" s="207" t="s">
        <v>132</v>
      </c>
      <c r="D53" s="206" t="s">
        <v>132</v>
      </c>
      <c r="E53" s="202"/>
      <c r="F53" s="257"/>
      <c r="G53" s="217"/>
      <c r="H53" s="199"/>
      <c r="I53" s="200"/>
      <c r="J53" s="25"/>
      <c r="K53" s="179"/>
      <c r="L53" s="5"/>
      <c r="M53" s="5"/>
      <c r="N53" s="5"/>
      <c r="O53" s="203">
        <f>IF(O52+1&lt;=MIN('Données projet'!$E$9:$E$18),O52+1,"STOP")</f>
        <v>20</v>
      </c>
      <c r="P53" s="193">
        <f t="shared" si="3"/>
        <v>0</v>
      </c>
      <c r="Q53" s="261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88">
        <f>'Données projet'!A62</f>
        <v>10</v>
      </c>
      <c r="B54" s="189">
        <f>'Données projet'!D62</f>
        <v>0</v>
      </c>
      <c r="C54" s="200">
        <f>60*'Données projet'!E62+13.8*('Données projet'!F62+'Données projet'!G62)+15*'Données projet'!H62</f>
        <v>15</v>
      </c>
      <c r="D54" s="187">
        <f>B54*C54</f>
        <v>0</v>
      </c>
      <c r="E54" s="202"/>
      <c r="F54" s="258"/>
      <c r="G54" s="217"/>
      <c r="H54" s="199"/>
      <c r="I54" s="200"/>
      <c r="J54" s="25"/>
      <c r="K54" s="179"/>
      <c r="L54" s="5"/>
      <c r="M54" s="5"/>
      <c r="N54" s="5"/>
      <c r="O54" s="203">
        <f>IF(O53+1&lt;=MIN('Données projet'!$E$9:$E$18),O53+1,"STOP")</f>
        <v>21</v>
      </c>
      <c r="P54" s="193">
        <f t="shared" si="3"/>
        <v>0</v>
      </c>
      <c r="Q54" s="261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88">
        <f>'Données projet'!A63</f>
        <v>15</v>
      </c>
      <c r="B55" s="189">
        <f>'Données projet'!D63</f>
        <v>0</v>
      </c>
      <c r="C55" s="200">
        <f>60*'Données projet'!E63+13.8*('Données projet'!F63+'Données projet'!G63)+15*'Données projet'!H63</f>
        <v>24</v>
      </c>
      <c r="D55" s="187">
        <f t="shared" ref="D55:D73" si="4">B55*C55</f>
        <v>0</v>
      </c>
      <c r="E55" s="202"/>
      <c r="F55" s="258"/>
      <c r="G55" s="217"/>
      <c r="H55" s="199"/>
      <c r="I55" s="200"/>
      <c r="J55" s="25"/>
      <c r="K55" s="179"/>
      <c r="L55" s="5"/>
      <c r="M55" s="5"/>
      <c r="N55" s="5"/>
      <c r="O55" s="203">
        <f>IF(O54+1&lt;=MIN('Données projet'!$E$9:$E$18),O54+1,"STOP")</f>
        <v>22</v>
      </c>
      <c r="P55" s="193">
        <f t="shared" si="3"/>
        <v>0</v>
      </c>
      <c r="Q55" s="261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88">
        <f>'Données projet'!A64</f>
        <v>20</v>
      </c>
      <c r="B56" s="189">
        <f>'Données projet'!D64</f>
        <v>0</v>
      </c>
      <c r="C56" s="200">
        <f>60*'Données projet'!E64+13.8*('Données projet'!F64+'Données projet'!G64)+15*'Données projet'!H64</f>
        <v>24</v>
      </c>
      <c r="D56" s="187">
        <f t="shared" si="4"/>
        <v>0</v>
      </c>
      <c r="E56" s="202"/>
      <c r="F56" s="258"/>
      <c r="G56" s="217"/>
      <c r="H56" s="199"/>
      <c r="I56" s="200"/>
      <c r="J56" s="25"/>
      <c r="K56" s="179"/>
      <c r="L56" s="5"/>
      <c r="M56" s="5"/>
      <c r="N56" s="5"/>
      <c r="O56" s="203">
        <f>IF(O55+1&lt;=MIN('Données projet'!$E$9:$E$18),O55+1,"STOP")</f>
        <v>23</v>
      </c>
      <c r="P56" s="193">
        <f t="shared" si="3"/>
        <v>0</v>
      </c>
      <c r="Q56" s="261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88">
        <f>'Données projet'!A65</f>
        <v>25</v>
      </c>
      <c r="B57" s="189">
        <f>'Données projet'!D65</f>
        <v>0</v>
      </c>
      <c r="C57" s="200">
        <f>60*'Données projet'!E65+13.8*('Données projet'!F65+'Données projet'!G65)+15*'Données projet'!H65</f>
        <v>28.5</v>
      </c>
      <c r="D57" s="187">
        <f t="shared" si="4"/>
        <v>0</v>
      </c>
      <c r="E57" s="202"/>
      <c r="F57" s="258"/>
      <c r="G57" s="217"/>
      <c r="H57" s="199"/>
      <c r="I57" s="200"/>
      <c r="J57" s="25"/>
      <c r="K57" s="179"/>
      <c r="L57" s="5"/>
      <c r="M57" s="5"/>
      <c r="N57" s="5"/>
      <c r="O57" s="203">
        <f>IF(O56+1&lt;=MIN('Données projet'!$E$9:$E$18),O56+1,"STOP")</f>
        <v>24</v>
      </c>
      <c r="P57" s="193">
        <f t="shared" si="3"/>
        <v>0</v>
      </c>
      <c r="Q57" s="261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88">
        <f>'Données projet'!A66</f>
        <v>30</v>
      </c>
      <c r="B58" s="189">
        <f>'Données projet'!D66</f>
        <v>0</v>
      </c>
      <c r="C58" s="200">
        <f>60*'Données projet'!E66+13.8*('Données projet'!F66+'Données projet'!G66)+15*'Données projet'!H66</f>
        <v>28.5</v>
      </c>
      <c r="D58" s="187">
        <f t="shared" si="4"/>
        <v>0</v>
      </c>
      <c r="E58" s="202"/>
      <c r="F58" s="258"/>
      <c r="G58" s="217"/>
      <c r="H58" s="199"/>
      <c r="I58" s="200"/>
      <c r="J58" s="25"/>
      <c r="K58" s="179"/>
      <c r="L58" s="5"/>
      <c r="M58" s="5"/>
      <c r="N58" s="5"/>
      <c r="O58" s="203">
        <f>IF(O57+1&lt;=MIN('Données projet'!$E$9:$E$18),O57+1,"STOP")</f>
        <v>25</v>
      </c>
      <c r="P58" s="193">
        <f t="shared" si="3"/>
        <v>0</v>
      </c>
      <c r="Q58" s="261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88">
        <f>'Données projet'!A67</f>
        <v>35</v>
      </c>
      <c r="B59" s="189">
        <f>'Données projet'!D67</f>
        <v>35</v>
      </c>
      <c r="C59" s="200">
        <f>60*'Données projet'!E67+13.8*('Données projet'!F67+'Données projet'!G67)+15*'Données projet'!H67</f>
        <v>33</v>
      </c>
      <c r="D59" s="187">
        <f t="shared" si="4"/>
        <v>1155</v>
      </c>
      <c r="E59" s="202"/>
      <c r="F59" s="258"/>
      <c r="G59" s="217"/>
      <c r="H59" s="199"/>
      <c r="I59" s="200"/>
      <c r="J59" s="25"/>
      <c r="K59" s="179"/>
      <c r="L59" s="5"/>
      <c r="M59" s="5"/>
      <c r="N59" s="5"/>
      <c r="O59" s="203">
        <f>IF(O58+1&lt;=MIN('Données projet'!$E$9:$E$18),O58+1,"STOP")</f>
        <v>26</v>
      </c>
      <c r="P59" s="193">
        <f t="shared" si="3"/>
        <v>0</v>
      </c>
      <c r="Q59" s="261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88">
        <f>'Données projet'!A68</f>
        <v>40</v>
      </c>
      <c r="B60" s="189">
        <f>'Données projet'!D68</f>
        <v>35</v>
      </c>
      <c r="C60" s="200">
        <f>60*'Données projet'!E68+13.8*('Données projet'!F68+'Données projet'!G68)+15*'Données projet'!H68</f>
        <v>33</v>
      </c>
      <c r="D60" s="187">
        <f t="shared" si="4"/>
        <v>1155</v>
      </c>
      <c r="E60" s="202"/>
      <c r="F60" s="258"/>
      <c r="G60" s="218"/>
      <c r="H60" s="199"/>
      <c r="I60" s="200"/>
      <c r="J60" s="25"/>
      <c r="K60" s="179"/>
      <c r="L60" s="5"/>
      <c r="M60" s="5"/>
      <c r="N60" s="5"/>
      <c r="O60" s="203">
        <f>IF(O59+1&lt;=MIN('Données projet'!$E$9:$E$18),O59+1,"STOP")</f>
        <v>27</v>
      </c>
      <c r="P60" s="193">
        <f t="shared" si="3"/>
        <v>0</v>
      </c>
      <c r="Q60" s="261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88">
        <f>'Données projet'!A69</f>
        <v>45</v>
      </c>
      <c r="B61" s="189">
        <f>'Données projet'!D69</f>
        <v>24</v>
      </c>
      <c r="C61" s="200">
        <f>60*'Données projet'!E69+13.8*('Données projet'!F69+'Données projet'!G69)+15*'Données projet'!H69</f>
        <v>37.5</v>
      </c>
      <c r="D61" s="187">
        <f t="shared" si="4"/>
        <v>900</v>
      </c>
      <c r="E61" s="202"/>
      <c r="F61" s="258"/>
      <c r="G61" s="218"/>
      <c r="H61" s="199"/>
      <c r="I61" s="200"/>
      <c r="J61" s="25"/>
      <c r="K61" s="179"/>
      <c r="L61" s="5"/>
      <c r="M61" s="5"/>
      <c r="N61" s="5"/>
      <c r="O61" s="203">
        <f>IF(O60+1&lt;=MIN('Données projet'!$E$9:$E$18),O60+1,"STOP")</f>
        <v>28</v>
      </c>
      <c r="P61" s="193">
        <f t="shared" si="3"/>
        <v>0</v>
      </c>
      <c r="Q61" s="261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88">
        <f>'Données projet'!A70</f>
        <v>50</v>
      </c>
      <c r="B62" s="189">
        <f>'Données projet'!D70</f>
        <v>19</v>
      </c>
      <c r="C62" s="200">
        <f>60*'Données projet'!E70+13.8*('Données projet'!F70+'Données projet'!G70)+15*'Données projet'!H70</f>
        <v>37.5</v>
      </c>
      <c r="D62" s="187">
        <f t="shared" si="4"/>
        <v>712.5</v>
      </c>
      <c r="E62" s="202"/>
      <c r="F62" s="258"/>
      <c r="G62" s="218"/>
      <c r="H62" s="199"/>
      <c r="I62" s="200"/>
      <c r="J62" s="25"/>
      <c r="K62" s="179"/>
      <c r="L62" s="5"/>
      <c r="M62" s="5"/>
      <c r="N62" s="5"/>
      <c r="O62" s="203">
        <f>IF(O61+1&lt;=MIN('Données projet'!$E$9:$E$18),O61+1,"STOP")</f>
        <v>29</v>
      </c>
      <c r="P62" s="193">
        <f t="shared" si="3"/>
        <v>0</v>
      </c>
      <c r="Q62" s="261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88">
        <f>'Données projet'!A71</f>
        <v>55</v>
      </c>
      <c r="B63" s="189">
        <f>'Données projet'!D71</f>
        <v>16</v>
      </c>
      <c r="C63" s="200">
        <f>60*'Données projet'!E71+13.8*('Données projet'!F71+'Données projet'!G71)+15*'Données projet'!H71</f>
        <v>42</v>
      </c>
      <c r="D63" s="187">
        <f t="shared" si="4"/>
        <v>672</v>
      </c>
      <c r="E63" s="202"/>
      <c r="F63" s="258"/>
      <c r="G63" s="218"/>
      <c r="H63" s="199"/>
      <c r="I63" s="200"/>
      <c r="J63" s="25"/>
      <c r="K63" s="179"/>
      <c r="L63" s="5"/>
      <c r="M63" s="5"/>
      <c r="N63" s="5"/>
      <c r="O63" s="203">
        <f>IF(O62+1&lt;=MIN('Données projet'!$E$9:$E$18),O62+1,"STOP")</f>
        <v>30</v>
      </c>
      <c r="P63" s="193">
        <f t="shared" si="3"/>
        <v>0</v>
      </c>
      <c r="Q63" s="261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88">
        <f>'Données projet'!A72</f>
        <v>60</v>
      </c>
      <c r="B64" s="189">
        <f>'Données projet'!D72</f>
        <v>14</v>
      </c>
      <c r="C64" s="200">
        <f>60*'Données projet'!E72+13.8*('Données projet'!F72+'Données projet'!G72)+15*'Données projet'!H72</f>
        <v>42</v>
      </c>
      <c r="D64" s="187">
        <f t="shared" si="4"/>
        <v>588</v>
      </c>
      <c r="E64" s="202"/>
      <c r="F64" s="258"/>
      <c r="G64" s="218"/>
      <c r="H64" s="199"/>
      <c r="I64" s="200"/>
      <c r="J64" s="219"/>
      <c r="K64" s="179"/>
      <c r="L64" s="5"/>
      <c r="M64" s="5"/>
      <c r="N64" s="5"/>
      <c r="O64" s="203">
        <f>IF(O63+1&lt;=MIN('Données projet'!$E$9:$E$18),O63+1,"STOP")</f>
        <v>31</v>
      </c>
      <c r="P64" s="193">
        <f t="shared" si="3"/>
        <v>0</v>
      </c>
      <c r="Q64" s="261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88">
        <f>'Données projet'!A73</f>
        <v>65</v>
      </c>
      <c r="B65" s="189">
        <f>'Données projet'!D73</f>
        <v>13</v>
      </c>
      <c r="C65" s="200">
        <f>60*'Données projet'!E73+13.8*('Données projet'!F73+'Données projet'!G73)+15*'Données projet'!H73</f>
        <v>46.5</v>
      </c>
      <c r="D65" s="187">
        <f t="shared" si="4"/>
        <v>604.5</v>
      </c>
      <c r="E65" s="202"/>
      <c r="F65" s="258"/>
      <c r="G65" s="218"/>
      <c r="H65" s="199"/>
      <c r="I65" s="200"/>
      <c r="J65" s="197"/>
      <c r="K65" s="179"/>
      <c r="L65" s="5"/>
      <c r="M65" s="5"/>
      <c r="N65" s="5"/>
      <c r="O65" s="203">
        <f>IF(O64+1&lt;=MIN('Données projet'!$E$9:$E$18),O64+1,"STOP")</f>
        <v>32</v>
      </c>
      <c r="P65" s="193">
        <f t="shared" ref="P65:P96" si="5">$P$25/(1+$M$4)^O65</f>
        <v>0</v>
      </c>
      <c r="Q65" s="261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88">
        <f>'Données projet'!A74</f>
        <v>70</v>
      </c>
      <c r="B66" s="189">
        <f>'Données projet'!D74</f>
        <v>13</v>
      </c>
      <c r="C66" s="200">
        <f>60*'Données projet'!E74+13.8*('Données projet'!F74+'Données projet'!G74)+15*'Données projet'!H74</f>
        <v>46.5</v>
      </c>
      <c r="D66" s="187">
        <f t="shared" si="4"/>
        <v>604.5</v>
      </c>
      <c r="E66" s="202"/>
      <c r="F66" s="258"/>
      <c r="G66" s="218"/>
      <c r="H66" s="199"/>
      <c r="I66" s="200"/>
      <c r="J66" s="197"/>
      <c r="K66" s="179"/>
      <c r="L66" s="5"/>
      <c r="M66" s="5"/>
      <c r="N66" s="5"/>
      <c r="O66" s="203">
        <f>IF(O65+1&lt;=MIN('Données projet'!$E$9:$E$18),O65+1,"STOP")</f>
        <v>33</v>
      </c>
      <c r="P66" s="193">
        <f t="shared" si="5"/>
        <v>0</v>
      </c>
      <c r="Q66" s="261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88">
        <f>'Données projet'!A75</f>
        <v>75</v>
      </c>
      <c r="B67" s="189">
        <f>'Données projet'!D75</f>
        <v>12</v>
      </c>
      <c r="C67" s="200">
        <f>60*'Données projet'!E75+13.8*('Données projet'!F75+'Données projet'!G75)+15*'Données projet'!H75</f>
        <v>51</v>
      </c>
      <c r="D67" s="187">
        <f t="shared" si="4"/>
        <v>612</v>
      </c>
      <c r="E67" s="202"/>
      <c r="F67" s="258"/>
      <c r="G67" s="218"/>
      <c r="H67" s="199"/>
      <c r="I67" s="200"/>
      <c r="J67" s="197"/>
      <c r="K67" s="179"/>
      <c r="L67" s="5"/>
      <c r="M67" s="5"/>
      <c r="N67" s="5"/>
      <c r="O67" s="203">
        <f>IF(O66+1&lt;=MIN('Données projet'!$E$9:$E$18),O66+1,"STOP")</f>
        <v>34</v>
      </c>
      <c r="P67" s="193">
        <f t="shared" si="5"/>
        <v>0</v>
      </c>
      <c r="Q67" s="261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88">
        <f>'Données projet'!A76</f>
        <v>80</v>
      </c>
      <c r="B68" s="189">
        <f>'Données projet'!D76</f>
        <v>330</v>
      </c>
      <c r="C68" s="200">
        <f>60*'Données projet'!E76+13.8*('Données projet'!F76+'Données projet'!G76)+15*'Données projet'!H76</f>
        <v>51</v>
      </c>
      <c r="D68" s="187">
        <f t="shared" si="4"/>
        <v>16830</v>
      </c>
      <c r="E68" s="202"/>
      <c r="F68" s="258"/>
      <c r="G68" s="218"/>
      <c r="H68" s="199"/>
      <c r="I68" s="200"/>
      <c r="J68" s="197"/>
      <c r="K68" s="179"/>
      <c r="L68" s="5"/>
      <c r="M68" s="5"/>
      <c r="N68" s="5"/>
      <c r="O68" s="203">
        <f>IF(O67+1&lt;=MIN('Données projet'!$E$9:$E$18),O67+1,"STOP")</f>
        <v>35</v>
      </c>
      <c r="P68" s="193">
        <f t="shared" si="5"/>
        <v>0</v>
      </c>
      <c r="Q68" s="261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88">
        <f>'Données projet'!A77</f>
        <v>0</v>
      </c>
      <c r="B69" s="189">
        <f>'Données projet'!D77</f>
        <v>0</v>
      </c>
      <c r="C69" s="200">
        <f>60*'Données projet'!E77+13.8*('Données projet'!F77+'Données projet'!G77)+15*'Données projet'!H77</f>
        <v>0</v>
      </c>
      <c r="D69" s="187">
        <f t="shared" si="4"/>
        <v>0</v>
      </c>
      <c r="E69" s="202"/>
      <c r="F69" s="258"/>
      <c r="G69" s="218"/>
      <c r="H69" s="199"/>
      <c r="I69" s="200"/>
      <c r="J69" s="197"/>
      <c r="K69" s="179"/>
      <c r="L69" s="5"/>
      <c r="M69" s="5"/>
      <c r="N69" s="5"/>
      <c r="O69" s="203">
        <f>IF(O68+1&lt;=MIN('Données projet'!$E$9:$E$18),O68+1,"STOP")</f>
        <v>36</v>
      </c>
      <c r="P69" s="193">
        <f t="shared" si="5"/>
        <v>0</v>
      </c>
      <c r="Q69" s="261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88">
        <f>'Données projet'!A78</f>
        <v>0</v>
      </c>
      <c r="B70" s="189">
        <f>'Données projet'!D78</f>
        <v>0</v>
      </c>
      <c r="C70" s="200">
        <f>60*'Données projet'!E78+13.8*('Données projet'!F78+'Données projet'!G78)+15*'Données projet'!H78</f>
        <v>0</v>
      </c>
      <c r="D70" s="187">
        <f t="shared" si="4"/>
        <v>0</v>
      </c>
      <c r="E70" s="202"/>
      <c r="F70" s="258"/>
      <c r="G70" s="218"/>
      <c r="H70" s="199"/>
      <c r="I70" s="200"/>
      <c r="J70" s="197"/>
      <c r="K70" s="179"/>
      <c r="L70" s="5"/>
      <c r="M70" s="5"/>
      <c r="N70" s="5"/>
      <c r="O70" s="203">
        <f>IF(O69+1&lt;=MIN('Données projet'!$E$9:$E$18),O69+1,"STOP")</f>
        <v>37</v>
      </c>
      <c r="P70" s="193">
        <f t="shared" si="5"/>
        <v>0</v>
      </c>
      <c r="Q70" s="261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88">
        <f>'Données projet'!A79</f>
        <v>0</v>
      </c>
      <c r="B71" s="189">
        <f>'Données projet'!D79</f>
        <v>0</v>
      </c>
      <c r="C71" s="200">
        <f>60*'Données projet'!E79+13.8*('Données projet'!F79+'Données projet'!G79)+15*'Données projet'!H79</f>
        <v>0</v>
      </c>
      <c r="D71" s="187">
        <f t="shared" si="4"/>
        <v>0</v>
      </c>
      <c r="E71" s="202"/>
      <c r="F71" s="258"/>
      <c r="G71" s="218"/>
      <c r="H71" s="199"/>
      <c r="I71" s="200"/>
      <c r="J71" s="197"/>
      <c r="K71" s="179"/>
      <c r="L71" s="5"/>
      <c r="M71" s="5"/>
      <c r="N71" s="5"/>
      <c r="O71" s="203">
        <f>IF(O70+1&lt;=MIN('Données projet'!$E$9:$E$18),O70+1,"STOP")</f>
        <v>38</v>
      </c>
      <c r="P71" s="193">
        <f t="shared" si="5"/>
        <v>0</v>
      </c>
      <c r="Q71" s="261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88">
        <f>'Données projet'!A80</f>
        <v>0</v>
      </c>
      <c r="B72" s="189">
        <f>'Données projet'!D80</f>
        <v>0</v>
      </c>
      <c r="C72" s="200">
        <f>60*'Données projet'!E80+13.8*('Données projet'!F80+'Données projet'!G80)+15*'Données projet'!H80</f>
        <v>0</v>
      </c>
      <c r="D72" s="187">
        <f t="shared" si="4"/>
        <v>0</v>
      </c>
      <c r="E72" s="202"/>
      <c r="F72" s="258"/>
      <c r="G72" s="218"/>
      <c r="H72" s="199"/>
      <c r="I72" s="200"/>
      <c r="J72" s="5"/>
      <c r="K72" s="179"/>
      <c r="L72" s="5"/>
      <c r="M72" s="5"/>
      <c r="N72" s="5"/>
      <c r="O72" s="203">
        <f>IF(O71+1&lt;=MIN('Données projet'!$E$9:$E$18),O71+1,"STOP")</f>
        <v>39</v>
      </c>
      <c r="P72" s="193">
        <f t="shared" si="5"/>
        <v>0</v>
      </c>
      <c r="Q72" s="261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88">
        <f>'Données projet'!A81</f>
        <v>0</v>
      </c>
      <c r="B73" s="189">
        <f>'Données projet'!D81</f>
        <v>0</v>
      </c>
      <c r="C73" s="200">
        <f>60*'Données projet'!E81+13.8*('Données projet'!F81+'Données projet'!G81)+15*'Données projet'!H81</f>
        <v>0</v>
      </c>
      <c r="D73" s="187">
        <f t="shared" si="4"/>
        <v>0</v>
      </c>
      <c r="E73" s="202"/>
      <c r="F73" s="258"/>
      <c r="G73" s="218"/>
      <c r="H73" s="199"/>
      <c r="I73" s="200"/>
      <c r="J73" s="5"/>
      <c r="K73" s="179"/>
      <c r="L73" s="5"/>
      <c r="M73" s="5"/>
      <c r="N73" s="5"/>
      <c r="O73" s="203">
        <f>IF(O72+1&lt;=MIN('Données projet'!$E$9:$E$18),O72+1,"STOP")</f>
        <v>40</v>
      </c>
      <c r="P73" s="193">
        <f t="shared" si="5"/>
        <v>0</v>
      </c>
      <c r="Q73" s="261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56"/>
      <c r="G74" s="218"/>
      <c r="H74" s="199"/>
      <c r="I74" s="200"/>
      <c r="J74" s="5"/>
      <c r="K74" s="179"/>
      <c r="L74" s="5"/>
      <c r="M74" s="5"/>
      <c r="N74" s="5"/>
      <c r="O74" s="203">
        <f>IF(O73+1&lt;=MIN('Données projet'!$E$9:$E$18),O73+1,"STOP")</f>
        <v>41</v>
      </c>
      <c r="P74" s="193">
        <f t="shared" si="5"/>
        <v>0</v>
      </c>
      <c r="Q74" s="261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56"/>
      <c r="G75" s="218"/>
      <c r="H75" s="199"/>
      <c r="I75" s="200"/>
      <c r="J75" s="5"/>
      <c r="K75" s="179"/>
      <c r="L75" s="5"/>
      <c r="M75" s="5"/>
      <c r="N75" s="5"/>
      <c r="O75" s="203">
        <f>IF(O74+1&lt;=MIN('Données projet'!$E$9:$E$18),O74+1,"STOP")</f>
        <v>42</v>
      </c>
      <c r="P75" s="193">
        <f t="shared" si="5"/>
        <v>0</v>
      </c>
      <c r="Q75" s="261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2" t="str">
        <f>IF('Données projet'!B11="","",'Données projet'!B11)</f>
        <v>Erable sycomore</v>
      </c>
      <c r="C76" s="5"/>
      <c r="D76" s="5"/>
      <c r="E76" s="5"/>
      <c r="F76" s="256"/>
      <c r="G76" s="218"/>
      <c r="H76" s="199"/>
      <c r="I76" s="200"/>
      <c r="J76" s="5"/>
      <c r="K76" s="179"/>
      <c r="L76" s="5"/>
      <c r="M76" s="5"/>
      <c r="N76" s="5"/>
      <c r="O76" s="203">
        <f>IF(O75+1&lt;=MIN('Données projet'!$E$9:$E$18),O75+1,"STOP")</f>
        <v>43</v>
      </c>
      <c r="P76" s="193">
        <f t="shared" si="5"/>
        <v>0</v>
      </c>
      <c r="Q76" s="261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56"/>
      <c r="G77" s="218"/>
      <c r="H77" s="199"/>
      <c r="I77" s="200"/>
      <c r="J77" s="5"/>
      <c r="K77" s="179"/>
      <c r="L77" s="5"/>
      <c r="M77" s="5"/>
      <c r="N77" s="5"/>
      <c r="O77" s="203">
        <f>IF(O76+1&lt;=MIN('Données projet'!$E$9:$E$18),O76+1,"STOP")</f>
        <v>44</v>
      </c>
      <c r="P77" s="193">
        <f t="shared" si="5"/>
        <v>0</v>
      </c>
      <c r="Q77" s="261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2" t="s">
        <v>180</v>
      </c>
      <c r="B78" s="51" t="s">
        <v>256</v>
      </c>
      <c r="C78" s="51" t="s">
        <v>255</v>
      </c>
      <c r="D78" s="252" t="s">
        <v>252</v>
      </c>
      <c r="E78" s="252" t="s">
        <v>320</v>
      </c>
      <c r="F78" s="257"/>
      <c r="G78" s="218"/>
      <c r="H78" s="199"/>
      <c r="I78" s="200"/>
      <c r="J78" s="5"/>
      <c r="K78" s="179"/>
      <c r="L78" s="5"/>
      <c r="M78" s="5"/>
      <c r="N78" s="5"/>
      <c r="O78" s="203">
        <f>IF(O77+1&lt;=MIN('Données projet'!$E$9:$E$18),O77+1,"STOP")</f>
        <v>45</v>
      </c>
      <c r="P78" s="193">
        <f t="shared" si="5"/>
        <v>0</v>
      </c>
      <c r="Q78" s="261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05">
        <v>0</v>
      </c>
      <c r="B79" s="208" t="s">
        <v>132</v>
      </c>
      <c r="C79" s="207" t="s">
        <v>132</v>
      </c>
      <c r="D79" s="206" t="s">
        <v>132</v>
      </c>
      <c r="E79" s="202">
        <v>2904</v>
      </c>
      <c r="F79" s="257"/>
      <c r="G79" s="218"/>
      <c r="H79" s="199"/>
      <c r="I79" s="200"/>
      <c r="J79" s="5"/>
      <c r="K79" s="179"/>
      <c r="L79" s="5"/>
      <c r="M79" s="5"/>
      <c r="N79" s="5"/>
      <c r="O79" s="203">
        <f>IF(O78+1&lt;=MIN('Données projet'!$E$9:$E$18),O78+1,"STOP")</f>
        <v>46</v>
      </c>
      <c r="P79" s="193">
        <f t="shared" si="5"/>
        <v>0</v>
      </c>
      <c r="Q79" s="261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05">
        <v>1</v>
      </c>
      <c r="B80" s="208" t="s">
        <v>132</v>
      </c>
      <c r="C80" s="207" t="s">
        <v>132</v>
      </c>
      <c r="D80" s="206" t="s">
        <v>132</v>
      </c>
      <c r="E80" s="202"/>
      <c r="F80" s="257"/>
      <c r="G80" s="216"/>
      <c r="H80" s="199"/>
      <c r="I80" s="200"/>
      <c r="J80" s="5"/>
      <c r="K80" s="179"/>
      <c r="L80" s="5"/>
      <c r="M80" s="5"/>
      <c r="N80" s="5"/>
      <c r="O80" s="203">
        <f>IF(O79+1&lt;=MIN('Données projet'!$E$9:$E$18),O79+1,"STOP")</f>
        <v>47</v>
      </c>
      <c r="P80" s="193">
        <f t="shared" si="5"/>
        <v>0</v>
      </c>
      <c r="Q80" s="261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05">
        <v>2</v>
      </c>
      <c r="B81" s="208" t="s">
        <v>132</v>
      </c>
      <c r="C81" s="207" t="s">
        <v>132</v>
      </c>
      <c r="D81" s="206" t="s">
        <v>132</v>
      </c>
      <c r="E81" s="202"/>
      <c r="F81" s="257"/>
      <c r="G81" s="216"/>
      <c r="H81" s="199"/>
      <c r="I81" s="200"/>
      <c r="J81" s="5"/>
      <c r="K81" s="179"/>
      <c r="L81" s="5"/>
      <c r="M81" s="5"/>
      <c r="N81" s="5"/>
      <c r="O81" s="203">
        <f>IF(O80+1&lt;=MIN('Données projet'!$E$9:$E$18),O80+1,"STOP")</f>
        <v>48</v>
      </c>
      <c r="P81" s="193">
        <f t="shared" si="5"/>
        <v>0</v>
      </c>
      <c r="Q81" s="261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05">
        <v>3</v>
      </c>
      <c r="B82" s="208" t="s">
        <v>132</v>
      </c>
      <c r="C82" s="207" t="s">
        <v>132</v>
      </c>
      <c r="D82" s="206" t="s">
        <v>132</v>
      </c>
      <c r="E82" s="202"/>
      <c r="F82" s="257"/>
      <c r="G82" s="216"/>
      <c r="H82" s="199"/>
      <c r="I82" s="200"/>
      <c r="J82" s="5"/>
      <c r="K82" s="179"/>
      <c r="L82" s="5"/>
      <c r="M82" s="5"/>
      <c r="N82" s="5"/>
      <c r="O82" s="203">
        <f>IF(O81+1&lt;=MIN('Données projet'!$E$9:$E$18),O81+1,"STOP")</f>
        <v>49</v>
      </c>
      <c r="P82" s="193">
        <f t="shared" si="5"/>
        <v>0</v>
      </c>
      <c r="Q82" s="261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05">
        <v>4</v>
      </c>
      <c r="B83" s="208" t="s">
        <v>132</v>
      </c>
      <c r="C83" s="207" t="s">
        <v>132</v>
      </c>
      <c r="D83" s="206" t="s">
        <v>132</v>
      </c>
      <c r="E83" s="202"/>
      <c r="F83" s="257"/>
      <c r="G83" s="216"/>
      <c r="H83" s="199"/>
      <c r="I83" s="200"/>
      <c r="J83" s="5"/>
      <c r="K83" s="179"/>
      <c r="L83" s="5"/>
      <c r="M83" s="5"/>
      <c r="N83" s="5"/>
      <c r="O83" s="203">
        <f>IF(O82+1&lt;=MIN('Données projet'!$E$9:$E$18),O82+1,"STOP")</f>
        <v>50</v>
      </c>
      <c r="P83" s="193">
        <f t="shared" si="5"/>
        <v>0</v>
      </c>
      <c r="Q83" s="261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05">
        <v>5</v>
      </c>
      <c r="B84" s="208" t="s">
        <v>132</v>
      </c>
      <c r="C84" s="207" t="s">
        <v>132</v>
      </c>
      <c r="D84" s="206" t="s">
        <v>132</v>
      </c>
      <c r="E84" s="202"/>
      <c r="F84" s="257"/>
      <c r="G84" s="217"/>
      <c r="H84" s="199"/>
      <c r="I84" s="200"/>
      <c r="J84" s="5"/>
      <c r="K84" s="179"/>
      <c r="L84" s="5"/>
      <c r="M84" s="5"/>
      <c r="N84" s="5"/>
      <c r="O84" s="203">
        <f>IF(O83+1&lt;=MIN('Données projet'!$E$9:$E$18),O83+1,"STOP")</f>
        <v>51</v>
      </c>
      <c r="P84" s="193">
        <f t="shared" si="5"/>
        <v>0</v>
      </c>
      <c r="Q84" s="261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88">
        <f>'Données projet'!A88</f>
        <v>10</v>
      </c>
      <c r="B85" s="189">
        <f>'Données projet'!D88</f>
        <v>0</v>
      </c>
      <c r="C85" s="200">
        <f>60*'Données projet'!E88+13.8*('Données projet'!F88+'Données projet'!G88)+15*'Données projet'!H88</f>
        <v>15</v>
      </c>
      <c r="D85" s="187">
        <f>B85*C85</f>
        <v>0</v>
      </c>
      <c r="E85" s="202"/>
      <c r="F85" s="258"/>
      <c r="G85" s="217"/>
      <c r="H85" s="199"/>
      <c r="I85" s="200"/>
      <c r="J85" s="5"/>
      <c r="K85" s="179"/>
      <c r="L85" s="5"/>
      <c r="M85" s="5"/>
      <c r="N85" s="5"/>
      <c r="O85" s="203">
        <f>IF(O84+1&lt;=MIN('Données projet'!$E$9:$E$18),O84+1,"STOP")</f>
        <v>52</v>
      </c>
      <c r="P85" s="193">
        <f t="shared" si="5"/>
        <v>0</v>
      </c>
      <c r="Q85" s="261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88">
        <f>'Données projet'!A89</f>
        <v>15</v>
      </c>
      <c r="B86" s="189">
        <f>'Données projet'!D89</f>
        <v>0</v>
      </c>
      <c r="C86" s="200">
        <f>60*'Données projet'!E89+13.8*('Données projet'!F89+'Données projet'!G89)+15*'Données projet'!H89</f>
        <v>24</v>
      </c>
      <c r="D86" s="187">
        <f t="shared" ref="D86:D104" si="6">B86*C86</f>
        <v>0</v>
      </c>
      <c r="E86" s="202"/>
      <c r="F86" s="258"/>
      <c r="G86" s="217"/>
      <c r="H86" s="199"/>
      <c r="I86" s="200"/>
      <c r="J86" s="5"/>
      <c r="K86" s="179"/>
      <c r="L86" s="5"/>
      <c r="M86" s="5"/>
      <c r="N86" s="5"/>
      <c r="O86" s="203">
        <f>IF(O85+1&lt;=MIN('Données projet'!$E$9:$E$18),O85+1,"STOP")</f>
        <v>53</v>
      </c>
      <c r="P86" s="193">
        <f t="shared" si="5"/>
        <v>0</v>
      </c>
      <c r="Q86" s="261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88">
        <f>'Données projet'!A90</f>
        <v>20</v>
      </c>
      <c r="B87" s="189">
        <f>'Données projet'!D90</f>
        <v>0</v>
      </c>
      <c r="C87" s="200">
        <f>60*'Données projet'!E90+13.8*('Données projet'!F90+'Données projet'!G90)+15*'Données projet'!H90</f>
        <v>24</v>
      </c>
      <c r="D87" s="187">
        <f t="shared" si="6"/>
        <v>0</v>
      </c>
      <c r="E87" s="202"/>
      <c r="F87" s="258"/>
      <c r="G87" s="217"/>
      <c r="H87" s="199"/>
      <c r="I87" s="200"/>
      <c r="J87" s="5"/>
      <c r="K87" s="179"/>
      <c r="L87" s="5"/>
      <c r="M87" s="5"/>
      <c r="N87" s="5"/>
      <c r="O87" s="203">
        <f>IF(O86+1&lt;=MIN('Données projet'!$E$9:$E$18),O86+1,"STOP")</f>
        <v>54</v>
      </c>
      <c r="P87" s="193">
        <f t="shared" si="5"/>
        <v>0</v>
      </c>
      <c r="Q87" s="261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88">
        <f>'Données projet'!A91</f>
        <v>25</v>
      </c>
      <c r="B88" s="189">
        <f>'Données projet'!D91</f>
        <v>0</v>
      </c>
      <c r="C88" s="200">
        <f>60*'Données projet'!E91+13.8*('Données projet'!F91+'Données projet'!G91)+15*'Données projet'!H91</f>
        <v>28.5</v>
      </c>
      <c r="D88" s="187">
        <f t="shared" si="6"/>
        <v>0</v>
      </c>
      <c r="E88" s="202"/>
      <c r="F88" s="258"/>
      <c r="G88" s="217"/>
      <c r="H88" s="199"/>
      <c r="I88" s="200"/>
      <c r="J88" s="5"/>
      <c r="K88" s="179"/>
      <c r="L88" s="5"/>
      <c r="M88" s="5"/>
      <c r="N88" s="5"/>
      <c r="O88" s="203">
        <f>IF(O87+1&lt;=MIN('Données projet'!$E$9:$E$18),O87+1,"STOP")</f>
        <v>55</v>
      </c>
      <c r="P88" s="193">
        <f t="shared" si="5"/>
        <v>0</v>
      </c>
      <c r="Q88" s="261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88">
        <f>'Données projet'!A92</f>
        <v>30</v>
      </c>
      <c r="B89" s="189">
        <f>'Données projet'!D92</f>
        <v>0</v>
      </c>
      <c r="C89" s="200">
        <f>60*'Données projet'!E92+13.8*('Données projet'!F92+'Données projet'!G92)+15*'Données projet'!H92</f>
        <v>28.5</v>
      </c>
      <c r="D89" s="187">
        <f t="shared" si="6"/>
        <v>0</v>
      </c>
      <c r="E89" s="202"/>
      <c r="F89" s="258"/>
      <c r="G89" s="217"/>
      <c r="H89" s="199"/>
      <c r="I89" s="200"/>
      <c r="J89" s="5"/>
      <c r="K89" s="179"/>
      <c r="L89" s="5"/>
      <c r="M89" s="5"/>
      <c r="N89" s="5"/>
      <c r="O89" s="203">
        <f>IF(O88+1&lt;=MIN('Données projet'!$E$9:$E$18),O88+1,"STOP")</f>
        <v>56</v>
      </c>
      <c r="P89" s="193">
        <f t="shared" si="5"/>
        <v>0</v>
      </c>
      <c r="Q89" s="261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88">
        <f>'Données projet'!A93</f>
        <v>35</v>
      </c>
      <c r="B90" s="189">
        <f>'Données projet'!D93</f>
        <v>35</v>
      </c>
      <c r="C90" s="200">
        <f>60*'Données projet'!E93+13.8*('Données projet'!F93+'Données projet'!G93)+15*'Données projet'!H93</f>
        <v>33</v>
      </c>
      <c r="D90" s="187">
        <f t="shared" si="6"/>
        <v>1155</v>
      </c>
      <c r="E90" s="202"/>
      <c r="F90" s="258"/>
      <c r="G90" s="217"/>
      <c r="H90" s="199"/>
      <c r="I90" s="200"/>
      <c r="J90" s="5"/>
      <c r="K90" s="179"/>
      <c r="L90" s="5"/>
      <c r="M90" s="5"/>
      <c r="N90" s="5"/>
      <c r="O90" s="203">
        <f>IF(O89+1&lt;=MIN('Données projet'!$E$9:$E$18),O89+1,"STOP")</f>
        <v>57</v>
      </c>
      <c r="P90" s="193">
        <f t="shared" si="5"/>
        <v>0</v>
      </c>
      <c r="Q90" s="261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88">
        <f>'Données projet'!A94</f>
        <v>40</v>
      </c>
      <c r="B91" s="189">
        <f>'Données projet'!D94</f>
        <v>35</v>
      </c>
      <c r="C91" s="200">
        <f>60*'Données projet'!E94+13.8*('Données projet'!F94+'Données projet'!G94)+15*'Données projet'!H94</f>
        <v>33</v>
      </c>
      <c r="D91" s="187">
        <f t="shared" si="6"/>
        <v>1155</v>
      </c>
      <c r="E91" s="202"/>
      <c r="F91" s="258"/>
      <c r="G91" s="218"/>
      <c r="H91" s="199"/>
      <c r="I91" s="200"/>
      <c r="J91" s="5"/>
      <c r="K91" s="179"/>
      <c r="L91" s="5"/>
      <c r="M91" s="5"/>
      <c r="N91" s="5"/>
      <c r="O91" s="203">
        <f>IF(O90+1&lt;=MIN('Données projet'!$E$9:$E$18),O90+1,"STOP")</f>
        <v>58</v>
      </c>
      <c r="P91" s="193">
        <f t="shared" si="5"/>
        <v>0</v>
      </c>
      <c r="Q91" s="261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88">
        <f>'Données projet'!A95</f>
        <v>45</v>
      </c>
      <c r="B92" s="189">
        <f>'Données projet'!D95</f>
        <v>24</v>
      </c>
      <c r="C92" s="200">
        <f>60*'Données projet'!E95+13.8*('Données projet'!F95+'Données projet'!G95)+15*'Données projet'!H95</f>
        <v>37.5</v>
      </c>
      <c r="D92" s="187">
        <f t="shared" si="6"/>
        <v>900</v>
      </c>
      <c r="E92" s="202"/>
      <c r="F92" s="258"/>
      <c r="G92" s="218"/>
      <c r="H92" s="199"/>
      <c r="I92" s="200"/>
      <c r="J92" s="5"/>
      <c r="K92" s="179"/>
      <c r="L92" s="5"/>
      <c r="M92" s="5"/>
      <c r="N92" s="5"/>
      <c r="O92" s="203">
        <f>IF(O91+1&lt;=MIN('Données projet'!$E$9:$E$18),O91+1,"STOP")</f>
        <v>59</v>
      </c>
      <c r="P92" s="193">
        <f t="shared" si="5"/>
        <v>0</v>
      </c>
      <c r="Q92" s="261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88">
        <f>'Données projet'!A96</f>
        <v>50</v>
      </c>
      <c r="B93" s="189">
        <f>'Données projet'!D96</f>
        <v>19</v>
      </c>
      <c r="C93" s="200">
        <f>60*'Données projet'!E96+13.8*('Données projet'!F96+'Données projet'!G96)+15*'Données projet'!H96</f>
        <v>37.5</v>
      </c>
      <c r="D93" s="187">
        <f t="shared" si="6"/>
        <v>712.5</v>
      </c>
      <c r="E93" s="202"/>
      <c r="F93" s="258"/>
      <c r="G93" s="218"/>
      <c r="H93" s="199"/>
      <c r="I93" s="200"/>
      <c r="J93" s="5"/>
      <c r="K93" s="179"/>
      <c r="L93" s="5"/>
      <c r="M93" s="5"/>
      <c r="N93" s="5"/>
      <c r="O93" s="203">
        <f>IF(O92+1&lt;=MIN('Données projet'!$E$9:$E$18),O92+1,"STOP")</f>
        <v>60</v>
      </c>
      <c r="P93" s="193">
        <f t="shared" si="5"/>
        <v>0</v>
      </c>
      <c r="Q93" s="261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88">
        <f>'Données projet'!A97</f>
        <v>55</v>
      </c>
      <c r="B94" s="189">
        <f>'Données projet'!D97</f>
        <v>16</v>
      </c>
      <c r="C94" s="200">
        <f>60*'Données projet'!E97+13.8*('Données projet'!F97+'Données projet'!G97)+15*'Données projet'!H97</f>
        <v>42</v>
      </c>
      <c r="D94" s="187">
        <f t="shared" si="6"/>
        <v>672</v>
      </c>
      <c r="E94" s="202"/>
      <c r="F94" s="258"/>
      <c r="G94" s="218"/>
      <c r="H94" s="199"/>
      <c r="I94" s="200"/>
      <c r="J94" s="5"/>
      <c r="K94" s="179"/>
      <c r="L94" s="5"/>
      <c r="M94" s="5"/>
      <c r="N94" s="5"/>
      <c r="O94" s="203">
        <f>IF(O93+1&lt;=MIN('Données projet'!$E$9:$E$18),O93+1,"STOP")</f>
        <v>61</v>
      </c>
      <c r="P94" s="193">
        <f t="shared" si="5"/>
        <v>0</v>
      </c>
      <c r="Q94" s="261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88">
        <f>'Données projet'!A98</f>
        <v>60</v>
      </c>
      <c r="B95" s="189">
        <f>'Données projet'!D98</f>
        <v>14</v>
      </c>
      <c r="C95" s="200">
        <f>60*'Données projet'!E98+13.8*('Données projet'!F98+'Données projet'!G98)+15*'Données projet'!H98</f>
        <v>42</v>
      </c>
      <c r="D95" s="187">
        <f t="shared" si="6"/>
        <v>588</v>
      </c>
      <c r="E95" s="202"/>
      <c r="F95" s="258"/>
      <c r="G95" s="218"/>
      <c r="H95" s="199"/>
      <c r="I95" s="200"/>
      <c r="J95" s="5"/>
      <c r="K95" s="179"/>
      <c r="L95" s="5"/>
      <c r="M95" s="5"/>
      <c r="N95" s="5"/>
      <c r="O95" s="203">
        <f>IF(O94+1&lt;=MIN('Données projet'!$E$9:$E$18),O94+1,"STOP")</f>
        <v>62</v>
      </c>
      <c r="P95" s="193">
        <f t="shared" si="5"/>
        <v>0</v>
      </c>
      <c r="Q95" s="261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88">
        <f>'Données projet'!A99</f>
        <v>65</v>
      </c>
      <c r="B96" s="189">
        <f>'Données projet'!D99</f>
        <v>13</v>
      </c>
      <c r="C96" s="200">
        <f>60*'Données projet'!E99+13.8*('Données projet'!F99+'Données projet'!G99)+15*'Données projet'!H99</f>
        <v>46.5</v>
      </c>
      <c r="D96" s="187">
        <f t="shared" si="6"/>
        <v>604.5</v>
      </c>
      <c r="E96" s="202"/>
      <c r="F96" s="258"/>
      <c r="G96" s="218"/>
      <c r="H96" s="199"/>
      <c r="I96" s="200"/>
      <c r="J96" s="5"/>
      <c r="K96" s="179"/>
      <c r="L96" s="5"/>
      <c r="M96" s="5"/>
      <c r="N96" s="5"/>
      <c r="O96" s="203">
        <f>IF(O95+1&lt;=MIN('Données projet'!$E$9:$E$18),O95+1,"STOP")</f>
        <v>63</v>
      </c>
      <c r="P96" s="193">
        <f t="shared" si="5"/>
        <v>0</v>
      </c>
      <c r="Q96" s="261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88">
        <f>'Données projet'!A100</f>
        <v>70</v>
      </c>
      <c r="B97" s="189">
        <f>'Données projet'!D100</f>
        <v>13</v>
      </c>
      <c r="C97" s="200">
        <f>60*'Données projet'!E100+13.8*('Données projet'!F100+'Données projet'!G100)+15*'Données projet'!H100</f>
        <v>46.5</v>
      </c>
      <c r="D97" s="187">
        <f t="shared" si="6"/>
        <v>604.5</v>
      </c>
      <c r="E97" s="202"/>
      <c r="F97" s="258"/>
      <c r="G97" s="218"/>
      <c r="H97" s="199"/>
      <c r="I97" s="200"/>
      <c r="J97" s="5"/>
      <c r="K97" s="179"/>
      <c r="L97" s="5"/>
      <c r="M97" s="5"/>
      <c r="N97" s="5"/>
      <c r="O97" s="203">
        <f>IF(O96+1&lt;=MIN('Données projet'!$E$9:$E$18),O96+1,"STOP")</f>
        <v>64</v>
      </c>
      <c r="P97" s="193">
        <f t="shared" ref="P97:P128" si="7">$P$25/(1+$M$4)^O97</f>
        <v>0</v>
      </c>
      <c r="Q97" s="261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88">
        <f>'Données projet'!A101</f>
        <v>75</v>
      </c>
      <c r="B98" s="189">
        <f>'Données projet'!D101</f>
        <v>12</v>
      </c>
      <c r="C98" s="200">
        <f>60*'Données projet'!E101+13.8*('Données projet'!F101+'Données projet'!G101)+15*'Données projet'!H101</f>
        <v>51</v>
      </c>
      <c r="D98" s="187">
        <f t="shared" si="6"/>
        <v>612</v>
      </c>
      <c r="E98" s="202"/>
      <c r="F98" s="258"/>
      <c r="G98" s="218"/>
      <c r="H98" s="199"/>
      <c r="I98" s="200"/>
      <c r="J98" s="5"/>
      <c r="K98" s="179"/>
      <c r="L98" s="5"/>
      <c r="M98" s="5"/>
      <c r="N98" s="5"/>
      <c r="O98" s="203">
        <f>IF(O97+1&lt;=MIN('Données projet'!$E$9:$E$18),O97+1,"STOP")</f>
        <v>65</v>
      </c>
      <c r="P98" s="193">
        <f t="shared" si="7"/>
        <v>0</v>
      </c>
      <c r="Q98" s="261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88">
        <f>'Données projet'!A102</f>
        <v>80</v>
      </c>
      <c r="B99" s="189">
        <f>'Données projet'!D102</f>
        <v>330</v>
      </c>
      <c r="C99" s="200">
        <f>60*'Données projet'!E102+13.8*('Données projet'!F102+'Données projet'!G102)+15*'Données projet'!H102</f>
        <v>51</v>
      </c>
      <c r="D99" s="187">
        <f t="shared" si="6"/>
        <v>16830</v>
      </c>
      <c r="E99" s="202"/>
      <c r="F99" s="258"/>
      <c r="G99" s="218"/>
      <c r="H99" s="199"/>
      <c r="I99" s="200"/>
      <c r="J99" s="5"/>
      <c r="K99" s="179"/>
      <c r="L99" s="5"/>
      <c r="M99" s="5"/>
      <c r="N99" s="5"/>
      <c r="O99" s="203">
        <f>IF(O98+1&lt;=MIN('Données projet'!$E$9:$E$18),O98+1,"STOP")</f>
        <v>66</v>
      </c>
      <c r="P99" s="193">
        <f t="shared" si="7"/>
        <v>0</v>
      </c>
      <c r="Q99" s="261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88">
        <f>'Données projet'!A103</f>
        <v>0</v>
      </c>
      <c r="B100" s="189">
        <f>'Données projet'!D103</f>
        <v>0</v>
      </c>
      <c r="C100" s="200">
        <f>60*'Données projet'!E103+13.8*('Données projet'!F103+'Données projet'!G103)+15*'Données projet'!H103</f>
        <v>0</v>
      </c>
      <c r="D100" s="187">
        <f t="shared" si="6"/>
        <v>0</v>
      </c>
      <c r="E100" s="202"/>
      <c r="F100" s="258"/>
      <c r="G100" s="218"/>
      <c r="H100" s="199"/>
      <c r="I100" s="200"/>
      <c r="J100" s="5"/>
      <c r="K100" s="179"/>
      <c r="L100" s="5"/>
      <c r="M100" s="5"/>
      <c r="N100" s="5"/>
      <c r="O100" s="203">
        <f>IF(O99+1&lt;=MIN('Données projet'!$E$9:$E$18),O99+1,"STOP")</f>
        <v>67</v>
      </c>
      <c r="P100" s="193">
        <f t="shared" si="7"/>
        <v>0</v>
      </c>
      <c r="Q100" s="261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88">
        <f>'Données projet'!A104</f>
        <v>0</v>
      </c>
      <c r="B101" s="189">
        <f>'Données projet'!D104</f>
        <v>0</v>
      </c>
      <c r="C101" s="200">
        <f>60*'Données projet'!E104+13.8*('Données projet'!F104+'Données projet'!G104)+15*'Données projet'!H104</f>
        <v>0</v>
      </c>
      <c r="D101" s="187">
        <f t="shared" si="6"/>
        <v>0</v>
      </c>
      <c r="E101" s="202"/>
      <c r="F101" s="258"/>
      <c r="G101" s="218"/>
      <c r="H101" s="199"/>
      <c r="I101" s="200"/>
      <c r="J101" s="5"/>
      <c r="K101" s="179"/>
      <c r="L101" s="5"/>
      <c r="M101" s="5"/>
      <c r="N101" s="5"/>
      <c r="O101" s="203">
        <f>IF(O100+1&lt;=MIN('Données projet'!$E$9:$E$18),O100+1,"STOP")</f>
        <v>68</v>
      </c>
      <c r="P101" s="193">
        <f t="shared" si="7"/>
        <v>0</v>
      </c>
      <c r="Q101" s="261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88">
        <f>'Données projet'!A105</f>
        <v>0</v>
      </c>
      <c r="B102" s="189">
        <f>'Données projet'!D105</f>
        <v>0</v>
      </c>
      <c r="C102" s="200">
        <f>60*'Données projet'!E105+13.8*('Données projet'!F105+'Données projet'!G105)+15*'Données projet'!H105</f>
        <v>0</v>
      </c>
      <c r="D102" s="187">
        <f t="shared" si="6"/>
        <v>0</v>
      </c>
      <c r="E102" s="202"/>
      <c r="F102" s="258"/>
      <c r="G102" s="218"/>
      <c r="H102" s="199"/>
      <c r="I102" s="200"/>
      <c r="J102" s="5"/>
      <c r="K102" s="179"/>
      <c r="L102" s="5"/>
      <c r="M102" s="5"/>
      <c r="N102" s="5"/>
      <c r="O102" s="203">
        <f>IF(O101+1&lt;=MIN('Données projet'!$E$9:$E$18),O101+1,"STOP")</f>
        <v>69</v>
      </c>
      <c r="P102" s="193">
        <f t="shared" si="7"/>
        <v>0</v>
      </c>
      <c r="Q102" s="261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88">
        <f>'Données projet'!A106</f>
        <v>0</v>
      </c>
      <c r="B103" s="189">
        <f>'Données projet'!D106</f>
        <v>0</v>
      </c>
      <c r="C103" s="200">
        <f>60*'Données projet'!E106+13.8*('Données projet'!F106+'Données projet'!G106)+15*'Données projet'!H106</f>
        <v>0</v>
      </c>
      <c r="D103" s="187">
        <f t="shared" si="6"/>
        <v>0</v>
      </c>
      <c r="E103" s="202"/>
      <c r="F103" s="258"/>
      <c r="G103" s="218"/>
      <c r="H103" s="199"/>
      <c r="I103" s="200"/>
      <c r="J103" s="5"/>
      <c r="K103" s="179"/>
      <c r="L103" s="5"/>
      <c r="M103" s="5"/>
      <c r="N103" s="5"/>
      <c r="O103" s="203">
        <f>IF(O102+1&lt;=MIN('Données projet'!$E$9:$E$18),O102+1,"STOP")</f>
        <v>70</v>
      </c>
      <c r="P103" s="193">
        <f t="shared" si="7"/>
        <v>0</v>
      </c>
      <c r="Q103" s="261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88">
        <f>'Données projet'!A107</f>
        <v>0</v>
      </c>
      <c r="B104" s="189">
        <f>'Données projet'!D107</f>
        <v>0</v>
      </c>
      <c r="C104" s="200">
        <f>60*'Données projet'!E107+13.8*('Données projet'!F107+'Données projet'!G107)+15*'Données projet'!H107</f>
        <v>0</v>
      </c>
      <c r="D104" s="187">
        <f t="shared" si="6"/>
        <v>0</v>
      </c>
      <c r="E104" s="202"/>
      <c r="F104" s="258"/>
      <c r="G104" s="218"/>
      <c r="H104" s="199"/>
      <c r="I104" s="200"/>
      <c r="J104" s="5"/>
      <c r="K104" s="179"/>
      <c r="L104" s="5"/>
      <c r="M104" s="5"/>
      <c r="N104" s="5"/>
      <c r="O104" s="203">
        <f>IF(O103+1&lt;=MIN('Données projet'!$E$9:$E$18),O103+1,"STOP")</f>
        <v>71</v>
      </c>
      <c r="P104" s="193">
        <f t="shared" si="7"/>
        <v>0</v>
      </c>
      <c r="Q104" s="261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56"/>
      <c r="G105" s="218"/>
      <c r="H105" s="199"/>
      <c r="I105" s="200"/>
      <c r="J105" s="5"/>
      <c r="K105" s="179"/>
      <c r="L105" s="5"/>
      <c r="M105" s="5"/>
      <c r="N105" s="5"/>
      <c r="O105" s="203">
        <f>IF(O104+1&lt;=MIN('Données projet'!$E$9:$E$18),O104+1,"STOP")</f>
        <v>72</v>
      </c>
      <c r="P105" s="193">
        <f t="shared" si="7"/>
        <v>0</v>
      </c>
      <c r="Q105" s="261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56"/>
      <c r="G106" s="218"/>
      <c r="H106" s="199"/>
      <c r="I106" s="200"/>
      <c r="J106" s="5"/>
      <c r="K106" s="179"/>
      <c r="L106" s="5"/>
      <c r="M106" s="5"/>
      <c r="N106" s="5"/>
      <c r="O106" s="203">
        <f>IF(O105+1&lt;=MIN('Données projet'!$E$9:$E$18),O105+1,"STOP")</f>
        <v>73</v>
      </c>
      <c r="P106" s="193">
        <f t="shared" si="7"/>
        <v>0</v>
      </c>
      <c r="Q106" s="261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2" t="str">
        <f>IF('Données projet'!B12="","",'Données projet'!B12)</f>
        <v>Châtaignier</v>
      </c>
      <c r="C107" s="5"/>
      <c r="D107" s="5"/>
      <c r="E107" s="5"/>
      <c r="F107" s="256"/>
      <c r="G107" s="218"/>
      <c r="H107" s="199"/>
      <c r="I107" s="200"/>
      <c r="J107" s="5"/>
      <c r="K107" s="179"/>
      <c r="L107" s="5"/>
      <c r="M107" s="5"/>
      <c r="N107" s="5"/>
      <c r="O107" s="203">
        <f>IF(O106+1&lt;=MIN('Données projet'!$E$9:$E$18),O106+1,"STOP")</f>
        <v>74</v>
      </c>
      <c r="P107" s="193">
        <f t="shared" si="7"/>
        <v>0</v>
      </c>
      <c r="Q107" s="261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56"/>
      <c r="G108" s="218"/>
      <c r="H108" s="199"/>
      <c r="I108" s="200"/>
      <c r="J108" s="5"/>
      <c r="K108" s="179"/>
      <c r="L108" s="5"/>
      <c r="M108" s="5"/>
      <c r="N108" s="5"/>
      <c r="O108" s="203">
        <f>IF(O107+1&lt;=MIN('Données projet'!$E$9:$E$18),O107+1,"STOP")</f>
        <v>75</v>
      </c>
      <c r="P108" s="193">
        <f t="shared" si="7"/>
        <v>0</v>
      </c>
      <c r="Q108" s="261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2" t="s">
        <v>180</v>
      </c>
      <c r="B109" s="51" t="s">
        <v>256</v>
      </c>
      <c r="C109" s="51" t="s">
        <v>255</v>
      </c>
      <c r="D109" s="252" t="s">
        <v>252</v>
      </c>
      <c r="E109" s="252" t="s">
        <v>320</v>
      </c>
      <c r="F109" s="257"/>
      <c r="G109" s="218"/>
      <c r="H109" s="199"/>
      <c r="I109" s="200"/>
      <c r="J109" s="5"/>
      <c r="K109" s="179"/>
      <c r="L109" s="5"/>
      <c r="M109" s="5"/>
      <c r="N109" s="5"/>
      <c r="O109" s="203">
        <f>IF(O108+1&lt;=MIN('Données projet'!$E$9:$E$18),O108+1,"STOP")</f>
        <v>76</v>
      </c>
      <c r="P109" s="193">
        <f t="shared" si="7"/>
        <v>0</v>
      </c>
      <c r="Q109" s="261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05">
        <v>0</v>
      </c>
      <c r="B110" s="208" t="s">
        <v>132</v>
      </c>
      <c r="C110" s="207" t="s">
        <v>132</v>
      </c>
      <c r="D110" s="206" t="s">
        <v>132</v>
      </c>
      <c r="E110" s="202">
        <v>2904</v>
      </c>
      <c r="F110" s="257"/>
      <c r="G110" s="218"/>
      <c r="H110" s="199"/>
      <c r="I110" s="200"/>
      <c r="J110" s="5"/>
      <c r="K110" s="179"/>
      <c r="L110" s="5"/>
      <c r="M110" s="5"/>
      <c r="N110" s="5"/>
      <c r="O110" s="203">
        <f>IF(O109+1&lt;=MIN('Données projet'!$E$9:$E$18),O109+1,"STOP")</f>
        <v>77</v>
      </c>
      <c r="P110" s="193">
        <f t="shared" si="7"/>
        <v>0</v>
      </c>
      <c r="Q110" s="261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05">
        <v>1</v>
      </c>
      <c r="B111" s="208" t="s">
        <v>132</v>
      </c>
      <c r="C111" s="207" t="s">
        <v>132</v>
      </c>
      <c r="D111" s="206" t="s">
        <v>132</v>
      </c>
      <c r="E111" s="202"/>
      <c r="F111" s="257"/>
      <c r="G111" s="216"/>
      <c r="H111" s="199"/>
      <c r="I111" s="200"/>
      <c r="J111" s="5"/>
      <c r="K111" s="179"/>
      <c r="L111" s="5"/>
      <c r="M111" s="5"/>
      <c r="N111" s="5"/>
      <c r="O111" s="203">
        <f>IF(O110+1&lt;=MIN('Données projet'!$E$9:$E$18),O110+1,"STOP")</f>
        <v>78</v>
      </c>
      <c r="P111" s="193">
        <f t="shared" si="7"/>
        <v>0</v>
      </c>
      <c r="Q111" s="261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05">
        <v>2</v>
      </c>
      <c r="B112" s="208" t="s">
        <v>132</v>
      </c>
      <c r="C112" s="207" t="s">
        <v>132</v>
      </c>
      <c r="D112" s="206" t="s">
        <v>132</v>
      </c>
      <c r="E112" s="202"/>
      <c r="F112" s="257"/>
      <c r="G112" s="216"/>
      <c r="H112" s="199"/>
      <c r="I112" s="200"/>
      <c r="J112" s="5"/>
      <c r="K112" s="179"/>
      <c r="L112" s="5"/>
      <c r="M112" s="5"/>
      <c r="N112" s="5"/>
      <c r="O112" s="203">
        <f>IF(O111+1&lt;=MIN('Données projet'!$E$9:$E$18),O111+1,"STOP")</f>
        <v>79</v>
      </c>
      <c r="P112" s="193">
        <f t="shared" si="7"/>
        <v>0</v>
      </c>
      <c r="Q112" s="261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05">
        <v>3</v>
      </c>
      <c r="B113" s="208" t="s">
        <v>132</v>
      </c>
      <c r="C113" s="207" t="s">
        <v>132</v>
      </c>
      <c r="D113" s="206" t="s">
        <v>132</v>
      </c>
      <c r="E113" s="202"/>
      <c r="F113" s="257"/>
      <c r="G113" s="216"/>
      <c r="H113" s="199"/>
      <c r="I113" s="200"/>
      <c r="J113" s="5"/>
      <c r="K113" s="179"/>
      <c r="L113" s="5"/>
      <c r="M113" s="5"/>
      <c r="N113" s="5"/>
      <c r="O113" s="203">
        <f>IF(O112+1&lt;=MIN('Données projet'!$E$9:$E$18),O112+1,"STOP")</f>
        <v>80</v>
      </c>
      <c r="P113" s="193">
        <f t="shared" si="7"/>
        <v>0</v>
      </c>
      <c r="Q113" s="261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05">
        <v>4</v>
      </c>
      <c r="B114" s="208" t="s">
        <v>132</v>
      </c>
      <c r="C114" s="207" t="s">
        <v>132</v>
      </c>
      <c r="D114" s="206" t="s">
        <v>132</v>
      </c>
      <c r="E114" s="202"/>
      <c r="F114" s="257"/>
      <c r="G114" s="216"/>
      <c r="H114" s="199"/>
      <c r="I114" s="200"/>
      <c r="J114" s="5"/>
      <c r="K114" s="179"/>
      <c r="L114" s="5"/>
      <c r="M114" s="5"/>
      <c r="N114" s="5"/>
      <c r="O114" s="203" t="str">
        <f>IF(O113+1&lt;=MIN('Données projet'!$E$9:$E$18),O113+1,"STOP")</f>
        <v>STOP</v>
      </c>
      <c r="P114" s="193" t="e">
        <f t="shared" si="7"/>
        <v>#VALUE!</v>
      </c>
      <c r="Q114" s="261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05">
        <v>5</v>
      </c>
      <c r="B115" s="208" t="s">
        <v>132</v>
      </c>
      <c r="C115" s="207" t="s">
        <v>132</v>
      </c>
      <c r="D115" s="206" t="s">
        <v>132</v>
      </c>
      <c r="E115" s="202"/>
      <c r="F115" s="257"/>
      <c r="G115" s="217"/>
      <c r="H115" s="199"/>
      <c r="I115" s="200"/>
      <c r="J115" s="5"/>
      <c r="K115" s="179"/>
      <c r="L115" s="5"/>
      <c r="M115" s="5"/>
      <c r="N115" s="5"/>
      <c r="O115" s="203" t="e">
        <f>IF(O114+1&lt;=MIN('Données projet'!$E$9:$E$18),O114+1,"STOP")</f>
        <v>#VALUE!</v>
      </c>
      <c r="P115" s="193" t="e">
        <f t="shared" si="7"/>
        <v>#VALUE!</v>
      </c>
      <c r="Q115" s="261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88">
        <f>'Données projet'!A114</f>
        <v>10</v>
      </c>
      <c r="B116" s="189">
        <f>'Données projet'!D114</f>
        <v>0</v>
      </c>
      <c r="C116" s="200">
        <f>100*'Données projet'!E114+13.8*('Données projet'!F114+'Données projet'!G114)+15*'Données projet'!H114</f>
        <v>15</v>
      </c>
      <c r="D116" s="187">
        <f>B116*C116</f>
        <v>0</v>
      </c>
      <c r="E116" s="202"/>
      <c r="F116" s="258"/>
      <c r="G116" s="217"/>
      <c r="H116" s="199"/>
      <c r="I116" s="200"/>
      <c r="J116" s="5"/>
      <c r="K116" s="179"/>
      <c r="L116" s="5"/>
      <c r="M116" s="5"/>
      <c r="N116" s="5"/>
      <c r="O116" s="203" t="e">
        <f>IF(O115+1&lt;=MIN('Données projet'!$E$9:$E$18),O115+1,"STOP")</f>
        <v>#VALUE!</v>
      </c>
      <c r="P116" s="193" t="e">
        <f t="shared" si="7"/>
        <v>#VALUE!</v>
      </c>
      <c r="Q116" s="261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88">
        <f>'Données projet'!A115</f>
        <v>15</v>
      </c>
      <c r="B117" s="189">
        <f>'Données projet'!D115</f>
        <v>0</v>
      </c>
      <c r="C117" s="200">
        <f>100*'Données projet'!E115+13.8*('Données projet'!F115+'Données projet'!G115)+15*'Données projet'!H115</f>
        <v>32</v>
      </c>
      <c r="D117" s="187">
        <f t="shared" ref="D117:D135" si="8">B117*C117</f>
        <v>0</v>
      </c>
      <c r="E117" s="202"/>
      <c r="F117" s="258"/>
      <c r="G117" s="217"/>
      <c r="H117" s="199"/>
      <c r="I117" s="200"/>
      <c r="J117" s="5"/>
      <c r="K117" s="179"/>
      <c r="L117" s="5"/>
      <c r="M117" s="5"/>
      <c r="N117" s="5"/>
      <c r="O117" s="203" t="e">
        <f>IF(O116+1&lt;=MIN('Données projet'!$E$9:$E$18),O116+1,"STOP")</f>
        <v>#VALUE!</v>
      </c>
      <c r="P117" s="193" t="e">
        <f t="shared" si="7"/>
        <v>#VALUE!</v>
      </c>
      <c r="Q117" s="261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88">
        <f>'Données projet'!A116</f>
        <v>20</v>
      </c>
      <c r="B118" s="189">
        <f>'Données projet'!D116</f>
        <v>0</v>
      </c>
      <c r="C118" s="200">
        <f>100*'Données projet'!E116+13.8*('Données projet'!F116+'Données projet'!G116)+15*'Données projet'!H116</f>
        <v>32</v>
      </c>
      <c r="D118" s="187">
        <f t="shared" si="8"/>
        <v>0</v>
      </c>
      <c r="E118" s="202"/>
      <c r="F118" s="258"/>
      <c r="G118" s="217"/>
      <c r="H118" s="199"/>
      <c r="I118" s="200"/>
      <c r="J118" s="5"/>
      <c r="K118" s="179"/>
      <c r="L118" s="5"/>
      <c r="M118" s="5"/>
      <c r="N118" s="5"/>
      <c r="O118" s="203" t="e">
        <f>IF(O117+1&lt;=MIN('Données projet'!$E$9:$E$18),O117+1,"STOP")</f>
        <v>#VALUE!</v>
      </c>
      <c r="P118" s="193" t="e">
        <f t="shared" si="7"/>
        <v>#VALUE!</v>
      </c>
      <c r="Q118" s="261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88">
        <f>'Données projet'!A117</f>
        <v>25</v>
      </c>
      <c r="B119" s="189">
        <f>'Données projet'!D117</f>
        <v>0</v>
      </c>
      <c r="C119" s="200">
        <f>100*'Données projet'!E117+13.8*('Données projet'!F117+'Données projet'!G117)+15*'Données projet'!H117</f>
        <v>40.5</v>
      </c>
      <c r="D119" s="187">
        <f t="shared" si="8"/>
        <v>0</v>
      </c>
      <c r="E119" s="202"/>
      <c r="F119" s="258"/>
      <c r="G119" s="217"/>
      <c r="H119" s="199"/>
      <c r="I119" s="200"/>
      <c r="J119" s="5"/>
      <c r="K119" s="179"/>
      <c r="L119" s="5"/>
      <c r="M119" s="5"/>
      <c r="N119" s="5"/>
      <c r="O119" s="203" t="e">
        <f>IF(O118+1&lt;=MIN('Données projet'!$E$9:$E$18),O118+1,"STOP")</f>
        <v>#VALUE!</v>
      </c>
      <c r="P119" s="193" t="e">
        <f t="shared" si="7"/>
        <v>#VALUE!</v>
      </c>
      <c r="Q119" s="261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88">
        <f>'Données projet'!A118</f>
        <v>30</v>
      </c>
      <c r="B120" s="189">
        <f>'Données projet'!D118</f>
        <v>0</v>
      </c>
      <c r="C120" s="200">
        <f>100*'Données projet'!E118+13.8*('Données projet'!F118+'Données projet'!G118)+15*'Données projet'!H118</f>
        <v>40.5</v>
      </c>
      <c r="D120" s="187">
        <f t="shared" si="8"/>
        <v>0</v>
      </c>
      <c r="E120" s="202"/>
      <c r="F120" s="258"/>
      <c r="G120" s="217"/>
      <c r="H120" s="199"/>
      <c r="I120" s="200"/>
      <c r="J120" s="5"/>
      <c r="K120" s="179"/>
      <c r="L120" s="5"/>
      <c r="M120" s="5"/>
      <c r="N120" s="5"/>
      <c r="O120" s="203" t="e">
        <f>IF(O119+1&lt;=MIN('Données projet'!$E$9:$E$18),O119+1,"STOP")</f>
        <v>#VALUE!</v>
      </c>
      <c r="P120" s="193" t="e">
        <f t="shared" si="7"/>
        <v>#VALUE!</v>
      </c>
      <c r="Q120" s="261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88">
        <f>'Données projet'!A119</f>
        <v>35</v>
      </c>
      <c r="B121" s="189">
        <f>'Données projet'!D119</f>
        <v>35</v>
      </c>
      <c r="C121" s="200">
        <f>100*'Données projet'!E119+13.8*('Données projet'!F119+'Données projet'!G119)+15*'Données projet'!H119</f>
        <v>49</v>
      </c>
      <c r="D121" s="187">
        <f t="shared" si="8"/>
        <v>1715</v>
      </c>
      <c r="E121" s="202"/>
      <c r="F121" s="258"/>
      <c r="G121" s="217"/>
      <c r="H121" s="199"/>
      <c r="I121" s="200"/>
      <c r="J121" s="5"/>
      <c r="K121" s="179"/>
      <c r="L121" s="5"/>
      <c r="M121" s="5"/>
      <c r="N121" s="5"/>
      <c r="O121" s="203" t="e">
        <f>IF(O120+1&lt;=MIN('Données projet'!$E$9:$E$18),O120+1,"STOP")</f>
        <v>#VALUE!</v>
      </c>
      <c r="P121" s="193" t="e">
        <f t="shared" si="7"/>
        <v>#VALUE!</v>
      </c>
      <c r="Q121" s="261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88">
        <f>'Données projet'!A120</f>
        <v>40</v>
      </c>
      <c r="B122" s="189">
        <f>'Données projet'!D120</f>
        <v>35</v>
      </c>
      <c r="C122" s="200">
        <f>100*'Données projet'!E120+13.8*('Données projet'!F120+'Données projet'!G120)+15*'Données projet'!H120</f>
        <v>49</v>
      </c>
      <c r="D122" s="187">
        <f t="shared" si="8"/>
        <v>1715</v>
      </c>
      <c r="E122" s="202"/>
      <c r="F122" s="258"/>
      <c r="G122" s="218"/>
      <c r="H122" s="199"/>
      <c r="I122" s="200"/>
      <c r="J122" s="5"/>
      <c r="K122" s="179"/>
      <c r="L122" s="5"/>
      <c r="M122" s="5"/>
      <c r="N122" s="5"/>
      <c r="O122" s="203" t="e">
        <f>IF(O121+1&lt;=MIN('Données projet'!$E$9:$E$18),O121+1,"STOP")</f>
        <v>#VALUE!</v>
      </c>
      <c r="P122" s="193" t="e">
        <f t="shared" si="7"/>
        <v>#VALUE!</v>
      </c>
      <c r="Q122" s="261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88">
        <f>'Données projet'!A121</f>
        <v>45</v>
      </c>
      <c r="B123" s="189">
        <f>'Données projet'!D121</f>
        <v>24</v>
      </c>
      <c r="C123" s="200">
        <f>100*'Données projet'!E121+13.8*('Données projet'!F121+'Données projet'!G121)+15*'Données projet'!H121</f>
        <v>57.5</v>
      </c>
      <c r="D123" s="187">
        <f t="shared" si="8"/>
        <v>1380</v>
      </c>
      <c r="E123" s="202"/>
      <c r="F123" s="258"/>
      <c r="G123" s="218"/>
      <c r="H123" s="199"/>
      <c r="I123" s="200"/>
      <c r="J123" s="5"/>
      <c r="K123" s="179"/>
      <c r="L123" s="5"/>
      <c r="M123" s="5"/>
      <c r="N123" s="5"/>
      <c r="O123" s="203" t="e">
        <f>IF(O122+1&lt;=MIN('Données projet'!$E$9:$E$18),O122+1,"STOP")</f>
        <v>#VALUE!</v>
      </c>
      <c r="P123" s="193" t="e">
        <f t="shared" si="7"/>
        <v>#VALUE!</v>
      </c>
      <c r="Q123" s="261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88">
        <f>'Données projet'!A122</f>
        <v>50</v>
      </c>
      <c r="B124" s="189">
        <f>'Données projet'!D122</f>
        <v>19</v>
      </c>
      <c r="C124" s="200">
        <f>100*'Données projet'!E122+13.8*('Données projet'!F122+'Données projet'!G122)+15*'Données projet'!H122</f>
        <v>57.5</v>
      </c>
      <c r="D124" s="187">
        <f t="shared" si="8"/>
        <v>1092.5</v>
      </c>
      <c r="E124" s="202"/>
      <c r="F124" s="258"/>
      <c r="G124" s="218"/>
      <c r="H124" s="199"/>
      <c r="I124" s="200"/>
      <c r="J124" s="5"/>
      <c r="K124" s="179"/>
      <c r="L124" s="5"/>
      <c r="M124" s="5"/>
      <c r="N124" s="5"/>
      <c r="O124" s="203" t="e">
        <f>IF(O123+1&lt;=MIN('Données projet'!$E$9:$E$18),O123+1,"STOP")</f>
        <v>#VALUE!</v>
      </c>
      <c r="P124" s="193" t="e">
        <f t="shared" si="7"/>
        <v>#VALUE!</v>
      </c>
      <c r="Q124" s="261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88">
        <f>'Données projet'!A123</f>
        <v>55</v>
      </c>
      <c r="B125" s="189">
        <f>'Données projet'!D123</f>
        <v>16</v>
      </c>
      <c r="C125" s="200">
        <f>100*'Données projet'!E123+13.8*('Données projet'!F123+'Données projet'!G123)+15*'Données projet'!H123</f>
        <v>66</v>
      </c>
      <c r="D125" s="187">
        <f t="shared" si="8"/>
        <v>1056</v>
      </c>
      <c r="E125" s="202"/>
      <c r="F125" s="258"/>
      <c r="G125" s="218"/>
      <c r="H125" s="199"/>
      <c r="I125" s="200"/>
      <c r="J125" s="5"/>
      <c r="K125" s="179"/>
      <c r="L125" s="5"/>
      <c r="M125" s="5"/>
      <c r="N125" s="5"/>
      <c r="O125" s="203" t="e">
        <f>IF(O124+1&lt;=MIN('Données projet'!$E$9:$E$18),O124+1,"STOP")</f>
        <v>#VALUE!</v>
      </c>
      <c r="P125" s="193" t="e">
        <f t="shared" si="7"/>
        <v>#VALUE!</v>
      </c>
      <c r="Q125" s="261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88">
        <f>'Données projet'!A124</f>
        <v>60</v>
      </c>
      <c r="B126" s="189">
        <f>'Données projet'!D124</f>
        <v>14</v>
      </c>
      <c r="C126" s="200">
        <f>100*'Données projet'!E124+13.8*('Données projet'!F124+'Données projet'!G124)+15*'Données projet'!H124</f>
        <v>66</v>
      </c>
      <c r="D126" s="187">
        <f t="shared" si="8"/>
        <v>924</v>
      </c>
      <c r="E126" s="202"/>
      <c r="F126" s="258"/>
      <c r="G126" s="218"/>
      <c r="H126" s="199"/>
      <c r="I126" s="200"/>
      <c r="J126" s="5"/>
      <c r="K126" s="179"/>
      <c r="L126" s="5"/>
      <c r="M126" s="5"/>
      <c r="N126" s="5"/>
      <c r="O126" s="203" t="e">
        <f>IF(O125+1&lt;=MIN('Données projet'!$E$9:$E$18),O125+1,"STOP")</f>
        <v>#VALUE!</v>
      </c>
      <c r="P126" s="193" t="e">
        <f t="shared" si="7"/>
        <v>#VALUE!</v>
      </c>
      <c r="Q126" s="261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88">
        <f>'Données projet'!A125</f>
        <v>65</v>
      </c>
      <c r="B127" s="189">
        <f>'Données projet'!D125</f>
        <v>13</v>
      </c>
      <c r="C127" s="200">
        <f>100*'Données projet'!E125+13.8*('Données projet'!F125+'Données projet'!G125)+15*'Données projet'!H125</f>
        <v>74.5</v>
      </c>
      <c r="D127" s="187">
        <f t="shared" si="8"/>
        <v>968.5</v>
      </c>
      <c r="E127" s="202"/>
      <c r="F127" s="258"/>
      <c r="G127" s="218"/>
      <c r="H127" s="199"/>
      <c r="I127" s="200"/>
      <c r="J127" s="5"/>
      <c r="K127" s="179"/>
      <c r="L127" s="5"/>
      <c r="M127" s="5"/>
      <c r="N127" s="5"/>
      <c r="O127" s="203" t="e">
        <f>IF(O126+1&lt;=MIN('Données projet'!$E$9:$E$18),O126+1,"STOP")</f>
        <v>#VALUE!</v>
      </c>
      <c r="P127" s="193" t="e">
        <f t="shared" si="7"/>
        <v>#VALUE!</v>
      </c>
      <c r="Q127" s="261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88">
        <f>'Données projet'!A126</f>
        <v>70</v>
      </c>
      <c r="B128" s="189">
        <f>'Données projet'!D126</f>
        <v>13</v>
      </c>
      <c r="C128" s="200">
        <f>100*'Données projet'!E126+13.8*('Données projet'!F126+'Données projet'!G126)+15*'Données projet'!H126</f>
        <v>74.5</v>
      </c>
      <c r="D128" s="187">
        <f t="shared" si="8"/>
        <v>968.5</v>
      </c>
      <c r="E128" s="202"/>
      <c r="F128" s="258"/>
      <c r="G128" s="218"/>
      <c r="H128" s="199"/>
      <c r="I128" s="200"/>
      <c r="J128" s="5"/>
      <c r="K128" s="179"/>
      <c r="L128" s="5"/>
      <c r="M128" s="5"/>
      <c r="N128" s="5"/>
      <c r="O128" s="203" t="e">
        <f>IF(O127+1&lt;=MIN('Données projet'!$E$9:$E$18),O127+1,"STOP")</f>
        <v>#VALUE!</v>
      </c>
      <c r="P128" s="193" t="e">
        <f t="shared" si="7"/>
        <v>#VALUE!</v>
      </c>
      <c r="Q128" s="261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88">
        <f>'Données projet'!A127</f>
        <v>75</v>
      </c>
      <c r="B129" s="189">
        <f>'Données projet'!D127</f>
        <v>12</v>
      </c>
      <c r="C129" s="200">
        <f>100*'Données projet'!E127+13.8*('Données projet'!F127+'Données projet'!G127)+15*'Données projet'!H127</f>
        <v>83</v>
      </c>
      <c r="D129" s="187">
        <f t="shared" si="8"/>
        <v>996</v>
      </c>
      <c r="E129" s="202"/>
      <c r="F129" s="258"/>
      <c r="G129" s="218"/>
      <c r="H129" s="199"/>
      <c r="I129" s="200"/>
      <c r="J129" s="5"/>
      <c r="K129" s="179"/>
      <c r="L129" s="5"/>
      <c r="M129" s="5"/>
      <c r="N129" s="5"/>
      <c r="O129" s="203" t="e">
        <f>IF(O128+1&lt;=MIN('Données projet'!$E$9:$E$18),O128+1,"STOP")</f>
        <v>#VALUE!</v>
      </c>
      <c r="P129" s="193" t="e">
        <f t="shared" ref="P129:P132" si="9">$P$25/(1+$M$4)^O129</f>
        <v>#VALUE!</v>
      </c>
      <c r="Q129" s="261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88">
        <f>'Données projet'!A128</f>
        <v>80</v>
      </c>
      <c r="B130" s="189">
        <f>'Données projet'!D128</f>
        <v>330</v>
      </c>
      <c r="C130" s="200">
        <f>100*'Données projet'!E128+13.8*('Données projet'!F128+'Données projet'!G128)+15*'Données projet'!H128</f>
        <v>83</v>
      </c>
      <c r="D130" s="187">
        <f t="shared" si="8"/>
        <v>27390</v>
      </c>
      <c r="E130" s="202"/>
      <c r="F130" s="258"/>
      <c r="G130" s="218"/>
      <c r="H130" s="199"/>
      <c r="I130" s="200"/>
      <c r="J130" s="5"/>
      <c r="K130" s="179"/>
      <c r="L130" s="5"/>
      <c r="M130" s="5"/>
      <c r="N130" s="5"/>
      <c r="O130" s="203" t="e">
        <f>IF(O129+1&lt;=MIN('Données projet'!$E$9:$E$18),O129+1,"STOP")</f>
        <v>#VALUE!</v>
      </c>
      <c r="P130" s="193" t="e">
        <f t="shared" si="9"/>
        <v>#VALUE!</v>
      </c>
      <c r="Q130" s="261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88">
        <f>'Données projet'!A129</f>
        <v>0</v>
      </c>
      <c r="B131" s="189">
        <f>'Données projet'!D129</f>
        <v>0</v>
      </c>
      <c r="C131" s="200">
        <f>100*'Données projet'!E129+13.8*('Données projet'!F129+'Données projet'!G129)+15*'Données projet'!H129</f>
        <v>0</v>
      </c>
      <c r="D131" s="187">
        <f t="shared" si="8"/>
        <v>0</v>
      </c>
      <c r="E131" s="202"/>
      <c r="F131" s="258"/>
      <c r="G131" s="218"/>
      <c r="H131" s="199"/>
      <c r="I131" s="200"/>
      <c r="J131" s="5"/>
      <c r="K131" s="179"/>
      <c r="L131" s="5"/>
      <c r="M131" s="5"/>
      <c r="N131" s="5"/>
      <c r="O131" s="203" t="e">
        <f>IF(O130+1&lt;=MIN('Données projet'!$E$9:$E$18),O130+1,"STOP")</f>
        <v>#VALUE!</v>
      </c>
      <c r="P131" s="193" t="e">
        <f t="shared" si="9"/>
        <v>#VALUE!</v>
      </c>
      <c r="Q131" s="261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88">
        <f>'Données projet'!A130</f>
        <v>0</v>
      </c>
      <c r="B132" s="189">
        <f>'Données projet'!D130</f>
        <v>0</v>
      </c>
      <c r="C132" s="200">
        <f>100*'Données projet'!E130+13.8*('Données projet'!F130+'Données projet'!G130)+15*'Données projet'!H130</f>
        <v>0</v>
      </c>
      <c r="D132" s="187">
        <f t="shared" si="8"/>
        <v>0</v>
      </c>
      <c r="E132" s="202"/>
      <c r="F132" s="258"/>
      <c r="G132" s="218"/>
      <c r="H132" s="199"/>
      <c r="I132" s="200"/>
      <c r="J132" s="5"/>
      <c r="K132" s="179"/>
      <c r="L132" s="5"/>
      <c r="M132" s="5"/>
      <c r="N132" s="5"/>
      <c r="O132" s="203" t="e">
        <f>IF(O131+1&lt;=MIN('Données projet'!$E$9:$E$18),O131+1,"STOP")</f>
        <v>#VALUE!</v>
      </c>
      <c r="P132" s="193" t="e">
        <f t="shared" si="9"/>
        <v>#VALUE!</v>
      </c>
      <c r="Q132" s="261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88">
        <f>'Données projet'!A131</f>
        <v>0</v>
      </c>
      <c r="B133" s="189">
        <f>'Données projet'!D131</f>
        <v>0</v>
      </c>
      <c r="C133" s="200">
        <f>100*'Données projet'!E131+13.8*('Données projet'!F131+'Données projet'!G131)+15*'Données projet'!H131</f>
        <v>0</v>
      </c>
      <c r="D133" s="187">
        <f t="shared" si="8"/>
        <v>0</v>
      </c>
      <c r="E133" s="202"/>
      <c r="F133" s="258"/>
      <c r="G133" s="218"/>
      <c r="H133" s="199"/>
      <c r="I133" s="200"/>
      <c r="J133" s="5"/>
      <c r="K133" s="179"/>
      <c r="Q133" s="261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88">
        <f>'Données projet'!A132</f>
        <v>0</v>
      </c>
      <c r="B134" s="189">
        <f>'Données projet'!D132</f>
        <v>0</v>
      </c>
      <c r="C134" s="200">
        <f>100*'Données projet'!E132+13.8*('Données projet'!F132+'Données projet'!G132)+15*'Données projet'!H132</f>
        <v>0</v>
      </c>
      <c r="D134" s="187">
        <f t="shared" si="8"/>
        <v>0</v>
      </c>
      <c r="E134" s="202"/>
      <c r="F134" s="258"/>
      <c r="G134" s="218"/>
      <c r="H134" s="199"/>
      <c r="I134" s="200"/>
      <c r="J134" s="5"/>
      <c r="K134" s="179"/>
      <c r="Q134" s="261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88">
        <f>'Données projet'!A133</f>
        <v>0</v>
      </c>
      <c r="B135" s="189">
        <f>'Données projet'!D133</f>
        <v>0</v>
      </c>
      <c r="C135" s="200">
        <f>100*'Données projet'!E133+13.8*('Données projet'!F133+'Données projet'!G133)+15*'Données projet'!H133</f>
        <v>0</v>
      </c>
      <c r="D135" s="187">
        <f t="shared" si="8"/>
        <v>0</v>
      </c>
      <c r="E135" s="202"/>
      <c r="F135" s="258"/>
      <c r="G135" s="218"/>
      <c r="H135" s="199"/>
      <c r="I135" s="200"/>
      <c r="J135" s="5"/>
      <c r="K135" s="179"/>
      <c r="Q135" s="261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56"/>
      <c r="G136" s="218"/>
      <c r="H136" s="199"/>
      <c r="I136" s="200"/>
      <c r="J136" s="5"/>
      <c r="K136" s="179"/>
      <c r="L136" s="5"/>
      <c r="M136" s="5"/>
      <c r="N136" s="5"/>
      <c r="Q136" s="261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56"/>
      <c r="G137" s="218"/>
      <c r="H137" s="199"/>
      <c r="I137" s="200"/>
      <c r="J137" s="5"/>
      <c r="K137" s="179"/>
      <c r="L137" s="5"/>
      <c r="M137" s="5"/>
      <c r="N137" s="5"/>
      <c r="Q137" s="261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2" t="str">
        <f>IF('Données projet'!B13="","",'Données projet'!B13)</f>
        <v>Bouleau verruqueux</v>
      </c>
      <c r="C138" s="5"/>
      <c r="D138" s="5"/>
      <c r="E138" s="5"/>
      <c r="F138" s="256"/>
      <c r="G138" s="218"/>
      <c r="H138" s="199"/>
      <c r="I138" s="200"/>
      <c r="J138" s="5"/>
      <c r="K138" s="179"/>
      <c r="L138" s="5"/>
      <c r="M138" s="5"/>
      <c r="N138" s="5"/>
      <c r="Q138" s="261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56"/>
      <c r="G139" s="218"/>
      <c r="H139" s="199"/>
      <c r="I139" s="200"/>
      <c r="J139" s="5"/>
      <c r="K139" s="179"/>
      <c r="L139" s="5"/>
      <c r="M139" s="5"/>
      <c r="N139" s="5"/>
      <c r="Q139" s="261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2" t="s">
        <v>180</v>
      </c>
      <c r="B140" s="51" t="s">
        <v>256</v>
      </c>
      <c r="C140" s="51" t="s">
        <v>255</v>
      </c>
      <c r="D140" s="252" t="s">
        <v>252</v>
      </c>
      <c r="E140" s="252" t="s">
        <v>320</v>
      </c>
      <c r="F140" s="257"/>
      <c r="G140" s="218"/>
      <c r="H140" s="199"/>
      <c r="I140" s="200"/>
      <c r="J140" s="5"/>
      <c r="K140" s="179"/>
      <c r="L140" s="5"/>
      <c r="M140" s="5"/>
      <c r="N140" s="5"/>
      <c r="Q140" s="261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05">
        <v>0</v>
      </c>
      <c r="B141" s="208" t="s">
        <v>132</v>
      </c>
      <c r="C141" s="207" t="s">
        <v>132</v>
      </c>
      <c r="D141" s="206" t="s">
        <v>132</v>
      </c>
      <c r="E141" s="202">
        <v>2832</v>
      </c>
      <c r="F141" s="257"/>
      <c r="G141" s="218"/>
      <c r="H141" s="199"/>
      <c r="I141" s="200"/>
      <c r="J141" s="5"/>
      <c r="K141" s="179"/>
      <c r="L141" s="5"/>
      <c r="M141" s="5"/>
      <c r="N141" s="5"/>
      <c r="Q141" s="261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05">
        <v>1</v>
      </c>
      <c r="B142" s="208" t="s">
        <v>132</v>
      </c>
      <c r="C142" s="207" t="s">
        <v>132</v>
      </c>
      <c r="D142" s="206" t="s">
        <v>132</v>
      </c>
      <c r="E142" s="202"/>
      <c r="F142" s="257"/>
      <c r="G142" s="216"/>
      <c r="H142" s="199"/>
      <c r="I142" s="200"/>
      <c r="J142" s="5"/>
      <c r="K142" s="179"/>
      <c r="L142" s="5"/>
      <c r="M142" s="5"/>
      <c r="N142" s="5"/>
      <c r="Q142" s="261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05">
        <v>2</v>
      </c>
      <c r="B143" s="208" t="s">
        <v>132</v>
      </c>
      <c r="C143" s="207" t="s">
        <v>132</v>
      </c>
      <c r="D143" s="206" t="s">
        <v>132</v>
      </c>
      <c r="E143" s="202"/>
      <c r="F143" s="257"/>
      <c r="G143" s="216"/>
      <c r="H143" s="199"/>
      <c r="I143" s="200"/>
      <c r="J143" s="5"/>
      <c r="K143" s="179"/>
      <c r="L143" s="5"/>
      <c r="M143" s="5"/>
      <c r="N143" s="5"/>
      <c r="Q143" s="261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05">
        <v>3</v>
      </c>
      <c r="B144" s="208" t="s">
        <v>132</v>
      </c>
      <c r="C144" s="207" t="s">
        <v>132</v>
      </c>
      <c r="D144" s="206" t="s">
        <v>132</v>
      </c>
      <c r="E144" s="202"/>
      <c r="F144" s="257"/>
      <c r="G144" s="216"/>
      <c r="H144" s="199"/>
      <c r="I144" s="200"/>
      <c r="J144" s="5"/>
      <c r="K144" s="179"/>
      <c r="L144" s="5"/>
      <c r="M144" s="5"/>
      <c r="N144" s="5"/>
      <c r="Q144" s="261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05">
        <v>4</v>
      </c>
      <c r="B145" s="208" t="s">
        <v>132</v>
      </c>
      <c r="C145" s="207" t="s">
        <v>132</v>
      </c>
      <c r="D145" s="206" t="s">
        <v>132</v>
      </c>
      <c r="E145" s="202"/>
      <c r="F145" s="257"/>
      <c r="G145" s="216"/>
      <c r="H145" s="199"/>
      <c r="I145" s="200"/>
      <c r="J145" s="5"/>
      <c r="K145" s="179"/>
      <c r="L145" s="5"/>
      <c r="M145" s="5"/>
      <c r="N145" s="5"/>
      <c r="Q145" s="261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05">
        <v>5</v>
      </c>
      <c r="B146" s="208" t="s">
        <v>132</v>
      </c>
      <c r="C146" s="207" t="s">
        <v>132</v>
      </c>
      <c r="D146" s="206" t="s">
        <v>132</v>
      </c>
      <c r="E146" s="202"/>
      <c r="F146" s="257"/>
      <c r="G146" s="217"/>
      <c r="H146" s="199"/>
      <c r="I146" s="200"/>
      <c r="J146" s="5"/>
      <c r="K146" s="179"/>
      <c r="L146" s="5"/>
      <c r="M146" s="5"/>
      <c r="N146" s="5"/>
      <c r="Q146" s="261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10</v>
      </c>
      <c r="B147" s="183">
        <f>'Données projet'!D140</f>
        <v>0</v>
      </c>
      <c r="C147" s="200">
        <f>40*'Données projet'!E140+13.8*('Données projet'!F140+'Données projet'!G140)+15*'Données projet'!H140</f>
        <v>15</v>
      </c>
      <c r="D147" s="190">
        <f>B147*C147</f>
        <v>0</v>
      </c>
      <c r="E147" s="202"/>
      <c r="F147" s="259"/>
      <c r="G147" s="217"/>
      <c r="H147" s="199"/>
      <c r="I147" s="200"/>
      <c r="J147" s="5"/>
      <c r="K147" s="179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15</v>
      </c>
      <c r="B148" s="183">
        <f>'Données projet'!D141</f>
        <v>0</v>
      </c>
      <c r="C148" s="200">
        <f>40*'Données projet'!E141+13.8*('Données projet'!F141+'Données projet'!G141)+15*'Données projet'!H141</f>
        <v>20</v>
      </c>
      <c r="D148" s="190">
        <f t="shared" ref="D148:D166" si="10">B148*C148</f>
        <v>0</v>
      </c>
      <c r="E148" s="202"/>
      <c r="F148" s="259"/>
      <c r="G148" s="217"/>
      <c r="H148" s="199"/>
      <c r="I148" s="200"/>
      <c r="J148" s="5"/>
      <c r="K148" s="179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20</v>
      </c>
      <c r="B149" s="183">
        <f>'Données projet'!D142</f>
        <v>0</v>
      </c>
      <c r="C149" s="200">
        <f>40*'Données projet'!E142+13.8*('Données projet'!F142+'Données projet'!G142)+15*'Données projet'!H142</f>
        <v>20</v>
      </c>
      <c r="D149" s="190">
        <f t="shared" si="10"/>
        <v>0</v>
      </c>
      <c r="E149" s="202"/>
      <c r="F149" s="259"/>
      <c r="G149" s="217"/>
      <c r="H149" s="199"/>
      <c r="I149" s="200"/>
      <c r="J149" s="5"/>
      <c r="K149" s="179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25</v>
      </c>
      <c r="B150" s="183">
        <f>'Données projet'!D143</f>
        <v>0</v>
      </c>
      <c r="C150" s="200">
        <f>40*'Données projet'!E143+13.8*('Données projet'!F143+'Données projet'!G143)+15*'Données projet'!H143</f>
        <v>22.5</v>
      </c>
      <c r="D150" s="190">
        <f t="shared" si="10"/>
        <v>0</v>
      </c>
      <c r="E150" s="202"/>
      <c r="F150" s="259"/>
      <c r="G150" s="217"/>
      <c r="H150" s="199"/>
      <c r="I150" s="200"/>
      <c r="J150" s="5"/>
      <c r="K150" s="179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30</v>
      </c>
      <c r="B151" s="183">
        <f>'Données projet'!D144</f>
        <v>0</v>
      </c>
      <c r="C151" s="200">
        <f>40*'Données projet'!E144+13.8*('Données projet'!F144+'Données projet'!G144)+15*'Données projet'!H144</f>
        <v>22.5</v>
      </c>
      <c r="D151" s="190">
        <f t="shared" si="10"/>
        <v>0</v>
      </c>
      <c r="E151" s="202"/>
      <c r="F151" s="259"/>
      <c r="G151" s="217"/>
      <c r="H151" s="199"/>
      <c r="I151" s="200"/>
      <c r="J151" s="5"/>
      <c r="K151" s="179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35</v>
      </c>
      <c r="B152" s="183">
        <f>'Données projet'!D145</f>
        <v>35</v>
      </c>
      <c r="C152" s="200">
        <f>40*'Données projet'!E145+13.8*('Données projet'!F145+'Données projet'!G145)+15*'Données projet'!H145</f>
        <v>25</v>
      </c>
      <c r="D152" s="190">
        <f t="shared" si="10"/>
        <v>875</v>
      </c>
      <c r="E152" s="202"/>
      <c r="F152" s="259"/>
      <c r="G152" s="217"/>
      <c r="H152" s="199"/>
      <c r="I152" s="200"/>
      <c r="J152" s="5"/>
      <c r="K152" s="179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40</v>
      </c>
      <c r="B153" s="183">
        <f>'Données projet'!D146</f>
        <v>35</v>
      </c>
      <c r="C153" s="200">
        <f>40*'Données projet'!E146+13.8*('Données projet'!F146+'Données projet'!G146)+15*'Données projet'!H146</f>
        <v>25</v>
      </c>
      <c r="D153" s="190">
        <f t="shared" si="10"/>
        <v>875</v>
      </c>
      <c r="E153" s="202"/>
      <c r="F153" s="259"/>
      <c r="G153" s="213"/>
      <c r="H153" s="199"/>
      <c r="I153" s="200"/>
      <c r="J153" s="5"/>
      <c r="K153" s="179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45</v>
      </c>
      <c r="B154" s="183">
        <f>'Données projet'!D147</f>
        <v>24</v>
      </c>
      <c r="C154" s="200">
        <f>40*'Données projet'!E147+13.8*('Données projet'!F147+'Données projet'!G147)+15*'Données projet'!H147</f>
        <v>27.5</v>
      </c>
      <c r="D154" s="190">
        <f t="shared" si="10"/>
        <v>660</v>
      </c>
      <c r="E154" s="202"/>
      <c r="F154" s="259"/>
      <c r="G154" s="213"/>
      <c r="H154" s="199"/>
      <c r="I154" s="200"/>
      <c r="J154" s="5"/>
      <c r="K154" s="179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50</v>
      </c>
      <c r="B155" s="183">
        <f>'Données projet'!D148</f>
        <v>19</v>
      </c>
      <c r="C155" s="200">
        <f>40*'Données projet'!E148+13.8*('Données projet'!F148+'Données projet'!G148)+15*'Données projet'!H148</f>
        <v>27.5</v>
      </c>
      <c r="D155" s="190">
        <f t="shared" si="10"/>
        <v>522.5</v>
      </c>
      <c r="E155" s="202"/>
      <c r="F155" s="259"/>
      <c r="G155" s="213"/>
      <c r="H155" s="199"/>
      <c r="I155" s="200"/>
      <c r="J155" s="5"/>
      <c r="K155" s="179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55</v>
      </c>
      <c r="B156" s="183">
        <f>'Données projet'!D149</f>
        <v>16</v>
      </c>
      <c r="C156" s="200">
        <f>40*'Données projet'!E149+13.8*('Données projet'!F149+'Données projet'!G149)+15*'Données projet'!H149</f>
        <v>30</v>
      </c>
      <c r="D156" s="190">
        <f t="shared" si="10"/>
        <v>480</v>
      </c>
      <c r="E156" s="202"/>
      <c r="F156" s="259"/>
      <c r="G156" s="213"/>
      <c r="H156" s="199"/>
      <c r="I156" s="200"/>
      <c r="J156" s="5"/>
      <c r="K156" s="179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60</v>
      </c>
      <c r="B157" s="183">
        <f>'Données projet'!D150</f>
        <v>14</v>
      </c>
      <c r="C157" s="200">
        <f>40*'Données projet'!E150+13.8*('Données projet'!F150+'Données projet'!G150)+15*'Données projet'!H150</f>
        <v>30</v>
      </c>
      <c r="D157" s="190">
        <f t="shared" si="10"/>
        <v>420</v>
      </c>
      <c r="E157" s="202"/>
      <c r="F157" s="259"/>
      <c r="G157" s="213"/>
      <c r="H157" s="199"/>
      <c r="I157" s="200"/>
      <c r="J157" s="5"/>
      <c r="K157" s="179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65</v>
      </c>
      <c r="B158" s="183">
        <f>'Données projet'!D151</f>
        <v>13</v>
      </c>
      <c r="C158" s="200">
        <f>40*'Données projet'!E151+13.8*('Données projet'!F151+'Données projet'!G151)+15*'Données projet'!H151</f>
        <v>32.5</v>
      </c>
      <c r="D158" s="190">
        <f t="shared" si="10"/>
        <v>422.5</v>
      </c>
      <c r="E158" s="202"/>
      <c r="F158" s="259"/>
      <c r="G158" s="213"/>
      <c r="H158" s="199"/>
      <c r="I158" s="200"/>
      <c r="J158" s="5"/>
      <c r="K158" s="179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70</v>
      </c>
      <c r="B159" s="183">
        <f>'Données projet'!D152</f>
        <v>13</v>
      </c>
      <c r="C159" s="200">
        <f>40*'Données projet'!E152+13.8*('Données projet'!F152+'Données projet'!G152)+15*'Données projet'!H152</f>
        <v>32.5</v>
      </c>
      <c r="D159" s="190">
        <f t="shared" si="10"/>
        <v>422.5</v>
      </c>
      <c r="E159" s="202"/>
      <c r="F159" s="259"/>
      <c r="G159" s="213"/>
      <c r="H159" s="199"/>
      <c r="I159" s="200"/>
      <c r="J159" s="5"/>
      <c r="K159" s="179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75</v>
      </c>
      <c r="B160" s="183">
        <f>'Données projet'!D153</f>
        <v>12</v>
      </c>
      <c r="C160" s="200">
        <f>40*'Données projet'!E153+13.8*('Données projet'!F153+'Données projet'!G153)+15*'Données projet'!H153</f>
        <v>35</v>
      </c>
      <c r="D160" s="190">
        <f t="shared" si="10"/>
        <v>420</v>
      </c>
      <c r="E160" s="202"/>
      <c r="F160" s="259"/>
      <c r="G160" s="213"/>
      <c r="H160" s="199"/>
      <c r="I160" s="200"/>
      <c r="J160" s="5"/>
      <c r="K160" s="179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80</v>
      </c>
      <c r="B161" s="183">
        <f>'Données projet'!D154</f>
        <v>330</v>
      </c>
      <c r="C161" s="200">
        <f>40*'Données projet'!E154+13.8*('Données projet'!F154+'Données projet'!G154)+15*'Données projet'!H154</f>
        <v>35</v>
      </c>
      <c r="D161" s="190">
        <f t="shared" si="10"/>
        <v>11550</v>
      </c>
      <c r="E161" s="202"/>
      <c r="F161" s="259"/>
      <c r="G161" s="213"/>
      <c r="H161" s="199"/>
      <c r="I161" s="200"/>
      <c r="J161" s="5"/>
      <c r="K161" s="179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3">
        <f>'Données projet'!D155</f>
        <v>0</v>
      </c>
      <c r="C162" s="200">
        <f>40*'Données projet'!E155+13.8*('Données projet'!F155+'Données projet'!G155)+15*'Données projet'!H155</f>
        <v>0</v>
      </c>
      <c r="D162" s="190">
        <f t="shared" si="10"/>
        <v>0</v>
      </c>
      <c r="E162" s="202"/>
      <c r="F162" s="259"/>
      <c r="G162" s="213"/>
      <c r="H162" s="199"/>
      <c r="I162" s="200"/>
      <c r="J162" s="5"/>
      <c r="K162" s="179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3">
        <f>'Données projet'!D156</f>
        <v>0</v>
      </c>
      <c r="C163" s="200">
        <f>40*'Données projet'!E156+13.8*('Données projet'!F156+'Données projet'!G156)+15*'Données projet'!H156</f>
        <v>0</v>
      </c>
      <c r="D163" s="190">
        <f t="shared" si="10"/>
        <v>0</v>
      </c>
      <c r="E163" s="202"/>
      <c r="F163" s="259"/>
      <c r="G163" s="213"/>
      <c r="H163" s="199"/>
      <c r="I163" s="200"/>
      <c r="J163" s="5"/>
      <c r="K163" s="179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3">
        <f>'Données projet'!D157</f>
        <v>0</v>
      </c>
      <c r="C164" s="200">
        <f>40*'Données projet'!E157+13.8*('Données projet'!F157+'Données projet'!G157)+15*'Données projet'!H157</f>
        <v>0</v>
      </c>
      <c r="D164" s="190">
        <f t="shared" si="10"/>
        <v>0</v>
      </c>
      <c r="E164" s="202"/>
      <c r="F164" s="259"/>
      <c r="G164" s="213"/>
      <c r="H164" s="199"/>
      <c r="I164" s="200"/>
      <c r="J164" s="5"/>
      <c r="K164" s="179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3">
        <f>'Données projet'!D158</f>
        <v>0</v>
      </c>
      <c r="C165" s="200">
        <f>40*'Données projet'!E158+13.8*('Données projet'!F158+'Données projet'!G158)+15*'Données projet'!H158</f>
        <v>0</v>
      </c>
      <c r="D165" s="190">
        <f t="shared" si="10"/>
        <v>0</v>
      </c>
      <c r="E165" s="202"/>
      <c r="F165" s="259"/>
      <c r="G165" s="213"/>
      <c r="H165" s="199"/>
      <c r="I165" s="200"/>
      <c r="J165" s="5"/>
      <c r="K165" s="179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3">
        <f>'Données projet'!D159</f>
        <v>0</v>
      </c>
      <c r="C166" s="200">
        <f>40*'Données projet'!E159+13.8*('Données projet'!F159+'Données projet'!G159)+15*'Données projet'!H159</f>
        <v>0</v>
      </c>
      <c r="D166" s="190">
        <f t="shared" si="10"/>
        <v>0</v>
      </c>
      <c r="E166" s="202"/>
      <c r="F166" s="259"/>
      <c r="G166" s="213"/>
      <c r="H166" s="199"/>
      <c r="I166" s="200"/>
      <c r="J166" s="5"/>
      <c r="K166" s="179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56"/>
      <c r="G167" s="213"/>
      <c r="H167" s="199"/>
      <c r="I167" s="200"/>
      <c r="J167" s="5"/>
      <c r="K167" s="179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56"/>
      <c r="G168" s="213"/>
      <c r="H168" s="199"/>
      <c r="I168" s="200"/>
      <c r="J168" s="5"/>
      <c r="K168" s="179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2" t="str">
        <f>IF('Données projet'!B14="","",'Données projet'!B14)</f>
        <v>Chêne pédonculé</v>
      </c>
      <c r="C169" s="5"/>
      <c r="D169" s="5"/>
      <c r="E169" s="5"/>
      <c r="F169" s="256"/>
      <c r="G169" s="213"/>
      <c r="H169" s="199"/>
      <c r="I169" s="200"/>
      <c r="J169" s="5"/>
      <c r="K169" s="179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56"/>
      <c r="G170" s="213"/>
      <c r="H170" s="199"/>
      <c r="I170" s="200"/>
      <c r="J170" s="5"/>
      <c r="K170" s="179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2" t="s">
        <v>180</v>
      </c>
      <c r="B171" s="51" t="s">
        <v>256</v>
      </c>
      <c r="C171" s="51" t="s">
        <v>255</v>
      </c>
      <c r="D171" s="252" t="s">
        <v>252</v>
      </c>
      <c r="E171" s="252" t="s">
        <v>320</v>
      </c>
      <c r="F171" s="257"/>
      <c r="G171" s="213"/>
      <c r="H171" s="199"/>
      <c r="I171" s="200"/>
      <c r="J171" s="5"/>
      <c r="K171" s="179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05">
        <v>0</v>
      </c>
      <c r="B172" s="208" t="s">
        <v>132</v>
      </c>
      <c r="C172" s="207" t="s">
        <v>132</v>
      </c>
      <c r="D172" s="206" t="s">
        <v>132</v>
      </c>
      <c r="E172" s="202">
        <v>2904</v>
      </c>
      <c r="F172" s="257"/>
      <c r="G172" s="213"/>
      <c r="H172" s="199"/>
      <c r="I172" s="200"/>
      <c r="J172" s="5"/>
      <c r="K172" s="179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05">
        <v>1</v>
      </c>
      <c r="B173" s="208" t="s">
        <v>132</v>
      </c>
      <c r="C173" s="207" t="s">
        <v>132</v>
      </c>
      <c r="D173" s="206" t="s">
        <v>132</v>
      </c>
      <c r="E173" s="202"/>
      <c r="F173" s="257"/>
      <c r="G173" s="216"/>
      <c r="H173" s="199"/>
      <c r="I173" s="200"/>
      <c r="J173" s="5"/>
      <c r="K173" s="179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05">
        <v>2</v>
      </c>
      <c r="B174" s="208" t="s">
        <v>132</v>
      </c>
      <c r="C174" s="207" t="s">
        <v>132</v>
      </c>
      <c r="D174" s="206" t="s">
        <v>132</v>
      </c>
      <c r="E174" s="202"/>
      <c r="F174" s="257"/>
      <c r="G174" s="216"/>
      <c r="H174" s="199"/>
      <c r="I174" s="200"/>
      <c r="J174" s="5"/>
      <c r="K174" s="179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05">
        <v>3</v>
      </c>
      <c r="B175" s="208" t="s">
        <v>132</v>
      </c>
      <c r="C175" s="207" t="s">
        <v>132</v>
      </c>
      <c r="D175" s="206" t="s">
        <v>132</v>
      </c>
      <c r="E175" s="202"/>
      <c r="F175" s="257"/>
      <c r="G175" s="216"/>
      <c r="H175" s="199"/>
      <c r="I175" s="200"/>
      <c r="J175" s="5"/>
      <c r="K175" s="179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05">
        <v>4</v>
      </c>
      <c r="B176" s="208" t="s">
        <v>132</v>
      </c>
      <c r="C176" s="207" t="s">
        <v>132</v>
      </c>
      <c r="D176" s="206" t="s">
        <v>132</v>
      </c>
      <c r="E176" s="202"/>
      <c r="F176" s="257"/>
      <c r="G176" s="216"/>
      <c r="H176" s="199"/>
      <c r="I176" s="200"/>
      <c r="J176" s="5"/>
      <c r="K176" s="179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05">
        <v>5</v>
      </c>
      <c r="B177" s="208" t="s">
        <v>132</v>
      </c>
      <c r="C177" s="207" t="s">
        <v>132</v>
      </c>
      <c r="D177" s="206" t="s">
        <v>132</v>
      </c>
      <c r="E177" s="202"/>
      <c r="F177" s="257"/>
      <c r="G177" s="217"/>
      <c r="H177" s="199"/>
      <c r="I177" s="200"/>
      <c r="J177" s="5"/>
      <c r="K177" s="179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88">
        <f>'Données projet'!A166</f>
        <v>42</v>
      </c>
      <c r="B178" s="189">
        <f>'Données projet'!D166</f>
        <v>43.21</v>
      </c>
      <c r="C178" s="202">
        <f>225*'Données projet'!E166+13.8*('Données projet'!F166+'Données projet'!G168)+15*'Données projet'!H166</f>
        <v>57</v>
      </c>
      <c r="D178" s="187">
        <f>B178*C178</f>
        <v>2462.9700000000003</v>
      </c>
      <c r="E178" s="202"/>
      <c r="F178" s="258"/>
      <c r="G178" s="217"/>
      <c r="H178" s="199"/>
      <c r="I178" s="200"/>
      <c r="J178" s="5"/>
      <c r="K178" s="179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88">
        <f>'Données projet'!A167</f>
        <v>50</v>
      </c>
      <c r="B179" s="189">
        <f>'Données projet'!D167</f>
        <v>35.58</v>
      </c>
      <c r="C179" s="202">
        <f>225*'Données projet'!E167+13.8*('Données projet'!F167+'Données projet'!G169)+15*'Données projet'!H167</f>
        <v>57</v>
      </c>
      <c r="D179" s="187">
        <f t="shared" ref="D179:D197" si="11">B179*C179</f>
        <v>2028.06</v>
      </c>
      <c r="E179" s="202"/>
      <c r="F179" s="258"/>
      <c r="G179" s="217"/>
      <c r="H179" s="199"/>
      <c r="I179" s="200"/>
      <c r="J179" s="5"/>
      <c r="K179" s="179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88">
        <f>'Données projet'!A168</f>
        <v>58</v>
      </c>
      <c r="B180" s="189">
        <f>'Données projet'!D168</f>
        <v>44.93</v>
      </c>
      <c r="C180" s="202">
        <f>225*'Données projet'!E168+13.8*('Données projet'!F168+'Données projet'!G170)+15*'Données projet'!H168</f>
        <v>57</v>
      </c>
      <c r="D180" s="187">
        <f t="shared" si="11"/>
        <v>2561.0099999999998</v>
      </c>
      <c r="E180" s="202"/>
      <c r="F180" s="258"/>
      <c r="G180" s="217"/>
      <c r="H180" s="199"/>
      <c r="I180" s="200"/>
      <c r="J180" s="5"/>
      <c r="K180" s="179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88">
        <f>'Données projet'!A169</f>
        <v>66</v>
      </c>
      <c r="B181" s="189">
        <f>'Données projet'!D169</f>
        <v>49.91</v>
      </c>
      <c r="C181" s="202">
        <f>225*'Données projet'!E169+13.8*('Données projet'!F169+'Données projet'!G171)+15*'Données projet'!H169</f>
        <v>78</v>
      </c>
      <c r="D181" s="187">
        <f t="shared" si="11"/>
        <v>3892.9799999999996</v>
      </c>
      <c r="E181" s="202"/>
      <c r="F181" s="258"/>
      <c r="G181" s="217"/>
      <c r="H181" s="199"/>
      <c r="I181" s="200"/>
      <c r="J181" s="5"/>
      <c r="K181" s="179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88">
        <f>'Données projet'!A170</f>
        <v>74</v>
      </c>
      <c r="B182" s="189">
        <f>'Données projet'!D170</f>
        <v>47.4</v>
      </c>
      <c r="C182" s="202">
        <f>225*'Données projet'!E170+13.8*('Données projet'!F170+'Données projet'!G172)+15*'Données projet'!H170</f>
        <v>99</v>
      </c>
      <c r="D182" s="187">
        <f t="shared" si="11"/>
        <v>4692.5999999999995</v>
      </c>
      <c r="E182" s="202"/>
      <c r="F182" s="258"/>
      <c r="G182" s="217"/>
      <c r="H182" s="199"/>
      <c r="I182" s="200"/>
      <c r="J182" s="5"/>
      <c r="K182" s="179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88">
        <f>'Données projet'!A171</f>
        <v>84</v>
      </c>
      <c r="B183" s="189">
        <f>'Données projet'!D171</f>
        <v>61.47</v>
      </c>
      <c r="C183" s="202">
        <f>225*'Données projet'!E171+13.8*('Données projet'!F171+'Données projet'!G173)+15*'Données projet'!H171</f>
        <v>99</v>
      </c>
      <c r="D183" s="187">
        <f t="shared" si="11"/>
        <v>6085.53</v>
      </c>
      <c r="E183" s="202"/>
      <c r="F183" s="258"/>
      <c r="G183" s="217"/>
      <c r="H183" s="199"/>
      <c r="I183" s="200"/>
      <c r="J183" s="5"/>
      <c r="K183" s="179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88">
        <f>'Données projet'!A172</f>
        <v>94</v>
      </c>
      <c r="B184" s="189">
        <f>'Données projet'!D172</f>
        <v>61.85</v>
      </c>
      <c r="C184" s="202">
        <f>225*'Données projet'!E172+13.8*('Données projet'!F172+'Données projet'!G174)+15*'Données projet'!H172</f>
        <v>120</v>
      </c>
      <c r="D184" s="187">
        <f t="shared" si="11"/>
        <v>7422</v>
      </c>
      <c r="E184" s="202"/>
      <c r="F184" s="258"/>
      <c r="G184" s="218"/>
      <c r="H184" s="199"/>
      <c r="I184" s="200"/>
      <c r="J184" s="5"/>
      <c r="K184" s="179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88">
        <f>'Données projet'!A173</f>
        <v>104</v>
      </c>
      <c r="B185" s="189">
        <f>'Données projet'!D173</f>
        <v>60.19</v>
      </c>
      <c r="C185" s="202">
        <f>225*'Données projet'!E173+13.8*('Données projet'!F173+'Données projet'!G175)+15*'Données projet'!H173</f>
        <v>120</v>
      </c>
      <c r="D185" s="187">
        <f t="shared" si="11"/>
        <v>7222.7999999999993</v>
      </c>
      <c r="E185" s="202"/>
      <c r="F185" s="258"/>
      <c r="G185" s="218"/>
      <c r="H185" s="199"/>
      <c r="I185" s="200"/>
      <c r="J185" s="5"/>
      <c r="K185" s="179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88">
        <f>'Données projet'!A174</f>
        <v>114</v>
      </c>
      <c r="B186" s="189">
        <f>'Données projet'!D174</f>
        <v>56.07</v>
      </c>
      <c r="C186" s="202">
        <f>225*'Données projet'!E174+13.8*('Données projet'!F174+'Données projet'!G176)+15*'Données projet'!H174</f>
        <v>141</v>
      </c>
      <c r="D186" s="187">
        <f t="shared" si="11"/>
        <v>7905.87</v>
      </c>
      <c r="E186" s="202"/>
      <c r="F186" s="258"/>
      <c r="G186" s="218"/>
      <c r="H186" s="199"/>
      <c r="I186" s="200"/>
      <c r="J186" s="5"/>
      <c r="K186" s="179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88">
        <f>'Données projet'!A175</f>
        <v>124</v>
      </c>
      <c r="B187" s="189">
        <f>'Données projet'!D175</f>
        <v>52.53</v>
      </c>
      <c r="C187" s="202">
        <f>225*'Données projet'!E175+13.8*('Données projet'!F175+'Données projet'!G177)+15*'Données projet'!H175</f>
        <v>162</v>
      </c>
      <c r="D187" s="187">
        <f t="shared" si="11"/>
        <v>8509.86</v>
      </c>
      <c r="E187" s="202"/>
      <c r="F187" s="258"/>
      <c r="G187" s="218"/>
      <c r="H187" s="199"/>
      <c r="I187" s="200"/>
      <c r="J187" s="5"/>
      <c r="K187" s="179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88">
        <f>'Données projet'!A176</f>
        <v>134</v>
      </c>
      <c r="B188" s="189">
        <f>'Données projet'!D176</f>
        <v>54.95</v>
      </c>
      <c r="C188" s="202">
        <f>225*'Données projet'!E176+13.8*('Données projet'!F176+'Données projet'!G178)+15*'Données projet'!H176</f>
        <v>162</v>
      </c>
      <c r="D188" s="187">
        <f t="shared" si="11"/>
        <v>8901.9</v>
      </c>
      <c r="E188" s="202"/>
      <c r="F188" s="258"/>
      <c r="G188" s="218"/>
      <c r="H188" s="199"/>
      <c r="I188" s="200"/>
      <c r="J188" s="5"/>
      <c r="K188" s="179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88">
        <f>'Données projet'!A177</f>
        <v>144</v>
      </c>
      <c r="B189" s="189">
        <f>'Données projet'!D177</f>
        <v>56.01</v>
      </c>
      <c r="C189" s="202">
        <f>225*'Données projet'!E177+13.8*('Données projet'!F177+'Données projet'!G179)+15*'Données projet'!H177</f>
        <v>162</v>
      </c>
      <c r="D189" s="187">
        <f t="shared" si="11"/>
        <v>9073.619999999999</v>
      </c>
      <c r="E189" s="202"/>
      <c r="F189" s="258"/>
      <c r="G189" s="218"/>
      <c r="H189" s="199"/>
      <c r="I189" s="200"/>
      <c r="J189" s="5"/>
      <c r="K189" s="179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88">
        <f>'Données projet'!A178</f>
        <v>154</v>
      </c>
      <c r="B190" s="189">
        <f>'Données projet'!D178</f>
        <v>55.13</v>
      </c>
      <c r="C190" s="202">
        <f>225*'Données projet'!E178+13.8*('Données projet'!F178+'Données projet'!G180)+15*'Données projet'!H178</f>
        <v>162</v>
      </c>
      <c r="D190" s="187">
        <f t="shared" si="11"/>
        <v>8931.0600000000013</v>
      </c>
      <c r="E190" s="202"/>
      <c r="F190" s="258"/>
      <c r="G190" s="218"/>
      <c r="H190" s="199"/>
      <c r="I190" s="200"/>
      <c r="J190" s="5"/>
      <c r="K190" s="179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88">
        <f>'Données projet'!A179</f>
        <v>164</v>
      </c>
      <c r="B191" s="189">
        <f>'Données projet'!D179</f>
        <v>59.58</v>
      </c>
      <c r="C191" s="202">
        <f>225*'Données projet'!E179+13.8*('Données projet'!F179+'Données projet'!G181)+15*'Données projet'!H179</f>
        <v>183</v>
      </c>
      <c r="D191" s="187">
        <f t="shared" si="11"/>
        <v>10903.14</v>
      </c>
      <c r="E191" s="202"/>
      <c r="F191" s="258"/>
      <c r="G191" s="218"/>
      <c r="H191" s="199"/>
      <c r="I191" s="200"/>
      <c r="J191" s="5"/>
      <c r="K191" s="179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88">
        <f>'Données projet'!A180</f>
        <v>174</v>
      </c>
      <c r="B192" s="189">
        <f>'Données projet'!D180</f>
        <v>214.77</v>
      </c>
      <c r="C192" s="202">
        <f>225*'Données projet'!E180+13.8*('Données projet'!F180+'Données projet'!G182)+15*'Données projet'!H180</f>
        <v>183</v>
      </c>
      <c r="D192" s="187">
        <f t="shared" si="11"/>
        <v>39302.910000000003</v>
      </c>
      <c r="E192" s="202"/>
      <c r="F192" s="258"/>
      <c r="G192" s="218"/>
      <c r="H192" s="199"/>
      <c r="I192" s="200"/>
      <c r="J192" s="5"/>
      <c r="K192" s="179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88">
        <f>'Données projet'!A181</f>
        <v>177</v>
      </c>
      <c r="B193" s="189">
        <f>'Données projet'!D181</f>
        <v>115.19</v>
      </c>
      <c r="C193" s="202">
        <f>225*'Données projet'!E181+13.8*('Données projet'!F181+'Données projet'!G183)+15*'Données projet'!H181</f>
        <v>183</v>
      </c>
      <c r="D193" s="187">
        <f t="shared" si="11"/>
        <v>21079.77</v>
      </c>
      <c r="E193" s="202"/>
      <c r="F193" s="258"/>
      <c r="G193" s="218"/>
      <c r="H193" s="199"/>
      <c r="I193" s="200"/>
      <c r="J193" s="5"/>
      <c r="K193" s="179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88">
        <f>'Données projet'!A182</f>
        <v>180</v>
      </c>
      <c r="B194" s="189">
        <f>'Données projet'!D182</f>
        <v>77.72</v>
      </c>
      <c r="C194" s="202">
        <f>225*'Données projet'!E182+13.8*('Données projet'!F182+'Données projet'!G184)+15*'Données projet'!H182</f>
        <v>183</v>
      </c>
      <c r="D194" s="187">
        <f t="shared" si="11"/>
        <v>14222.76</v>
      </c>
      <c r="E194" s="202"/>
      <c r="F194" s="258"/>
      <c r="G194" s="218"/>
      <c r="H194" s="199"/>
      <c r="I194" s="200"/>
      <c r="J194" s="5"/>
      <c r="K194" s="179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88">
        <f>'Données projet'!A183</f>
        <v>183</v>
      </c>
      <c r="B195" s="189">
        <f>'Données projet'!D183</f>
        <v>169.76</v>
      </c>
      <c r="C195" s="202">
        <f>225*'Données projet'!E183+13.8*('Données projet'!F183+'Données projet'!G185)+15*'Données projet'!H183</f>
        <v>183</v>
      </c>
      <c r="D195" s="187">
        <f t="shared" si="11"/>
        <v>31066.079999999998</v>
      </c>
      <c r="E195" s="202"/>
      <c r="F195" s="258"/>
      <c r="G195" s="218"/>
      <c r="H195" s="199"/>
      <c r="I195" s="200"/>
      <c r="J195" s="5"/>
      <c r="K195" s="179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88">
        <f>'Données projet'!A184</f>
        <v>0</v>
      </c>
      <c r="B196" s="189">
        <f>'Données projet'!D184</f>
        <v>0</v>
      </c>
      <c r="C196" s="202">
        <f>225*'Données projet'!E184+13.8*('Données projet'!F184+'Données projet'!G186)+15*'Données projet'!H184</f>
        <v>0</v>
      </c>
      <c r="D196" s="187">
        <f t="shared" si="11"/>
        <v>0</v>
      </c>
      <c r="E196" s="202"/>
      <c r="F196" s="258"/>
      <c r="G196" s="218"/>
      <c r="H196" s="199"/>
      <c r="I196" s="200"/>
      <c r="J196" s="5"/>
      <c r="K196" s="179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88">
        <f>'Données projet'!A185</f>
        <v>0</v>
      </c>
      <c r="B197" s="189">
        <f>'Données projet'!D185</f>
        <v>0</v>
      </c>
      <c r="C197" s="202">
        <f>225*'Données projet'!E185+13.8*('Données projet'!F185+'Données projet'!G187)+15*'Données projet'!H185</f>
        <v>0</v>
      </c>
      <c r="D197" s="187">
        <f t="shared" si="11"/>
        <v>0</v>
      </c>
      <c r="E197" s="202"/>
      <c r="F197" s="258"/>
      <c r="G197" s="218"/>
      <c r="H197" s="199"/>
      <c r="I197" s="200"/>
      <c r="J197" s="5"/>
      <c r="K197" s="179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56"/>
      <c r="G198" s="218"/>
      <c r="H198" s="199"/>
      <c r="I198" s="200"/>
      <c r="J198" s="5"/>
      <c r="K198" s="179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56"/>
      <c r="G199" s="218"/>
      <c r="H199" s="199"/>
      <c r="I199" s="200"/>
      <c r="J199" s="5"/>
      <c r="K199" s="179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2" t="str">
        <f>IF('Données projet'!$B$15="","",'Données projet'!$B$15)</f>
        <v>Chêne sessile</v>
      </c>
      <c r="C200" s="5"/>
      <c r="D200" s="5"/>
      <c r="E200" s="5"/>
      <c r="F200" s="256"/>
      <c r="G200" s="218"/>
      <c r="H200" s="199"/>
      <c r="I200" s="200"/>
      <c r="J200" s="5"/>
      <c r="K200" s="179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56"/>
      <c r="G201" s="218"/>
      <c r="H201" s="199"/>
      <c r="I201" s="200"/>
      <c r="J201" s="5"/>
      <c r="K201" s="179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2" t="s">
        <v>180</v>
      </c>
      <c r="B202" s="51" t="s">
        <v>256</v>
      </c>
      <c r="C202" s="51" t="s">
        <v>255</v>
      </c>
      <c r="D202" s="252" t="s">
        <v>252</v>
      </c>
      <c r="E202" s="252" t="s">
        <v>320</v>
      </c>
      <c r="F202" s="257"/>
      <c r="G202" s="218"/>
      <c r="H202" s="199"/>
      <c r="I202" s="200"/>
      <c r="J202" s="5"/>
      <c r="K202" s="179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05">
        <v>0</v>
      </c>
      <c r="B203" s="208" t="s">
        <v>132</v>
      </c>
      <c r="C203" s="207" t="s">
        <v>132</v>
      </c>
      <c r="D203" s="206" t="s">
        <v>132</v>
      </c>
      <c r="E203" s="202">
        <v>2904</v>
      </c>
      <c r="F203" s="257"/>
      <c r="G203" s="218"/>
      <c r="H203" s="199"/>
      <c r="I203" s="200"/>
      <c r="J203" s="5"/>
      <c r="K203" s="179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05">
        <v>1</v>
      </c>
      <c r="B204" s="208" t="s">
        <v>132</v>
      </c>
      <c r="C204" s="207" t="s">
        <v>132</v>
      </c>
      <c r="D204" s="206" t="s">
        <v>132</v>
      </c>
      <c r="E204" s="202"/>
      <c r="F204" s="257"/>
      <c r="G204" s="216"/>
      <c r="H204" s="199"/>
      <c r="I204" s="200"/>
      <c r="J204" s="5"/>
      <c r="K204" s="179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05">
        <v>2</v>
      </c>
      <c r="B205" s="208" t="s">
        <v>132</v>
      </c>
      <c r="C205" s="207" t="s">
        <v>132</v>
      </c>
      <c r="D205" s="206" t="s">
        <v>132</v>
      </c>
      <c r="E205" s="202"/>
      <c r="F205" s="257"/>
      <c r="G205" s="216"/>
      <c r="H205" s="199"/>
      <c r="I205" s="200"/>
      <c r="J205" s="5"/>
      <c r="K205" s="179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05">
        <v>3</v>
      </c>
      <c r="B206" s="208" t="s">
        <v>132</v>
      </c>
      <c r="C206" s="207" t="s">
        <v>132</v>
      </c>
      <c r="D206" s="206" t="s">
        <v>132</v>
      </c>
      <c r="E206" s="202"/>
      <c r="F206" s="257"/>
      <c r="G206" s="216"/>
      <c r="H206" s="199"/>
      <c r="I206" s="200"/>
      <c r="J206" s="5"/>
      <c r="K206" s="179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05">
        <v>4</v>
      </c>
      <c r="B207" s="208" t="s">
        <v>132</v>
      </c>
      <c r="C207" s="207" t="s">
        <v>132</v>
      </c>
      <c r="D207" s="206" t="s">
        <v>132</v>
      </c>
      <c r="E207" s="202"/>
      <c r="F207" s="257"/>
      <c r="G207" s="216"/>
      <c r="H207" s="199"/>
      <c r="I207" s="200"/>
      <c r="J207" s="5"/>
      <c r="K207" s="179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05">
        <v>5</v>
      </c>
      <c r="B208" s="208" t="s">
        <v>132</v>
      </c>
      <c r="C208" s="207" t="s">
        <v>132</v>
      </c>
      <c r="D208" s="206" t="s">
        <v>132</v>
      </c>
      <c r="E208" s="202"/>
      <c r="F208" s="257"/>
      <c r="G208" s="217"/>
      <c r="H208" s="199"/>
      <c r="I208" s="200"/>
      <c r="J208" s="5"/>
      <c r="K208" s="179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88">
        <f>'Données projet'!A192</f>
        <v>42</v>
      </c>
      <c r="B209" s="189">
        <f>'Données projet'!D192</f>
        <v>43.21</v>
      </c>
      <c r="C209" s="202">
        <f>225*'Données projet'!E192+13.8*('Données projet'!F192+'Données projet'!G192)+15*'Données projet'!H192</f>
        <v>57</v>
      </c>
      <c r="D209" s="187">
        <f>B209*C209</f>
        <v>2462.9700000000003</v>
      </c>
      <c r="E209" s="202"/>
      <c r="F209" s="258"/>
      <c r="G209" s="217"/>
      <c r="H209" s="199"/>
      <c r="I209" s="200"/>
      <c r="J209" s="5"/>
      <c r="K209" s="179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88">
        <f>'Données projet'!A193</f>
        <v>50</v>
      </c>
      <c r="B210" s="189">
        <f>'Données projet'!D193</f>
        <v>35.58</v>
      </c>
      <c r="C210" s="202">
        <f>225*'Données projet'!E193+13.8*('Données projet'!F193+'Données projet'!G193)+15*'Données projet'!H193</f>
        <v>57</v>
      </c>
      <c r="D210" s="187">
        <f t="shared" ref="D210:D228" si="12">B210*C210</f>
        <v>2028.06</v>
      </c>
      <c r="E210" s="202"/>
      <c r="F210" s="258"/>
      <c r="G210" s="217"/>
      <c r="H210" s="199"/>
      <c r="I210" s="200"/>
      <c r="J210" s="5"/>
      <c r="K210" s="179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88">
        <f>'Données projet'!A194</f>
        <v>58</v>
      </c>
      <c r="B211" s="189">
        <f>'Données projet'!D194</f>
        <v>44.93</v>
      </c>
      <c r="C211" s="202">
        <f>225*'Données projet'!E194+13.8*('Données projet'!F194+'Données projet'!G194)+15*'Données projet'!H194</f>
        <v>57</v>
      </c>
      <c r="D211" s="187">
        <f t="shared" si="12"/>
        <v>2561.0099999999998</v>
      </c>
      <c r="E211" s="202"/>
      <c r="F211" s="258"/>
      <c r="G211" s="217"/>
      <c r="H211" s="199"/>
      <c r="I211" s="200"/>
      <c r="J211" s="5"/>
      <c r="K211" s="179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88">
        <f>'Données projet'!A195</f>
        <v>66</v>
      </c>
      <c r="B212" s="189">
        <f>'Données projet'!D195</f>
        <v>49.91</v>
      </c>
      <c r="C212" s="202">
        <f>225*'Données projet'!E195+13.8*('Données projet'!F195+'Données projet'!G195)+15*'Données projet'!H195</f>
        <v>78</v>
      </c>
      <c r="D212" s="187">
        <f t="shared" si="12"/>
        <v>3892.9799999999996</v>
      </c>
      <c r="E212" s="202"/>
      <c r="F212" s="258"/>
      <c r="G212" s="217"/>
      <c r="H212" s="199"/>
      <c r="I212" s="200"/>
      <c r="J212" s="5"/>
      <c r="K212" s="179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88">
        <f>'Données projet'!A196</f>
        <v>74</v>
      </c>
      <c r="B213" s="189">
        <f>'Données projet'!D196</f>
        <v>47.4</v>
      </c>
      <c r="C213" s="202">
        <f>225*'Données projet'!E196+13.8*('Données projet'!F196+'Données projet'!G196)+15*'Données projet'!H196</f>
        <v>99</v>
      </c>
      <c r="D213" s="187">
        <f t="shared" si="12"/>
        <v>4692.5999999999995</v>
      </c>
      <c r="E213" s="202"/>
      <c r="F213" s="258"/>
      <c r="G213" s="217"/>
      <c r="H213" s="199"/>
      <c r="I213" s="200"/>
      <c r="J213" s="5"/>
      <c r="K213" s="179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88">
        <f>'Données projet'!A197</f>
        <v>84</v>
      </c>
      <c r="B214" s="189">
        <f>'Données projet'!D197</f>
        <v>61.47</v>
      </c>
      <c r="C214" s="202">
        <f>225*'Données projet'!E197+13.8*('Données projet'!F197+'Données projet'!G197)+15*'Données projet'!H197</f>
        <v>99</v>
      </c>
      <c r="D214" s="187">
        <f t="shared" si="12"/>
        <v>6085.53</v>
      </c>
      <c r="E214" s="202"/>
      <c r="F214" s="258"/>
      <c r="G214" s="217"/>
      <c r="H214" s="199"/>
      <c r="I214" s="200"/>
      <c r="J214" s="5"/>
      <c r="K214" s="179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88">
        <f>'Données projet'!A198</f>
        <v>94</v>
      </c>
      <c r="B215" s="189">
        <f>'Données projet'!D198</f>
        <v>61.85</v>
      </c>
      <c r="C215" s="202">
        <f>225*'Données projet'!E198+13.8*('Données projet'!F198+'Données projet'!G198)+15*'Données projet'!H198</f>
        <v>120</v>
      </c>
      <c r="D215" s="187">
        <f t="shared" si="12"/>
        <v>7422</v>
      </c>
      <c r="E215" s="202"/>
      <c r="F215" s="258"/>
      <c r="G215" s="218"/>
      <c r="H215" s="199"/>
      <c r="I215" s="200"/>
      <c r="J215" s="5"/>
      <c r="K215" s="179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88">
        <f>'Données projet'!A199</f>
        <v>104</v>
      </c>
      <c r="B216" s="189">
        <f>'Données projet'!D199</f>
        <v>60.19</v>
      </c>
      <c r="C216" s="202">
        <f>225*'Données projet'!E199+13.8*('Données projet'!F199+'Données projet'!G199)+15*'Données projet'!H199</f>
        <v>120</v>
      </c>
      <c r="D216" s="187">
        <f t="shared" si="12"/>
        <v>7222.7999999999993</v>
      </c>
      <c r="E216" s="202"/>
      <c r="F216" s="258"/>
      <c r="G216" s="218"/>
      <c r="H216" s="199"/>
      <c r="I216" s="200"/>
      <c r="J216" s="5"/>
      <c r="K216" s="179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88">
        <f>'Données projet'!A200</f>
        <v>114</v>
      </c>
      <c r="B217" s="189">
        <f>'Données projet'!D200</f>
        <v>56.07</v>
      </c>
      <c r="C217" s="202">
        <f>225*'Données projet'!E200+13.8*('Données projet'!F200+'Données projet'!G200)+15*'Données projet'!H200</f>
        <v>141</v>
      </c>
      <c r="D217" s="187">
        <f t="shared" si="12"/>
        <v>7905.87</v>
      </c>
      <c r="E217" s="202"/>
      <c r="F217" s="258"/>
      <c r="G217" s="218"/>
      <c r="H217" s="199"/>
      <c r="I217" s="200"/>
      <c r="J217" s="5"/>
      <c r="K217" s="179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88">
        <f>'Données projet'!A201</f>
        <v>124</v>
      </c>
      <c r="B218" s="189">
        <f>'Données projet'!D201</f>
        <v>52.53</v>
      </c>
      <c r="C218" s="202">
        <f>225*'Données projet'!E201+13.8*('Données projet'!F201+'Données projet'!G201)+15*'Données projet'!H201</f>
        <v>162</v>
      </c>
      <c r="D218" s="187">
        <f t="shared" si="12"/>
        <v>8509.86</v>
      </c>
      <c r="E218" s="202"/>
      <c r="F218" s="258"/>
      <c r="G218" s="218"/>
      <c r="H218" s="199"/>
      <c r="I218" s="200"/>
      <c r="J218" s="5"/>
      <c r="K218" s="179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88">
        <f>'Données projet'!A202</f>
        <v>134</v>
      </c>
      <c r="B219" s="189">
        <f>'Données projet'!D202</f>
        <v>54.95</v>
      </c>
      <c r="C219" s="202">
        <f>225*'Données projet'!E202+13.8*('Données projet'!F202+'Données projet'!G202)+15*'Données projet'!H202</f>
        <v>162</v>
      </c>
      <c r="D219" s="187">
        <f t="shared" si="12"/>
        <v>8901.9</v>
      </c>
      <c r="E219" s="202"/>
      <c r="F219" s="258"/>
      <c r="G219" s="218"/>
      <c r="H219" s="199"/>
      <c r="I219" s="200"/>
      <c r="J219" s="5"/>
      <c r="K219" s="179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88">
        <f>'Données projet'!A203</f>
        <v>144</v>
      </c>
      <c r="B220" s="189">
        <f>'Données projet'!D203</f>
        <v>56.01</v>
      </c>
      <c r="C220" s="202">
        <f>225*'Données projet'!E203+13.8*('Données projet'!F203+'Données projet'!G203)+15*'Données projet'!H203</f>
        <v>162</v>
      </c>
      <c r="D220" s="187">
        <f t="shared" si="12"/>
        <v>9073.619999999999</v>
      </c>
      <c r="E220" s="202"/>
      <c r="F220" s="258"/>
      <c r="G220" s="218"/>
      <c r="H220" s="5"/>
      <c r="I220" s="5"/>
      <c r="J220" s="5"/>
      <c r="K220" s="179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88">
        <f>'Données projet'!A204</f>
        <v>154</v>
      </c>
      <c r="B221" s="189">
        <f>'Données projet'!D204</f>
        <v>55.13</v>
      </c>
      <c r="C221" s="202">
        <f>225*'Données projet'!E204+13.8*('Données projet'!F204+'Données projet'!G204)+15*'Données projet'!H204</f>
        <v>162</v>
      </c>
      <c r="D221" s="187">
        <f t="shared" si="12"/>
        <v>8931.0600000000013</v>
      </c>
      <c r="E221" s="202"/>
      <c r="F221" s="258"/>
      <c r="G221" s="218"/>
      <c r="H221" s="5"/>
      <c r="I221" s="5"/>
      <c r="J221" s="5"/>
      <c r="K221" s="179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88">
        <f>'Données projet'!A205</f>
        <v>164</v>
      </c>
      <c r="B222" s="189">
        <f>'Données projet'!D205</f>
        <v>59.58</v>
      </c>
      <c r="C222" s="202">
        <f>225*'Données projet'!E205+13.8*('Données projet'!F205+'Données projet'!G205)+15*'Données projet'!H205</f>
        <v>183</v>
      </c>
      <c r="D222" s="187">
        <f t="shared" si="12"/>
        <v>10903.14</v>
      </c>
      <c r="E222" s="202"/>
      <c r="F222" s="258"/>
      <c r="G222" s="218"/>
      <c r="H222" s="5"/>
      <c r="I222" s="5"/>
      <c r="J222" s="5"/>
      <c r="K222" s="179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88">
        <f>'Données projet'!A206</f>
        <v>174</v>
      </c>
      <c r="B223" s="189">
        <f>'Données projet'!D206</f>
        <v>214.77</v>
      </c>
      <c r="C223" s="202">
        <f>225*'Données projet'!E206+13.8*('Données projet'!F206+'Données projet'!G206)+15*'Données projet'!H206</f>
        <v>183</v>
      </c>
      <c r="D223" s="187">
        <f t="shared" si="12"/>
        <v>39302.910000000003</v>
      </c>
      <c r="E223" s="202"/>
      <c r="F223" s="258"/>
      <c r="G223" s="218"/>
      <c r="H223" s="5"/>
      <c r="I223" s="5"/>
      <c r="J223" s="5"/>
      <c r="K223" s="179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88">
        <f>'Données projet'!A207</f>
        <v>177</v>
      </c>
      <c r="B224" s="189">
        <f>'Données projet'!D207</f>
        <v>115.19</v>
      </c>
      <c r="C224" s="202">
        <f>225*'Données projet'!E207+13.8*('Données projet'!F207+'Données projet'!G207)+15*'Données projet'!H207</f>
        <v>183</v>
      </c>
      <c r="D224" s="187">
        <f t="shared" si="12"/>
        <v>21079.77</v>
      </c>
      <c r="E224" s="202"/>
      <c r="F224" s="258"/>
      <c r="G224" s="218"/>
      <c r="H224" s="5"/>
      <c r="I224" s="5"/>
      <c r="J224" s="5"/>
      <c r="K224" s="179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88">
        <f>'Données projet'!A208</f>
        <v>180</v>
      </c>
      <c r="B225" s="189">
        <f>'Données projet'!D208</f>
        <v>77.72</v>
      </c>
      <c r="C225" s="202">
        <f>225*'Données projet'!E208+13.8*('Données projet'!F208+'Données projet'!G208)+15*'Données projet'!H208</f>
        <v>183</v>
      </c>
      <c r="D225" s="187">
        <f t="shared" si="12"/>
        <v>14222.76</v>
      </c>
      <c r="E225" s="202"/>
      <c r="F225" s="258"/>
      <c r="G225" s="218"/>
      <c r="H225" s="5"/>
      <c r="I225" s="5"/>
      <c r="J225" s="5"/>
      <c r="K225" s="179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88">
        <f>'Données projet'!A209</f>
        <v>183</v>
      </c>
      <c r="B226" s="189">
        <f>'Données projet'!D209</f>
        <v>169.76</v>
      </c>
      <c r="C226" s="202">
        <f>225*'Données projet'!E209+13.8*('Données projet'!F209+'Données projet'!G209)+15*'Données projet'!H209</f>
        <v>183</v>
      </c>
      <c r="D226" s="187">
        <f t="shared" si="12"/>
        <v>31066.079999999998</v>
      </c>
      <c r="E226" s="202"/>
      <c r="F226" s="258"/>
      <c r="G226" s="218"/>
      <c r="H226" s="5"/>
      <c r="I226" s="5"/>
      <c r="J226" s="5"/>
      <c r="K226" s="179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88">
        <f>'Données projet'!A210</f>
        <v>0</v>
      </c>
      <c r="B227" s="189">
        <f>'Données projet'!D210</f>
        <v>0</v>
      </c>
      <c r="C227" s="202">
        <f>225*'Données projet'!E210+13.8*('Données projet'!F210+'Données projet'!G210)+15*'Données projet'!H210</f>
        <v>0</v>
      </c>
      <c r="D227" s="187">
        <f t="shared" si="12"/>
        <v>0</v>
      </c>
      <c r="E227" s="202"/>
      <c r="F227" s="258"/>
      <c r="G227" s="218"/>
      <c r="H227" s="5"/>
      <c r="I227" s="5"/>
      <c r="J227" s="5"/>
      <c r="K227" s="179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88">
        <f>'Données projet'!A211</f>
        <v>0</v>
      </c>
      <c r="B228" s="189">
        <f>'Données projet'!D211</f>
        <v>0</v>
      </c>
      <c r="C228" s="202">
        <f>225*'Données projet'!E211+13.8*('Données projet'!F211+'Données projet'!G211)+15*'Données projet'!H211</f>
        <v>0</v>
      </c>
      <c r="D228" s="187">
        <f t="shared" si="12"/>
        <v>0</v>
      </c>
      <c r="E228" s="202"/>
      <c r="F228" s="258"/>
      <c r="G228" s="218"/>
      <c r="H228" s="5"/>
      <c r="I228" s="5"/>
      <c r="J228" s="5"/>
      <c r="K228" s="179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56"/>
      <c r="G229" s="218"/>
      <c r="H229" s="5"/>
      <c r="I229" s="5"/>
      <c r="J229" s="5"/>
      <c r="K229" s="179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56"/>
      <c r="G230" s="218"/>
      <c r="H230" s="5"/>
      <c r="I230" s="5"/>
      <c r="J230" s="5"/>
      <c r="K230" s="179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2" t="str">
        <f>IF('Données projet'!$B$16="","",'Données projet'!$B$16)</f>
        <v>Chêne pubescent</v>
      </c>
      <c r="C231" s="5"/>
      <c r="D231" s="5"/>
      <c r="E231" s="5"/>
      <c r="F231" s="256"/>
      <c r="G231" s="218"/>
      <c r="H231" s="5"/>
      <c r="I231" s="5"/>
      <c r="J231" s="5"/>
      <c r="K231" s="179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56"/>
      <c r="G232" s="218"/>
      <c r="H232" s="5"/>
      <c r="I232" s="5"/>
      <c r="J232" s="5"/>
      <c r="K232" s="179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2" t="s">
        <v>180</v>
      </c>
      <c r="B233" s="51" t="s">
        <v>256</v>
      </c>
      <c r="C233" s="51" t="s">
        <v>255</v>
      </c>
      <c r="D233" s="252" t="s">
        <v>252</v>
      </c>
      <c r="E233" s="252" t="s">
        <v>320</v>
      </c>
      <c r="F233" s="257"/>
      <c r="G233" s="218"/>
      <c r="H233" s="5"/>
      <c r="I233" s="5"/>
      <c r="J233" s="5"/>
      <c r="K233" s="179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05">
        <v>0</v>
      </c>
      <c r="B234" s="208" t="s">
        <v>132</v>
      </c>
      <c r="C234" s="207" t="s">
        <v>132</v>
      </c>
      <c r="D234" s="206" t="s">
        <v>132</v>
      </c>
      <c r="E234" s="202">
        <v>2904</v>
      </c>
      <c r="F234" s="257"/>
      <c r="G234" s="218"/>
      <c r="H234" s="5"/>
      <c r="I234" s="5"/>
      <c r="J234" s="5"/>
      <c r="K234" s="179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05">
        <v>1</v>
      </c>
      <c r="B235" s="208" t="s">
        <v>132</v>
      </c>
      <c r="C235" s="207" t="s">
        <v>132</v>
      </c>
      <c r="D235" s="206" t="s">
        <v>132</v>
      </c>
      <c r="E235" s="202"/>
      <c r="F235" s="257"/>
      <c r="G235" s="216"/>
      <c r="H235" s="5"/>
      <c r="I235" s="5"/>
      <c r="J235" s="5"/>
      <c r="K235" s="179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05">
        <v>2</v>
      </c>
      <c r="B236" s="208" t="s">
        <v>132</v>
      </c>
      <c r="C236" s="207" t="s">
        <v>132</v>
      </c>
      <c r="D236" s="206" t="s">
        <v>132</v>
      </c>
      <c r="E236" s="202"/>
      <c r="F236" s="257"/>
      <c r="G236" s="216"/>
      <c r="H236" s="5"/>
      <c r="I236" s="5"/>
      <c r="J236" s="5"/>
      <c r="K236" s="179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05">
        <v>3</v>
      </c>
      <c r="B237" s="208" t="s">
        <v>132</v>
      </c>
      <c r="C237" s="207" t="s">
        <v>132</v>
      </c>
      <c r="D237" s="206" t="s">
        <v>132</v>
      </c>
      <c r="E237" s="202"/>
      <c r="F237" s="257"/>
      <c r="G237" s="216"/>
      <c r="H237" s="5"/>
      <c r="I237" s="5"/>
      <c r="J237" s="5"/>
      <c r="K237" s="179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05">
        <v>4</v>
      </c>
      <c r="B238" s="208" t="s">
        <v>132</v>
      </c>
      <c r="C238" s="207" t="s">
        <v>132</v>
      </c>
      <c r="D238" s="206" t="s">
        <v>132</v>
      </c>
      <c r="E238" s="202"/>
      <c r="F238" s="257"/>
      <c r="G238" s="216"/>
      <c r="H238" s="5"/>
      <c r="I238" s="5"/>
      <c r="J238" s="5"/>
      <c r="K238" s="179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05">
        <v>5</v>
      </c>
      <c r="B239" s="208" t="s">
        <v>132</v>
      </c>
      <c r="C239" s="207" t="s">
        <v>132</v>
      </c>
      <c r="D239" s="206" t="s">
        <v>132</v>
      </c>
      <c r="E239" s="202"/>
      <c r="F239" s="257"/>
      <c r="G239" s="217"/>
      <c r="H239" s="5"/>
      <c r="I239" s="5"/>
      <c r="J239" s="5"/>
      <c r="K239" s="179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88">
        <f>'Données projet'!A218</f>
        <v>42</v>
      </c>
      <c r="B240" s="189">
        <f>'Données projet'!D218</f>
        <v>43.21</v>
      </c>
      <c r="C240" s="202">
        <f>225*'Données projet'!E218+13.8*('Données projet'!F218+'Données projet'!G218)+15*'Données projet'!H218</f>
        <v>57</v>
      </c>
      <c r="D240" s="187">
        <f>B240*C240</f>
        <v>2462.9700000000003</v>
      </c>
      <c r="E240" s="202"/>
      <c r="F240" s="258"/>
      <c r="G240" s="217"/>
      <c r="H240" s="5"/>
      <c r="I240" s="5"/>
      <c r="J240" s="5"/>
      <c r="K240" s="179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88">
        <f>'Données projet'!A219</f>
        <v>50</v>
      </c>
      <c r="B241" s="189">
        <f>'Données projet'!D219</f>
        <v>35.58</v>
      </c>
      <c r="C241" s="202">
        <f>225*'Données projet'!E219+13.8*('Données projet'!F219+'Données projet'!G219)+15*'Données projet'!H219</f>
        <v>57</v>
      </c>
      <c r="D241" s="187">
        <f t="shared" ref="D241:D259" si="13">B241*C241</f>
        <v>2028.06</v>
      </c>
      <c r="E241" s="202"/>
      <c r="F241" s="258"/>
      <c r="G241" s="217"/>
      <c r="H241" s="5"/>
      <c r="I241" s="5"/>
      <c r="J241" s="5"/>
      <c r="K241" s="179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88">
        <f>'Données projet'!A220</f>
        <v>58</v>
      </c>
      <c r="B242" s="189">
        <f>'Données projet'!D220</f>
        <v>44.93</v>
      </c>
      <c r="C242" s="202">
        <f>225*'Données projet'!E220+13.8*('Données projet'!F220+'Données projet'!G220)+15*'Données projet'!H220</f>
        <v>57</v>
      </c>
      <c r="D242" s="187">
        <f t="shared" si="13"/>
        <v>2561.0099999999998</v>
      </c>
      <c r="E242" s="202"/>
      <c r="F242" s="258"/>
      <c r="G242" s="217"/>
      <c r="H242" s="5"/>
      <c r="I242" s="5"/>
      <c r="J242" s="5"/>
      <c r="K242" s="179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88">
        <f>'Données projet'!A221</f>
        <v>66</v>
      </c>
      <c r="B243" s="189">
        <f>'Données projet'!D221</f>
        <v>49.91</v>
      </c>
      <c r="C243" s="202">
        <f>225*'Données projet'!E221+13.8*('Données projet'!F221+'Données projet'!G221)+15*'Données projet'!H221</f>
        <v>78</v>
      </c>
      <c r="D243" s="187">
        <f t="shared" si="13"/>
        <v>3892.9799999999996</v>
      </c>
      <c r="E243" s="202"/>
      <c r="F243" s="258"/>
      <c r="G243" s="217"/>
      <c r="H243" s="5"/>
      <c r="I243" s="5"/>
      <c r="J243" s="5"/>
      <c r="K243" s="179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88">
        <f>'Données projet'!A222</f>
        <v>74</v>
      </c>
      <c r="B244" s="189">
        <f>'Données projet'!D222</f>
        <v>47.4</v>
      </c>
      <c r="C244" s="202">
        <f>225*'Données projet'!E222+13.8*('Données projet'!F222+'Données projet'!G222)+15*'Données projet'!H222</f>
        <v>99</v>
      </c>
      <c r="D244" s="187">
        <f t="shared" si="13"/>
        <v>4692.5999999999995</v>
      </c>
      <c r="E244" s="202"/>
      <c r="F244" s="258"/>
      <c r="G244" s="217"/>
      <c r="H244" s="5"/>
      <c r="I244" s="5"/>
      <c r="J244" s="5"/>
      <c r="K244" s="179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88">
        <f>'Données projet'!A223</f>
        <v>84</v>
      </c>
      <c r="B245" s="189">
        <f>'Données projet'!D223</f>
        <v>61.47</v>
      </c>
      <c r="C245" s="202">
        <f>225*'Données projet'!E223+13.8*('Données projet'!F223+'Données projet'!G223)+15*'Données projet'!H223</f>
        <v>99</v>
      </c>
      <c r="D245" s="187">
        <f t="shared" si="13"/>
        <v>6085.53</v>
      </c>
      <c r="E245" s="202"/>
      <c r="F245" s="258"/>
      <c r="G245" s="217"/>
      <c r="H245" s="5"/>
      <c r="I245" s="5"/>
      <c r="J245" s="5"/>
      <c r="K245" s="179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88">
        <f>'Données projet'!A224</f>
        <v>94</v>
      </c>
      <c r="B246" s="189">
        <f>'Données projet'!D224</f>
        <v>61.85</v>
      </c>
      <c r="C246" s="202">
        <f>225*'Données projet'!E224+13.8*('Données projet'!F224+'Données projet'!G224)+15*'Données projet'!H224</f>
        <v>120</v>
      </c>
      <c r="D246" s="187">
        <f t="shared" si="13"/>
        <v>7422</v>
      </c>
      <c r="E246" s="202"/>
      <c r="F246" s="258"/>
      <c r="G246" s="218"/>
      <c r="H246" s="5"/>
      <c r="I246" s="5"/>
      <c r="J246" s="5"/>
      <c r="K246" s="179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88">
        <f>'Données projet'!A225</f>
        <v>104</v>
      </c>
      <c r="B247" s="189">
        <f>'Données projet'!D225</f>
        <v>60.19</v>
      </c>
      <c r="C247" s="202">
        <f>225*'Données projet'!E225+13.8*('Données projet'!F225+'Données projet'!G225)+15*'Données projet'!H225</f>
        <v>120</v>
      </c>
      <c r="D247" s="187">
        <f t="shared" si="13"/>
        <v>7222.7999999999993</v>
      </c>
      <c r="E247" s="202"/>
      <c r="F247" s="258"/>
      <c r="G247" s="218"/>
      <c r="H247" s="5"/>
      <c r="I247" s="5"/>
      <c r="J247" s="5"/>
      <c r="K247" s="179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88">
        <f>'Données projet'!A226</f>
        <v>114</v>
      </c>
      <c r="B248" s="189">
        <f>'Données projet'!D226</f>
        <v>56.07</v>
      </c>
      <c r="C248" s="202">
        <f>225*'Données projet'!E226+13.8*('Données projet'!F226+'Données projet'!G226)+15*'Données projet'!H226</f>
        <v>141</v>
      </c>
      <c r="D248" s="187">
        <f t="shared" si="13"/>
        <v>7905.87</v>
      </c>
      <c r="E248" s="202"/>
      <c r="F248" s="258"/>
      <c r="G248" s="218"/>
      <c r="H248" s="5"/>
      <c r="I248" s="5"/>
      <c r="J248" s="5"/>
      <c r="K248" s="179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88">
        <f>'Données projet'!A227</f>
        <v>124</v>
      </c>
      <c r="B249" s="189">
        <f>'Données projet'!D227</f>
        <v>52.53</v>
      </c>
      <c r="C249" s="202">
        <f>225*'Données projet'!E227+13.8*('Données projet'!F227+'Données projet'!G227)+15*'Données projet'!H227</f>
        <v>162</v>
      </c>
      <c r="D249" s="187">
        <f t="shared" si="13"/>
        <v>8509.86</v>
      </c>
      <c r="E249" s="202"/>
      <c r="F249" s="258"/>
      <c r="G249" s="218"/>
      <c r="H249" s="5"/>
      <c r="I249" s="5"/>
      <c r="J249" s="5"/>
      <c r="K249" s="179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88">
        <f>'Données projet'!A228</f>
        <v>134</v>
      </c>
      <c r="B250" s="189">
        <f>'Données projet'!D228</f>
        <v>54.95</v>
      </c>
      <c r="C250" s="202">
        <f>225*'Données projet'!E228+13.8*('Données projet'!F228+'Données projet'!G228)+15*'Données projet'!H228</f>
        <v>162</v>
      </c>
      <c r="D250" s="187">
        <f t="shared" si="13"/>
        <v>8901.9</v>
      </c>
      <c r="E250" s="202"/>
      <c r="F250" s="258"/>
      <c r="G250" s="218"/>
      <c r="H250" s="5"/>
      <c r="I250" s="5"/>
      <c r="J250" s="5"/>
      <c r="K250" s="179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88">
        <f>'Données projet'!A229</f>
        <v>144</v>
      </c>
      <c r="B251" s="189">
        <f>'Données projet'!D229</f>
        <v>56.01</v>
      </c>
      <c r="C251" s="202">
        <f>225*'Données projet'!E229+13.8*('Données projet'!F229+'Données projet'!G229)+15*'Données projet'!H229</f>
        <v>162</v>
      </c>
      <c r="D251" s="187">
        <f t="shared" si="13"/>
        <v>9073.619999999999</v>
      </c>
      <c r="E251" s="202"/>
      <c r="F251" s="258"/>
      <c r="G251" s="218"/>
      <c r="H251" s="5"/>
      <c r="I251" s="5"/>
      <c r="J251" s="5"/>
      <c r="K251" s="179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88">
        <f>'Données projet'!A230</f>
        <v>154</v>
      </c>
      <c r="B252" s="189">
        <f>'Données projet'!D230</f>
        <v>55.13</v>
      </c>
      <c r="C252" s="202">
        <f>225*'Données projet'!E230+13.8*('Données projet'!F230+'Données projet'!G230)+15*'Données projet'!H230</f>
        <v>162</v>
      </c>
      <c r="D252" s="187">
        <f t="shared" si="13"/>
        <v>8931.0600000000013</v>
      </c>
      <c r="E252" s="202"/>
      <c r="F252" s="258"/>
      <c r="G252" s="218"/>
      <c r="H252" s="5"/>
      <c r="I252" s="5"/>
      <c r="J252" s="5"/>
      <c r="K252" s="179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88">
        <f>'Données projet'!A231</f>
        <v>164</v>
      </c>
      <c r="B253" s="189">
        <f>'Données projet'!D231</f>
        <v>59.58</v>
      </c>
      <c r="C253" s="202">
        <f>225*'Données projet'!E231+13.8*('Données projet'!F231+'Données projet'!G231)+15*'Données projet'!H231</f>
        <v>183</v>
      </c>
      <c r="D253" s="187">
        <f t="shared" si="13"/>
        <v>10903.14</v>
      </c>
      <c r="E253" s="202"/>
      <c r="F253" s="258"/>
      <c r="G253" s="218"/>
      <c r="H253" s="5"/>
      <c r="I253" s="5"/>
      <c r="J253" s="5"/>
      <c r="K253" s="179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88">
        <f>'Données projet'!A232</f>
        <v>174</v>
      </c>
      <c r="B254" s="189">
        <f>'Données projet'!D232</f>
        <v>214.77</v>
      </c>
      <c r="C254" s="202">
        <f>225*'Données projet'!E232+13.8*('Données projet'!F232+'Données projet'!G232)+15*'Données projet'!H232</f>
        <v>183</v>
      </c>
      <c r="D254" s="187">
        <f t="shared" si="13"/>
        <v>39302.910000000003</v>
      </c>
      <c r="E254" s="202"/>
      <c r="F254" s="258"/>
      <c r="G254" s="218"/>
      <c r="H254" s="5"/>
      <c r="I254" s="5"/>
      <c r="J254" s="5"/>
      <c r="K254" s="179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88">
        <f>'Données projet'!A233</f>
        <v>177</v>
      </c>
      <c r="B255" s="189">
        <f>'Données projet'!D233</f>
        <v>115.19</v>
      </c>
      <c r="C255" s="202">
        <f>225*'Données projet'!E233+13.8*('Données projet'!F233+'Données projet'!G233)+15*'Données projet'!H233</f>
        <v>183</v>
      </c>
      <c r="D255" s="187">
        <f t="shared" si="13"/>
        <v>21079.77</v>
      </c>
      <c r="E255" s="202"/>
      <c r="F255" s="258"/>
      <c r="G255" s="218"/>
      <c r="H255" s="5"/>
      <c r="I255" s="5"/>
      <c r="J255" s="5"/>
      <c r="K255" s="179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88">
        <f>'Données projet'!A234</f>
        <v>180</v>
      </c>
      <c r="B256" s="189">
        <f>'Données projet'!D234</f>
        <v>77.72</v>
      </c>
      <c r="C256" s="202">
        <f>225*'Données projet'!E234+13.8*('Données projet'!F234+'Données projet'!G234)+15*'Données projet'!H234</f>
        <v>183</v>
      </c>
      <c r="D256" s="187">
        <f t="shared" si="13"/>
        <v>14222.76</v>
      </c>
      <c r="E256" s="202"/>
      <c r="F256" s="258"/>
      <c r="G256" s="218"/>
      <c r="H256" s="5"/>
      <c r="I256" s="5"/>
      <c r="J256" s="5"/>
      <c r="K256" s="179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88">
        <f>'Données projet'!A235</f>
        <v>183</v>
      </c>
      <c r="B257" s="189">
        <f>'Données projet'!D235</f>
        <v>169.76</v>
      </c>
      <c r="C257" s="202">
        <f>225*'Données projet'!E235+13.8*('Données projet'!F235+'Données projet'!G235)+15*'Données projet'!H235</f>
        <v>183</v>
      </c>
      <c r="D257" s="187">
        <f t="shared" si="13"/>
        <v>31066.079999999998</v>
      </c>
      <c r="E257" s="202"/>
      <c r="F257" s="258"/>
      <c r="G257" s="218"/>
      <c r="H257" s="5"/>
      <c r="I257" s="5"/>
      <c r="J257" s="5"/>
      <c r="K257" s="179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88">
        <f>'Données projet'!A236</f>
        <v>0</v>
      </c>
      <c r="B258" s="189">
        <f>'Données projet'!D236</f>
        <v>0</v>
      </c>
      <c r="C258" s="202">
        <f>225*'Données projet'!E236+13.8*('Données projet'!F236+'Données projet'!G236)+15*'Données projet'!H236</f>
        <v>0</v>
      </c>
      <c r="D258" s="187">
        <f t="shared" si="13"/>
        <v>0</v>
      </c>
      <c r="E258" s="202"/>
      <c r="F258" s="258"/>
      <c r="G258" s="218"/>
      <c r="H258" s="5"/>
      <c r="I258" s="5"/>
      <c r="J258" s="5"/>
      <c r="K258" s="179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88">
        <f>'Données projet'!A237</f>
        <v>0</v>
      </c>
      <c r="B259" s="189">
        <f>'Données projet'!D237</f>
        <v>0</v>
      </c>
      <c r="C259" s="202">
        <f>225*'Données projet'!E237+13.8*('Données projet'!F237+'Données projet'!G237)+15*'Données projet'!H237</f>
        <v>0</v>
      </c>
      <c r="D259" s="187">
        <f t="shared" si="13"/>
        <v>0</v>
      </c>
      <c r="E259" s="202"/>
      <c r="F259" s="258"/>
      <c r="G259" s="218"/>
      <c r="H259" s="5"/>
      <c r="I259" s="5"/>
      <c r="J259" s="5"/>
      <c r="K259" s="179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56"/>
      <c r="G260" s="218"/>
      <c r="H260" s="5"/>
      <c r="I260" s="5"/>
      <c r="J260" s="5"/>
      <c r="K260" s="179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56"/>
      <c r="G261" s="218"/>
      <c r="H261" s="5"/>
      <c r="I261" s="5"/>
      <c r="J261" s="5"/>
      <c r="K261" s="179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2" t="str">
        <f>IF('Données projet'!$B$17="","",'Données projet'!$B$17)</f>
        <v>Tilleul</v>
      </c>
      <c r="C262" s="5"/>
      <c r="D262" s="5"/>
      <c r="E262" s="5"/>
      <c r="F262" s="256"/>
      <c r="G262" s="218"/>
      <c r="H262" s="5"/>
      <c r="I262" s="5"/>
      <c r="J262" s="5"/>
      <c r="K262" s="179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56"/>
      <c r="G263" s="218"/>
      <c r="H263" s="5"/>
      <c r="I263" s="5"/>
      <c r="J263" s="5"/>
      <c r="K263" s="179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2" t="s">
        <v>180</v>
      </c>
      <c r="B264" s="51" t="s">
        <v>256</v>
      </c>
      <c r="C264" s="51" t="s">
        <v>255</v>
      </c>
      <c r="D264" s="252" t="s">
        <v>252</v>
      </c>
      <c r="E264" s="252" t="s">
        <v>320</v>
      </c>
      <c r="F264" s="257"/>
      <c r="G264" s="218"/>
      <c r="H264" s="5"/>
      <c r="I264" s="5"/>
      <c r="J264" s="5"/>
      <c r="K264" s="179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05">
        <v>0</v>
      </c>
      <c r="B265" s="208" t="s">
        <v>132</v>
      </c>
      <c r="C265" s="207" t="s">
        <v>132</v>
      </c>
      <c r="D265" s="206" t="s">
        <v>132</v>
      </c>
      <c r="E265" s="202">
        <v>2832</v>
      </c>
      <c r="F265" s="257"/>
      <c r="G265" s="218"/>
      <c r="H265" s="5"/>
      <c r="I265" s="5"/>
      <c r="J265" s="5"/>
      <c r="K265" s="179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05">
        <v>1</v>
      </c>
      <c r="B266" s="208" t="s">
        <v>132</v>
      </c>
      <c r="C266" s="207" t="s">
        <v>132</v>
      </c>
      <c r="D266" s="206" t="s">
        <v>132</v>
      </c>
      <c r="E266" s="202"/>
      <c r="F266" s="257"/>
      <c r="G266" s="216"/>
      <c r="H266" s="5"/>
      <c r="I266" s="5"/>
      <c r="J266" s="5"/>
      <c r="K266" s="179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05">
        <v>2</v>
      </c>
      <c r="B267" s="208" t="s">
        <v>132</v>
      </c>
      <c r="C267" s="207" t="s">
        <v>132</v>
      </c>
      <c r="D267" s="206" t="s">
        <v>132</v>
      </c>
      <c r="E267" s="202"/>
      <c r="F267" s="257"/>
      <c r="G267" s="216"/>
      <c r="H267" s="5"/>
      <c r="I267" s="5"/>
      <c r="J267" s="5"/>
      <c r="K267" s="179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05">
        <v>3</v>
      </c>
      <c r="B268" s="208" t="s">
        <v>132</v>
      </c>
      <c r="C268" s="207" t="s">
        <v>132</v>
      </c>
      <c r="D268" s="206" t="s">
        <v>132</v>
      </c>
      <c r="E268" s="202"/>
      <c r="F268" s="257"/>
      <c r="G268" s="216"/>
      <c r="H268" s="5"/>
      <c r="I268" s="5"/>
      <c r="J268" s="5"/>
      <c r="K268" s="179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05">
        <v>4</v>
      </c>
      <c r="B269" s="208" t="s">
        <v>132</v>
      </c>
      <c r="C269" s="207" t="s">
        <v>132</v>
      </c>
      <c r="D269" s="206" t="s">
        <v>132</v>
      </c>
      <c r="E269" s="202"/>
      <c r="F269" s="257"/>
      <c r="G269" s="216"/>
      <c r="H269" s="5"/>
      <c r="I269" s="5"/>
      <c r="J269" s="5"/>
      <c r="K269" s="179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05">
        <v>5</v>
      </c>
      <c r="B270" s="208" t="s">
        <v>132</v>
      </c>
      <c r="C270" s="207" t="s">
        <v>132</v>
      </c>
      <c r="D270" s="206" t="s">
        <v>132</v>
      </c>
      <c r="E270" s="202"/>
      <c r="F270" s="257"/>
      <c r="G270" s="217"/>
      <c r="H270" s="5"/>
      <c r="I270" s="5"/>
      <c r="J270" s="5"/>
      <c r="K270" s="179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88">
        <f>'Données projet'!A244</f>
        <v>42</v>
      </c>
      <c r="B271" s="189">
        <f>'Données projet'!D244</f>
        <v>43.21</v>
      </c>
      <c r="C271" s="202">
        <f>50*'Données projet'!E244+13.8*('Données projet'!F244+'Données projet'!G244)+15*'Données projet'!H244</f>
        <v>22</v>
      </c>
      <c r="D271" s="187">
        <f>B271*C271</f>
        <v>950.62</v>
      </c>
      <c r="E271" s="202"/>
      <c r="F271" s="258"/>
      <c r="G271" s="217"/>
      <c r="H271" s="5"/>
      <c r="I271" s="5"/>
      <c r="J271" s="5"/>
      <c r="K271" s="179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88">
        <f>'Données projet'!A245</f>
        <v>50</v>
      </c>
      <c r="B272" s="189">
        <f>'Données projet'!D245</f>
        <v>35.58</v>
      </c>
      <c r="C272" s="202">
        <f>50*'Données projet'!E245+13.8*('Données projet'!F245+'Données projet'!G245)+15*'Données projet'!H245</f>
        <v>22</v>
      </c>
      <c r="D272" s="187">
        <f t="shared" ref="D272:D290" si="14">B272*C272</f>
        <v>782.76</v>
      </c>
      <c r="E272" s="202"/>
      <c r="F272" s="258"/>
      <c r="G272" s="217"/>
      <c r="H272" s="5"/>
      <c r="I272" s="5"/>
      <c r="J272" s="5"/>
      <c r="K272" s="179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88">
        <f>'Données projet'!A246</f>
        <v>58</v>
      </c>
      <c r="B273" s="189">
        <f>'Données projet'!D246</f>
        <v>44.93</v>
      </c>
      <c r="C273" s="202">
        <f>50*'Données projet'!E246+13.8*('Données projet'!F246+'Données projet'!G246)+15*'Données projet'!H246</f>
        <v>22</v>
      </c>
      <c r="D273" s="187">
        <f t="shared" si="14"/>
        <v>988.46</v>
      </c>
      <c r="E273" s="202"/>
      <c r="F273" s="258"/>
      <c r="G273" s="217"/>
      <c r="H273" s="5"/>
      <c r="I273" s="5"/>
      <c r="J273" s="5"/>
      <c r="K273" s="179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88">
        <f>'Données projet'!A247</f>
        <v>66</v>
      </c>
      <c r="B274" s="189">
        <f>'Données projet'!D247</f>
        <v>49.91</v>
      </c>
      <c r="C274" s="202">
        <f>50*'Données projet'!E247+13.8*('Données projet'!F247+'Données projet'!G247)+15*'Données projet'!H247</f>
        <v>25.5</v>
      </c>
      <c r="D274" s="187">
        <f t="shared" si="14"/>
        <v>1272.7049999999999</v>
      </c>
      <c r="E274" s="202"/>
      <c r="F274" s="258"/>
      <c r="G274" s="217"/>
      <c r="H274" s="5"/>
      <c r="I274" s="5"/>
      <c r="J274" s="5"/>
      <c r="K274" s="179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88">
        <f>'Données projet'!A248</f>
        <v>74</v>
      </c>
      <c r="B275" s="189">
        <f>'Données projet'!D248</f>
        <v>47.4</v>
      </c>
      <c r="C275" s="202">
        <f>50*'Données projet'!E248+13.8*('Données projet'!F248+'Données projet'!G248)+15*'Données projet'!H248</f>
        <v>29</v>
      </c>
      <c r="D275" s="187">
        <f t="shared" si="14"/>
        <v>1374.6</v>
      </c>
      <c r="E275" s="202"/>
      <c r="F275" s="258"/>
      <c r="G275" s="217"/>
      <c r="H275" s="5"/>
      <c r="I275" s="5"/>
      <c r="J275" s="5"/>
      <c r="K275" s="179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88">
        <f>'Données projet'!A249</f>
        <v>84</v>
      </c>
      <c r="B276" s="189">
        <f>'Données projet'!D249</f>
        <v>61.47</v>
      </c>
      <c r="C276" s="202">
        <f>50*'Données projet'!E249+13.8*('Données projet'!F249+'Données projet'!G249)+15*'Données projet'!H249</f>
        <v>29</v>
      </c>
      <c r="D276" s="187">
        <f t="shared" si="14"/>
        <v>1782.6299999999999</v>
      </c>
      <c r="E276" s="202"/>
      <c r="F276" s="258"/>
      <c r="G276" s="217"/>
      <c r="H276" s="5"/>
      <c r="I276" s="5"/>
      <c r="J276" s="5"/>
      <c r="K276" s="179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88">
        <f>'Données projet'!A250</f>
        <v>94</v>
      </c>
      <c r="B277" s="189">
        <f>'Données projet'!D250</f>
        <v>61.85</v>
      </c>
      <c r="C277" s="202">
        <f>50*'Données projet'!E250+13.8*('Données projet'!F250+'Données projet'!G250)+15*'Données projet'!H250</f>
        <v>32.5</v>
      </c>
      <c r="D277" s="187">
        <f t="shared" si="14"/>
        <v>2010.125</v>
      </c>
      <c r="E277" s="202"/>
      <c r="F277" s="258"/>
      <c r="G277" s="218"/>
      <c r="H277" s="5"/>
      <c r="I277" s="5"/>
      <c r="J277" s="5"/>
      <c r="K277" s="179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88">
        <f>'Données projet'!A251</f>
        <v>104</v>
      </c>
      <c r="B278" s="189">
        <f>'Données projet'!D251</f>
        <v>60.19</v>
      </c>
      <c r="C278" s="202">
        <f>50*'Données projet'!E251+13.8*('Données projet'!F251+'Données projet'!G251)+15*'Données projet'!H251</f>
        <v>32.5</v>
      </c>
      <c r="D278" s="187">
        <f t="shared" si="14"/>
        <v>1956.175</v>
      </c>
      <c r="E278" s="202"/>
      <c r="F278" s="258"/>
      <c r="G278" s="218"/>
      <c r="H278" s="5"/>
      <c r="I278" s="5"/>
      <c r="J278" s="5"/>
      <c r="K278" s="179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88">
        <f>'Données projet'!A252</f>
        <v>114</v>
      </c>
      <c r="B279" s="189">
        <f>'Données projet'!D252</f>
        <v>56.07</v>
      </c>
      <c r="C279" s="202">
        <f>50*'Données projet'!E252+13.8*('Données projet'!F252+'Données projet'!G252)+15*'Données projet'!H252</f>
        <v>36</v>
      </c>
      <c r="D279" s="187">
        <f t="shared" si="14"/>
        <v>2018.52</v>
      </c>
      <c r="E279" s="202"/>
      <c r="F279" s="258"/>
      <c r="G279" s="218"/>
      <c r="H279" s="5"/>
      <c r="I279" s="5"/>
      <c r="J279" s="5"/>
      <c r="K279" s="179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88">
        <f>'Données projet'!A253</f>
        <v>124</v>
      </c>
      <c r="B280" s="189">
        <f>'Données projet'!D253</f>
        <v>52.53</v>
      </c>
      <c r="C280" s="202">
        <f>50*'Données projet'!E253+13.8*('Données projet'!F253+'Données projet'!G253)+15*'Données projet'!H253</f>
        <v>39.5</v>
      </c>
      <c r="D280" s="187">
        <f t="shared" si="14"/>
        <v>2074.9349999999999</v>
      </c>
      <c r="E280" s="202"/>
      <c r="F280" s="258"/>
      <c r="G280" s="218"/>
      <c r="H280" s="5"/>
      <c r="I280" s="5"/>
      <c r="J280" s="5"/>
      <c r="K280" s="179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88">
        <f>'Données projet'!A254</f>
        <v>134</v>
      </c>
      <c r="B281" s="189">
        <f>'Données projet'!D254</f>
        <v>54.95</v>
      </c>
      <c r="C281" s="202">
        <f>50*'Données projet'!E254+13.8*('Données projet'!F254+'Données projet'!G254)+15*'Données projet'!H254</f>
        <v>39.5</v>
      </c>
      <c r="D281" s="187">
        <f t="shared" si="14"/>
        <v>2170.5250000000001</v>
      </c>
      <c r="E281" s="202"/>
      <c r="F281" s="258"/>
      <c r="G281" s="218"/>
      <c r="H281" s="5"/>
      <c r="I281" s="5"/>
      <c r="J281" s="5"/>
      <c r="K281" s="179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88">
        <f>'Données projet'!A255</f>
        <v>144</v>
      </c>
      <c r="B282" s="189">
        <f>'Données projet'!D255</f>
        <v>56.01</v>
      </c>
      <c r="C282" s="202">
        <f>50*'Données projet'!E255+13.8*('Données projet'!F255+'Données projet'!G255)+15*'Données projet'!H255</f>
        <v>39.5</v>
      </c>
      <c r="D282" s="187">
        <f t="shared" si="14"/>
        <v>2212.395</v>
      </c>
      <c r="E282" s="202"/>
      <c r="F282" s="258"/>
      <c r="G282" s="218"/>
      <c r="H282" s="5"/>
      <c r="I282" s="5"/>
      <c r="J282" s="5"/>
      <c r="K282" s="179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88">
        <f>'Données projet'!A256</f>
        <v>154</v>
      </c>
      <c r="B283" s="189">
        <f>'Données projet'!D256</f>
        <v>55.13</v>
      </c>
      <c r="C283" s="202">
        <f>50*'Données projet'!E256+13.8*('Données projet'!F256+'Données projet'!G256)+15*'Données projet'!H256</f>
        <v>39.5</v>
      </c>
      <c r="D283" s="187">
        <f t="shared" si="14"/>
        <v>2177.6350000000002</v>
      </c>
      <c r="E283" s="202"/>
      <c r="F283" s="258"/>
      <c r="G283" s="218"/>
      <c r="H283" s="5"/>
      <c r="I283" s="5"/>
      <c r="J283" s="5"/>
      <c r="K283" s="179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88">
        <f>'Données projet'!A257</f>
        <v>164</v>
      </c>
      <c r="B284" s="189">
        <f>'Données projet'!D257</f>
        <v>59.58</v>
      </c>
      <c r="C284" s="202">
        <f>50*'Données projet'!E257+13.8*('Données projet'!F257+'Données projet'!G257)+15*'Données projet'!H257</f>
        <v>43</v>
      </c>
      <c r="D284" s="187">
        <f t="shared" si="14"/>
        <v>2561.94</v>
      </c>
      <c r="E284" s="202"/>
      <c r="F284" s="258"/>
      <c r="G284" s="218"/>
      <c r="H284" s="5"/>
      <c r="I284" s="5"/>
      <c r="J284" s="5"/>
      <c r="K284" s="179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88">
        <f>'Données projet'!A258</f>
        <v>174</v>
      </c>
      <c r="B285" s="189">
        <f>'Données projet'!D258</f>
        <v>214.77</v>
      </c>
      <c r="C285" s="202">
        <f>50*'Données projet'!E258+13.8*('Données projet'!F258+'Données projet'!G258)+15*'Données projet'!H258</f>
        <v>43</v>
      </c>
      <c r="D285" s="187">
        <f t="shared" si="14"/>
        <v>9235.11</v>
      </c>
      <c r="E285" s="202"/>
      <c r="F285" s="258"/>
      <c r="G285" s="218"/>
      <c r="H285" s="5"/>
      <c r="I285" s="5"/>
      <c r="J285" s="5"/>
      <c r="K285" s="179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88">
        <f>'Données projet'!A259</f>
        <v>177</v>
      </c>
      <c r="B286" s="189">
        <f>'Données projet'!D259</f>
        <v>115.19</v>
      </c>
      <c r="C286" s="202">
        <f>50*'Données projet'!E259+13.8*('Données projet'!F259+'Données projet'!G259)+15*'Données projet'!H259</f>
        <v>43</v>
      </c>
      <c r="D286" s="187">
        <f t="shared" si="14"/>
        <v>4953.17</v>
      </c>
      <c r="E286" s="202"/>
      <c r="F286" s="258"/>
      <c r="G286" s="218"/>
      <c r="H286" s="5"/>
      <c r="I286" s="5"/>
      <c r="J286" s="5"/>
      <c r="K286" s="179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88">
        <f>'Données projet'!A260</f>
        <v>180</v>
      </c>
      <c r="B287" s="189">
        <f>'Données projet'!D260</f>
        <v>77.72</v>
      </c>
      <c r="C287" s="202">
        <f>50*'Données projet'!E260+13.8*('Données projet'!F260+'Données projet'!G260)+15*'Données projet'!H260</f>
        <v>43</v>
      </c>
      <c r="D287" s="187">
        <f t="shared" si="14"/>
        <v>3341.96</v>
      </c>
      <c r="E287" s="202"/>
      <c r="F287" s="258"/>
      <c r="G287" s="218"/>
      <c r="H287" s="5"/>
      <c r="I287" s="5"/>
      <c r="J287" s="5"/>
      <c r="K287" s="179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88">
        <f>'Données projet'!A261</f>
        <v>183</v>
      </c>
      <c r="B288" s="189">
        <f>'Données projet'!D261</f>
        <v>169.76</v>
      </c>
      <c r="C288" s="202">
        <f>50*'Données projet'!E261+13.8*('Données projet'!F261+'Données projet'!G261)+15*'Données projet'!H261</f>
        <v>43</v>
      </c>
      <c r="D288" s="187">
        <f t="shared" si="14"/>
        <v>7299.6799999999994</v>
      </c>
      <c r="E288" s="202"/>
      <c r="F288" s="258"/>
      <c r="G288" s="218"/>
      <c r="H288" s="5"/>
      <c r="I288" s="5"/>
      <c r="J288" s="5"/>
      <c r="K288" s="179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88">
        <f>'Données projet'!A262</f>
        <v>0</v>
      </c>
      <c r="B289" s="189">
        <f>'Données projet'!D262</f>
        <v>0</v>
      </c>
      <c r="C289" s="202">
        <f>50*'Données projet'!E262+13.8*('Données projet'!F262+'Données projet'!G262)+15*'Données projet'!H262</f>
        <v>0</v>
      </c>
      <c r="D289" s="187">
        <f t="shared" si="14"/>
        <v>0</v>
      </c>
      <c r="E289" s="202"/>
      <c r="F289" s="258"/>
      <c r="G289" s="218"/>
      <c r="H289" s="5"/>
      <c r="I289" s="5"/>
      <c r="J289" s="5"/>
      <c r="K289" s="179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88">
        <f>'Données projet'!A263</f>
        <v>0</v>
      </c>
      <c r="B290" s="189">
        <f>'Données projet'!D263</f>
        <v>0</v>
      </c>
      <c r="C290" s="202">
        <f>50*'Données projet'!E263+13.8*('Données projet'!F263+'Données projet'!G263)+15*'Données projet'!H263</f>
        <v>0</v>
      </c>
      <c r="D290" s="187">
        <f t="shared" si="14"/>
        <v>0</v>
      </c>
      <c r="E290" s="202"/>
      <c r="F290" s="258"/>
      <c r="G290" s="218"/>
      <c r="H290" s="5"/>
      <c r="I290" s="5"/>
      <c r="J290" s="5"/>
      <c r="K290" s="179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56"/>
      <c r="G291" s="218"/>
      <c r="H291" s="5"/>
      <c r="I291" s="5"/>
      <c r="J291" s="5"/>
      <c r="K291" s="179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56"/>
      <c r="G292" s="218"/>
      <c r="H292" s="5"/>
      <c r="I292" s="5"/>
      <c r="J292" s="5"/>
      <c r="K292" s="179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2" t="str">
        <f>IF('Données projet'!$B$18="","",'Données projet'!$B$18)</f>
        <v>Charme</v>
      </c>
      <c r="C293" s="5"/>
      <c r="D293" s="5"/>
      <c r="E293" s="5"/>
      <c r="F293" s="256"/>
      <c r="G293" s="218"/>
      <c r="H293" s="5"/>
      <c r="I293" s="5"/>
      <c r="J293" s="5"/>
      <c r="K293" s="179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56"/>
      <c r="G294" s="218"/>
      <c r="H294" s="5"/>
      <c r="I294" s="5"/>
      <c r="J294" s="5"/>
      <c r="K294" s="179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2" t="s">
        <v>180</v>
      </c>
      <c r="B295" s="51" t="s">
        <v>256</v>
      </c>
      <c r="C295" s="51" t="s">
        <v>255</v>
      </c>
      <c r="D295" s="252" t="s">
        <v>252</v>
      </c>
      <c r="E295" s="252" t="s">
        <v>320</v>
      </c>
      <c r="F295" s="257"/>
      <c r="G295" s="218"/>
      <c r="H295" s="5"/>
      <c r="I295" s="5"/>
      <c r="J295" s="5"/>
      <c r="K295" s="179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05">
        <v>0</v>
      </c>
      <c r="B296" s="208" t="s">
        <v>132</v>
      </c>
      <c r="C296" s="207" t="s">
        <v>132</v>
      </c>
      <c r="D296" s="206" t="s">
        <v>132</v>
      </c>
      <c r="E296" s="202">
        <v>2904</v>
      </c>
      <c r="F296" s="257"/>
      <c r="G296" s="218"/>
      <c r="H296" s="5"/>
      <c r="I296" s="5"/>
      <c r="J296" s="5"/>
      <c r="K296" s="179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05">
        <v>1</v>
      </c>
      <c r="B297" s="208" t="s">
        <v>132</v>
      </c>
      <c r="C297" s="207" t="s">
        <v>132</v>
      </c>
      <c r="D297" s="206" t="s">
        <v>132</v>
      </c>
      <c r="E297" s="202"/>
      <c r="F297" s="257"/>
      <c r="G297" s="216"/>
      <c r="H297" s="5"/>
      <c r="I297" s="5"/>
      <c r="J297" s="5"/>
      <c r="K297" s="179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05">
        <v>2</v>
      </c>
      <c r="B298" s="208" t="s">
        <v>132</v>
      </c>
      <c r="C298" s="207" t="s">
        <v>132</v>
      </c>
      <c r="D298" s="206" t="s">
        <v>132</v>
      </c>
      <c r="E298" s="202"/>
      <c r="F298" s="257"/>
      <c r="G298" s="216"/>
      <c r="H298" s="5"/>
      <c r="I298" s="5"/>
      <c r="J298" s="5"/>
      <c r="K298" s="179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05">
        <v>3</v>
      </c>
      <c r="B299" s="208" t="s">
        <v>132</v>
      </c>
      <c r="C299" s="207" t="s">
        <v>132</v>
      </c>
      <c r="D299" s="206" t="s">
        <v>132</v>
      </c>
      <c r="E299" s="202"/>
      <c r="F299" s="257"/>
      <c r="G299" s="216"/>
      <c r="H299" s="5"/>
      <c r="I299" s="5"/>
      <c r="J299" s="5"/>
      <c r="K299" s="179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05">
        <v>4</v>
      </c>
      <c r="B300" s="208" t="s">
        <v>132</v>
      </c>
      <c r="C300" s="207" t="s">
        <v>132</v>
      </c>
      <c r="D300" s="206" t="s">
        <v>132</v>
      </c>
      <c r="E300" s="202"/>
      <c r="F300" s="257"/>
      <c r="G300" s="216"/>
      <c r="H300" s="5"/>
      <c r="I300" s="5"/>
      <c r="J300" s="5"/>
      <c r="K300" s="179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05">
        <v>5</v>
      </c>
      <c r="B301" s="208" t="s">
        <v>132</v>
      </c>
      <c r="C301" s="207" t="s">
        <v>132</v>
      </c>
      <c r="D301" s="206" t="s">
        <v>132</v>
      </c>
      <c r="E301" s="202"/>
      <c r="F301" s="257"/>
      <c r="G301" s="217"/>
      <c r="H301" s="5"/>
      <c r="I301" s="5"/>
      <c r="J301" s="5"/>
      <c r="K301" s="179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88">
        <f>'Données projet'!A270</f>
        <v>30</v>
      </c>
      <c r="B302" s="189">
        <f>'Données projet'!D270</f>
        <v>11</v>
      </c>
      <c r="C302" s="200">
        <f>50*'Données projet'!E270+13.8*('Données projet'!F270+'Données projet'!G270)+15*'Données projet'!H270</f>
        <v>22</v>
      </c>
      <c r="D302" s="190">
        <f>B302*C302</f>
        <v>242</v>
      </c>
      <c r="E302" s="202"/>
      <c r="F302" s="259"/>
      <c r="G302" s="217"/>
      <c r="H302" s="5"/>
      <c r="I302" s="5"/>
      <c r="J302" s="5"/>
      <c r="K302" s="179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88">
        <f>'Données projet'!A271</f>
        <v>35</v>
      </c>
      <c r="B303" s="189">
        <f>'Données projet'!D271</f>
        <v>18</v>
      </c>
      <c r="C303" s="200">
        <f>50*'Données projet'!E271+13.8*('Données projet'!F271+'Données projet'!G271)+15*'Données projet'!H271</f>
        <v>22</v>
      </c>
      <c r="D303" s="190">
        <f t="shared" ref="D303:D321" si="15">B303*C303</f>
        <v>396</v>
      </c>
      <c r="E303" s="202"/>
      <c r="F303" s="259"/>
      <c r="G303" s="217"/>
      <c r="H303" s="5"/>
      <c r="I303" s="5"/>
      <c r="J303" s="5"/>
      <c r="K303" s="179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88">
        <f>'Données projet'!A272</f>
        <v>40</v>
      </c>
      <c r="B304" s="189">
        <f>'Données projet'!D272</f>
        <v>22</v>
      </c>
      <c r="C304" s="200">
        <f>50*'Données projet'!E272+13.8*('Données projet'!F272+'Données projet'!G272)+15*'Données projet'!H272</f>
        <v>22</v>
      </c>
      <c r="D304" s="190">
        <f t="shared" si="15"/>
        <v>484</v>
      </c>
      <c r="E304" s="202"/>
      <c r="F304" s="259"/>
      <c r="G304" s="217"/>
      <c r="H304" s="5"/>
      <c r="I304" s="5"/>
      <c r="J304" s="5"/>
      <c r="K304" s="179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88">
        <f>'Données projet'!A273</f>
        <v>45</v>
      </c>
      <c r="B305" s="189">
        <f>'Données projet'!D273</f>
        <v>25</v>
      </c>
      <c r="C305" s="200">
        <f>50*'Données projet'!E273+13.8*('Données projet'!F273+'Données projet'!G273)+15*'Données projet'!H273</f>
        <v>25.5</v>
      </c>
      <c r="D305" s="190">
        <f t="shared" si="15"/>
        <v>637.5</v>
      </c>
      <c r="E305" s="202"/>
      <c r="F305" s="259"/>
      <c r="G305" s="217"/>
      <c r="H305" s="5"/>
      <c r="I305" s="5"/>
      <c r="J305" s="5"/>
      <c r="K305" s="179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88">
        <f>'Données projet'!A274</f>
        <v>50</v>
      </c>
      <c r="B306" s="189">
        <f>'Données projet'!D274</f>
        <v>26</v>
      </c>
      <c r="C306" s="200">
        <f>50*'Données projet'!E274+13.8*('Données projet'!F274+'Données projet'!G274)+15*'Données projet'!H274</f>
        <v>25.5</v>
      </c>
      <c r="D306" s="190">
        <f t="shared" si="15"/>
        <v>663</v>
      </c>
      <c r="E306" s="202"/>
      <c r="F306" s="259"/>
      <c r="G306" s="217"/>
      <c r="H306" s="5"/>
      <c r="I306" s="5"/>
      <c r="J306" s="5"/>
      <c r="K306" s="179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88">
        <f>'Données projet'!A275</f>
        <v>55</v>
      </c>
      <c r="B307" s="189">
        <f>'Données projet'!D275</f>
        <v>27</v>
      </c>
      <c r="C307" s="200">
        <f>50*'Données projet'!E275+13.8*('Données projet'!F275+'Données projet'!G275)+15*'Données projet'!H275</f>
        <v>29</v>
      </c>
      <c r="D307" s="190">
        <f t="shared" si="15"/>
        <v>783</v>
      </c>
      <c r="E307" s="202"/>
      <c r="F307" s="259"/>
      <c r="G307" s="217"/>
      <c r="H307" s="5"/>
      <c r="I307" s="5"/>
      <c r="J307" s="5"/>
      <c r="K307" s="179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88">
        <f>'Données projet'!A276</f>
        <v>60</v>
      </c>
      <c r="B308" s="189">
        <f>'Données projet'!D276</f>
        <v>27</v>
      </c>
      <c r="C308" s="200">
        <f>50*'Données projet'!E276+13.8*('Données projet'!F276+'Données projet'!G276)+15*'Données projet'!H276</f>
        <v>29</v>
      </c>
      <c r="D308" s="190">
        <f t="shared" si="15"/>
        <v>783</v>
      </c>
      <c r="E308" s="202"/>
      <c r="F308" s="259"/>
      <c r="G308" s="213"/>
      <c r="H308" s="5"/>
      <c r="I308" s="5"/>
      <c r="J308" s="5"/>
      <c r="K308" s="179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88">
        <f>'Données projet'!A277</f>
        <v>65</v>
      </c>
      <c r="B309" s="189">
        <f>'Données projet'!D277</f>
        <v>27</v>
      </c>
      <c r="C309" s="200">
        <f>50*'Données projet'!E277+13.8*('Données projet'!F277+'Données projet'!G277)+15*'Données projet'!H277</f>
        <v>32.5</v>
      </c>
      <c r="D309" s="190">
        <f t="shared" si="15"/>
        <v>877.5</v>
      </c>
      <c r="E309" s="202"/>
      <c r="F309" s="259"/>
      <c r="G309" s="213"/>
      <c r="H309" s="5"/>
      <c r="I309" s="5"/>
      <c r="J309" s="5"/>
      <c r="K309" s="179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88">
        <f>'Données projet'!A278</f>
        <v>70</v>
      </c>
      <c r="B310" s="189">
        <f>'Données projet'!D278</f>
        <v>27</v>
      </c>
      <c r="C310" s="200">
        <f>50*'Données projet'!E278+13.8*('Données projet'!F278+'Données projet'!G278)+15*'Données projet'!H278</f>
        <v>32.5</v>
      </c>
      <c r="D310" s="190">
        <f t="shared" si="15"/>
        <v>877.5</v>
      </c>
      <c r="E310" s="202"/>
      <c r="F310" s="259"/>
      <c r="G310" s="213"/>
      <c r="H310" s="5"/>
      <c r="I310" s="5"/>
      <c r="J310" s="5"/>
      <c r="K310" s="179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88">
        <f>'Données projet'!A279</f>
        <v>75</v>
      </c>
      <c r="B311" s="189">
        <f>'Données projet'!D279</f>
        <v>26</v>
      </c>
      <c r="C311" s="200">
        <f>50*'Données projet'!E279+13.8*('Données projet'!F279+'Données projet'!G279)+15*'Données projet'!H279</f>
        <v>36</v>
      </c>
      <c r="D311" s="190">
        <f t="shared" si="15"/>
        <v>936</v>
      </c>
      <c r="E311" s="202"/>
      <c r="F311" s="259"/>
      <c r="G311" s="213"/>
      <c r="H311" s="5"/>
      <c r="I311" s="5"/>
      <c r="J311" s="5"/>
      <c r="K311" s="179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88">
        <f>'Données projet'!A280</f>
        <v>80</v>
      </c>
      <c r="B312" s="189">
        <f>'Données projet'!D280</f>
        <v>26</v>
      </c>
      <c r="C312" s="200">
        <f>50*'Données projet'!E280+13.8*('Données projet'!F280+'Données projet'!G280)+15*'Données projet'!H280</f>
        <v>36</v>
      </c>
      <c r="D312" s="190">
        <f t="shared" si="15"/>
        <v>936</v>
      </c>
      <c r="E312" s="202"/>
      <c r="F312" s="259"/>
      <c r="G312" s="213"/>
      <c r="H312" s="5"/>
      <c r="I312" s="5"/>
      <c r="J312" s="5"/>
      <c r="K312" s="179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88">
        <f>'Données projet'!A281</f>
        <v>85</v>
      </c>
      <c r="B313" s="189">
        <f>'Données projet'!D281</f>
        <v>25</v>
      </c>
      <c r="C313" s="200">
        <f>50*'Données projet'!E281+13.8*('Données projet'!F281+'Données projet'!G281)+15*'Données projet'!H281</f>
        <v>39.5</v>
      </c>
      <c r="D313" s="190">
        <f t="shared" si="15"/>
        <v>987.5</v>
      </c>
      <c r="E313" s="202"/>
      <c r="F313" s="259"/>
      <c r="G313" s="213"/>
      <c r="H313" s="5"/>
      <c r="I313" s="5"/>
      <c r="J313" s="5"/>
      <c r="K313" s="179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88">
        <f>'Données projet'!A282</f>
        <v>90</v>
      </c>
      <c r="B314" s="189">
        <f>'Données projet'!D282</f>
        <v>24</v>
      </c>
      <c r="C314" s="200">
        <f>50*'Données projet'!E282+13.8*('Données projet'!F282+'Données projet'!G282)+15*'Données projet'!H282</f>
        <v>39.5</v>
      </c>
      <c r="D314" s="190">
        <f t="shared" si="15"/>
        <v>948</v>
      </c>
      <c r="E314" s="202"/>
      <c r="F314" s="259"/>
      <c r="G314" s="213"/>
      <c r="H314" s="5"/>
      <c r="I314" s="5"/>
      <c r="J314" s="5"/>
      <c r="K314" s="179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88">
        <f>'Données projet'!A283</f>
        <v>95</v>
      </c>
      <c r="B315" s="189">
        <f>'Données projet'!D283</f>
        <v>23</v>
      </c>
      <c r="C315" s="200">
        <f>50*'Données projet'!E283+13.8*('Données projet'!F283+'Données projet'!G283)+15*'Données projet'!H283</f>
        <v>39.5</v>
      </c>
      <c r="D315" s="190">
        <f t="shared" si="15"/>
        <v>908.5</v>
      </c>
      <c r="E315" s="202"/>
      <c r="F315" s="259"/>
      <c r="G315" s="213"/>
      <c r="H315" s="5"/>
      <c r="I315" s="5"/>
      <c r="J315" s="5"/>
      <c r="K315" s="179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88">
        <f>'Données projet'!A284</f>
        <v>100</v>
      </c>
      <c r="B316" s="189">
        <f>'Données projet'!D284</f>
        <v>23</v>
      </c>
      <c r="C316" s="200">
        <f>50*'Données projet'!E284+13.8*('Données projet'!F284+'Données projet'!G284)+15*'Données projet'!H284</f>
        <v>39.5</v>
      </c>
      <c r="D316" s="190">
        <f t="shared" si="15"/>
        <v>908.5</v>
      </c>
      <c r="E316" s="202"/>
      <c r="F316" s="259"/>
      <c r="G316" s="213"/>
      <c r="H316" s="5"/>
      <c r="I316" s="5"/>
      <c r="J316" s="5"/>
      <c r="K316" s="179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88">
        <f>'Données projet'!A285</f>
        <v>105</v>
      </c>
      <c r="B317" s="189">
        <f>'Données projet'!D285</f>
        <v>22</v>
      </c>
      <c r="C317" s="200">
        <f>50*'Données projet'!E285+13.8*('Données projet'!F285+'Données projet'!G285)+15*'Données projet'!H285</f>
        <v>43</v>
      </c>
      <c r="D317" s="190">
        <f t="shared" si="15"/>
        <v>946</v>
      </c>
      <c r="E317" s="202"/>
      <c r="F317" s="259"/>
      <c r="G317" s="213"/>
      <c r="H317" s="5"/>
      <c r="I317" s="5"/>
      <c r="J317" s="5"/>
      <c r="K317" s="179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88">
        <f>'Données projet'!A286</f>
        <v>110</v>
      </c>
      <c r="B318" s="189">
        <f>'Données projet'!D286</f>
        <v>21</v>
      </c>
      <c r="C318" s="200">
        <f>50*'Données projet'!E286+13.8*('Données projet'!F286+'Données projet'!G286)+15*'Données projet'!H286</f>
        <v>43</v>
      </c>
      <c r="D318" s="190">
        <f t="shared" si="15"/>
        <v>903</v>
      </c>
      <c r="E318" s="202"/>
      <c r="F318" s="259"/>
      <c r="G318" s="213"/>
      <c r="H318" s="5"/>
      <c r="I318" s="5"/>
      <c r="J318" s="5"/>
      <c r="K318" s="179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88">
        <f>'Données projet'!A287</f>
        <v>115</v>
      </c>
      <c r="B319" s="189">
        <f>'Données projet'!D287</f>
        <v>20</v>
      </c>
      <c r="C319" s="200">
        <f>50*'Données projet'!E287+13.8*('Données projet'!F287+'Données projet'!G287)+15*'Données projet'!H287</f>
        <v>43</v>
      </c>
      <c r="D319" s="190">
        <f t="shared" si="15"/>
        <v>860</v>
      </c>
      <c r="E319" s="202"/>
      <c r="F319" s="259"/>
      <c r="G319" s="213"/>
      <c r="H319" s="5"/>
      <c r="I319" s="5"/>
      <c r="J319" s="5"/>
      <c r="K319" s="179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88">
        <f>'Données projet'!A288</f>
        <v>120</v>
      </c>
      <c r="B320" s="189">
        <f>'Données projet'!D288</f>
        <v>19</v>
      </c>
      <c r="C320" s="200">
        <f>50*'Données projet'!E288+13.8*('Données projet'!F288+'Données projet'!G288)+15*'Données projet'!H288</f>
        <v>43</v>
      </c>
      <c r="D320" s="190">
        <f t="shared" si="15"/>
        <v>817</v>
      </c>
      <c r="E320" s="202"/>
      <c r="F320" s="259"/>
      <c r="G320" s="213"/>
      <c r="H320" s="5"/>
      <c r="I320" s="5"/>
      <c r="J320" s="5"/>
      <c r="K320" s="179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88">
        <f>'Données projet'!A289</f>
        <v>125</v>
      </c>
      <c r="B321" s="189">
        <f>'Données projet'!D289</f>
        <v>298</v>
      </c>
      <c r="C321" s="200">
        <f>50*'Données projet'!E289+13.8*('Données projet'!F289+'Données projet'!G289)+15*'Données projet'!H289</f>
        <v>43</v>
      </c>
      <c r="D321" s="190">
        <f t="shared" si="15"/>
        <v>12814</v>
      </c>
      <c r="E321" s="202"/>
      <c r="F321" s="259"/>
      <c r="G321" s="213"/>
      <c r="H321" s="5"/>
      <c r="I321" s="5"/>
      <c r="J321" s="5"/>
      <c r="K321" s="179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3"/>
      <c r="H322" s="5"/>
      <c r="I322" s="5"/>
      <c r="J322" s="5"/>
      <c r="K322" s="179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3"/>
      <c r="H323" s="5"/>
      <c r="I323" s="5"/>
      <c r="J323" s="5"/>
      <c r="K323" s="179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3"/>
      <c r="H324" s="5"/>
      <c r="I324" s="5"/>
      <c r="J324" s="5"/>
      <c r="K324" s="179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3"/>
      <c r="H325" s="5"/>
      <c r="I325" s="5"/>
      <c r="J325" s="5"/>
      <c r="K325" s="179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3"/>
      <c r="H326" s="5"/>
      <c r="I326" s="5"/>
      <c r="J326" s="5"/>
      <c r="K326" s="179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3"/>
      <c r="H327" s="5"/>
      <c r="I327" s="5"/>
      <c r="J327" s="5"/>
      <c r="K327" s="179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26"/>
      <c r="G328" s="226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26"/>
      <c r="G329" s="226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26"/>
      <c r="G330" s="226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26"/>
      <c r="G331" s="226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26"/>
      <c r="G332" s="226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26"/>
      <c r="G333" s="226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26"/>
      <c r="G334" s="226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26"/>
      <c r="G335" s="226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26"/>
      <c r="G336" s="226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26"/>
      <c r="G337" s="226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26"/>
      <c r="G338" s="226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26"/>
      <c r="G339" s="226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26"/>
      <c r="G340" s="226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26"/>
      <c r="G341" s="226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26"/>
      <c r="G342" s="226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26"/>
      <c r="G343" s="226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26"/>
      <c r="G344" s="226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26"/>
      <c r="G345" s="226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26"/>
      <c r="G346" s="226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26"/>
      <c r="G347" s="226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26"/>
      <c r="G348" s="226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26"/>
      <c r="G349" s="226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26"/>
      <c r="G350" s="226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26"/>
      <c r="G351" s="226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26"/>
      <c r="G352" s="226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26"/>
      <c r="G353" s="226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26"/>
      <c r="G354" s="226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26"/>
      <c r="G355" s="226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26"/>
      <c r="G356" s="226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26"/>
      <c r="G357" s="226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26"/>
      <c r="G358" s="226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26"/>
      <c r="G359" s="226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26"/>
      <c r="G360" s="226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26"/>
      <c r="G361" s="226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26"/>
      <c r="G362" s="226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26"/>
      <c r="G363" s="226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26"/>
      <c r="G364" s="226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26"/>
      <c r="G365" s="226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26"/>
      <c r="G366" s="226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26"/>
      <c r="G367" s="226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26"/>
      <c r="G368" s="226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26"/>
      <c r="G369" s="226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26"/>
      <c r="G370" s="68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26"/>
      <c r="G371" s="68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26"/>
      <c r="G372" s="68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26"/>
      <c r="G373" s="68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26"/>
      <c r="G374" s="68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26"/>
      <c r="G375" s="68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26"/>
      <c r="G376" s="68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26"/>
      <c r="G377" s="68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26"/>
      <c r="G378" s="68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26"/>
      <c r="G379" s="68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26"/>
      <c r="G380" s="68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26"/>
      <c r="G381" s="68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26"/>
      <c r="G382" s="68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26"/>
      <c r="G383" s="68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26"/>
      <c r="G384" s="68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26"/>
      <c r="G385" s="68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26"/>
      <c r="G386" s="68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26"/>
      <c r="G387" s="68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26"/>
      <c r="G388" s="68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26"/>
      <c r="G389" s="68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26"/>
      <c r="G390" s="68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26"/>
      <c r="G391" s="68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26"/>
      <c r="G392" s="68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26"/>
      <c r="G393" s="68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26"/>
      <c r="G394" s="68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26"/>
      <c r="G395" s="68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68"/>
      <c r="G396" s="68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68"/>
      <c r="G397" s="68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68"/>
      <c r="G398" s="68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68"/>
      <c r="G399" s="68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68"/>
      <c r="G400" s="68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68"/>
      <c r="G401" s="68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68"/>
      <c r="G402" s="68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68"/>
      <c r="G403" s="68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68"/>
      <c r="G404" s="68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68"/>
      <c r="G405" s="68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68"/>
      <c r="G406" s="68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68"/>
      <c r="G407" s="68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68"/>
      <c r="G408" s="68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68"/>
      <c r="G409" s="68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68"/>
      <c r="G410" s="68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68"/>
      <c r="G411" s="68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68"/>
      <c r="G412" s="68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68"/>
      <c r="G413" s="68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68"/>
      <c r="G414" s="68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68"/>
      <c r="G415" s="68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68"/>
      <c r="G416" s="68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68"/>
      <c r="G417" s="68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68"/>
      <c r="G418" s="68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68"/>
      <c r="G419" s="68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68"/>
      <c r="G420" s="68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68"/>
      <c r="G421" s="68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68"/>
      <c r="G422" s="68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68"/>
      <c r="G423" s="68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68"/>
      <c r="G424" s="68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68"/>
      <c r="G425" s="68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68"/>
      <c r="G426" s="68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68"/>
      <c r="G427" s="68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68"/>
      <c r="G428" s="68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68"/>
      <c r="G429" s="68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68"/>
      <c r="G430" s="68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68"/>
      <c r="G431" s="68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68"/>
      <c r="G432" s="68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68"/>
      <c r="G433" s="68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68"/>
      <c r="G434" s="68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68"/>
      <c r="G435" s="68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68"/>
      <c r="G436" s="68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68"/>
      <c r="G437" s="68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68"/>
      <c r="G438" s="68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68"/>
      <c r="G439" s="68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68"/>
      <c r="G440" s="68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68"/>
      <c r="G441" s="68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2025-01-10T14:07:33Z</dcterms:modified>
</cp:coreProperties>
</file>