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551eea340582f2a/5-Label Bas Carbone/2023-8 Nantois (62)/Labelisation/0-Envoi DREAL/Envoi V2/"/>
    </mc:Choice>
  </mc:AlternateContent>
  <xr:revisionPtr revIDLastSave="385" documentId="8_{2BD22383-4835-5E42-978A-A116E16A56B8}" xr6:coauthVersionLast="47" xr6:coauthVersionMax="47" xr10:uidLastSave="{274233B1-637F-DB45-AEFB-04570D98C1AB}"/>
  <bookViews>
    <workbookView xWindow="0" yWindow="720" windowWidth="29400" windowHeight="1840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R4" i="2"/>
  <c r="FQ4" i="2"/>
  <c r="EC4" i="2"/>
  <c r="GL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EB7" i="2"/>
  <c r="HI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H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EB14" i="2"/>
  <c r="HH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EX18" i="2"/>
  <c r="FS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HH20" i="2"/>
  <c r="EW20" i="2"/>
  <c r="FS20" i="2"/>
  <c r="EC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W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HH22" i="2"/>
  <c r="HG22" i="2"/>
  <c r="EC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G28" i="2"/>
  <c r="FS28" i="2"/>
  <c r="EC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G33" i="2"/>
  <c r="HH33" i="2"/>
  <c r="EB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CM35" i="2"/>
  <c r="EA35" i="2"/>
  <c r="HH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G38" i="2"/>
  <c r="EW38" i="2"/>
  <c r="EA38" i="2"/>
  <c r="FS38" i="2"/>
  <c r="HI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EC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H57" i="2"/>
  <c r="FS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C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HH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G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EC85" i="2"/>
  <c r="HH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X87" i="2"/>
  <c r="HG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HG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HI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B105" i="2"/>
  <c r="EA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FS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X113" i="2"/>
  <c r="HG113" i="2"/>
  <c r="FS113" i="2"/>
  <c r="EC113" i="2"/>
  <c r="EW113" i="2"/>
  <c r="HI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HI120" i="2"/>
  <c r="HH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HI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HI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G124" i="2"/>
  <c r="HH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FS130" i="2"/>
  <c r="EW130" i="2"/>
  <c r="HH130" i="2"/>
  <c r="HG130" i="2"/>
  <c r="HI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EV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HH139" i="2"/>
  <c r="FS139" i="2"/>
  <c r="EA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S140" i="2"/>
  <c r="FR140" i="2"/>
  <c r="HH140" i="2"/>
  <c r="EX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HH141" i="2"/>
  <c r="HG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HH144" i="2"/>
  <c r="HG144" i="2"/>
  <c r="FR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S146" i="2"/>
  <c r="HG146" i="2"/>
  <c r="HH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G150" i="2"/>
  <c r="FS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G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Y154" i="2"/>
  <c r="EX155" i="2"/>
  <c r="DI154" i="2"/>
  <c r="HJ154" i="2"/>
  <c r="EW155" i="2"/>
  <c r="HH155" i="2"/>
  <c r="HG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ED155" i="2"/>
  <c r="EY155" i="2"/>
  <c r="HG156" i="2"/>
  <c r="HH156" i="2"/>
  <c r="HI156" i="2"/>
  <c r="DH156" i="2"/>
  <c r="AB156" i="2"/>
  <c r="EX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HG157" i="2"/>
  <c r="HH157" i="2"/>
  <c r="EA157" i="2"/>
  <c r="EX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D158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G160" i="2"/>
  <c r="HH160" i="2"/>
  <c r="EY159" i="2"/>
  <c r="EC160" i="2"/>
  <c r="FS160" i="2"/>
  <c r="HI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AB161" i="2"/>
  <c r="HG161" i="2"/>
  <c r="HH161" i="2"/>
  <c r="FS161" i="2"/>
  <c r="EX161" i="2"/>
  <c r="ED160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Y161" i="2"/>
  <c r="EC162" i="2"/>
  <c r="EB162" i="2"/>
  <c r="DI161" i="2"/>
  <c r="EW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EV163" i="2"/>
  <c r="HH163" i="2"/>
  <c r="HG163" i="2"/>
  <c r="EB163" i="2"/>
  <c r="EA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HG164" i="2"/>
  <c r="DI163" i="2"/>
  <c r="EA164" i="2"/>
  <c r="EV164" i="2"/>
  <c r="FR164" i="2"/>
  <c r="DH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G165" i="2"/>
  <c r="EX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HG166" i="2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J166" i="2"/>
  <c r="EY166" i="2"/>
  <c r="EX167" i="2"/>
  <c r="DG167" i="2"/>
  <c r="EA167" i="2"/>
  <c r="EC167" i="2"/>
  <c r="HI167" i="2"/>
  <c r="HH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DG168" i="2"/>
  <c r="HH168" i="2"/>
  <c r="EC168" i="2"/>
  <c r="HI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A169" i="2"/>
  <c r="EX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A172" i="2"/>
  <c r="EY171" i="2"/>
  <c r="EB172" i="2"/>
  <c r="HG172" i="2"/>
  <c r="HI172" i="2"/>
  <c r="EV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HJ172" i="2"/>
  <c r="HH173" i="2"/>
  <c r="EX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Q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FS178" i="2"/>
  <c r="EW178" i="2"/>
  <c r="HH178" i="2"/>
  <c r="EB178" i="2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HH179" i="2"/>
  <c r="EB179" i="2"/>
  <c r="EV179" i="2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HG180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A183" i="2"/>
  <c r="EB183" i="2"/>
  <c r="ED182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I185" i="2"/>
  <c r="EW185" i="2"/>
  <c r="EB185" i="2"/>
  <c r="ED184" i="2"/>
  <c r="EA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B186" i="2"/>
  <c r="EW186" i="2"/>
  <c r="HG186" i="2"/>
  <c r="HH186" i="2"/>
  <c r="ED185" i="2"/>
  <c r="FS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HG187" i="2"/>
  <c r="EB187" i="2"/>
  <c r="HH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Y188" i="2"/>
  <c r="EV189" i="2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B190" i="2" l="1"/>
  <c r="EV190" i="2"/>
  <c r="EW190" i="2"/>
  <c r="ED189" i="2"/>
  <c r="HJ189" i="2"/>
  <c r="EY189" i="2"/>
  <c r="HG190" i="2"/>
  <c r="HH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G191" i="2"/>
  <c r="HI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I192" i="2"/>
  <c r="EB192" i="2"/>
  <c r="EV192" i="2"/>
  <c r="HH192" i="2"/>
  <c r="EW192" i="2"/>
  <c r="HG192" i="2"/>
  <c r="EA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B193" i="2"/>
  <c r="DI192" i="2"/>
  <c r="EY192" i="2"/>
  <c r="HI193" i="2"/>
  <c r="FQ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CN193" i="2"/>
  <c r="ED193" i="2"/>
  <c r="EA194" i="2"/>
  <c r="FQ194" i="2"/>
  <c r="HI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ED194" i="2"/>
  <c r="FQ195" i="2"/>
  <c r="DH195" i="2"/>
  <c r="HG195" i="2"/>
  <c r="HI195" i="2"/>
  <c r="EY194" i="2"/>
  <c r="EX195" i="2"/>
  <c r="A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A197" i="2" l="1"/>
  <c r="AA197" i="2"/>
  <c r="HG197" i="2"/>
  <c r="FS197" i="2"/>
  <c r="EY196" i="2"/>
  <c r="EC197" i="2"/>
  <c r="HH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A199" i="2" l="1"/>
  <c r="EB199" i="2"/>
  <c r="EY198" i="2"/>
  <c r="EV199" i="2"/>
  <c r="HH199" i="2"/>
  <c r="EW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HJ199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D200" i="2" l="1"/>
  <c r="DI200" i="2"/>
  <c r="EY200" i="2"/>
  <c r="HJ200" i="2"/>
  <c r="HH201" i="2"/>
  <c r="HG201" i="2"/>
  <c r="EA201" i="2"/>
  <c r="EB201" i="2"/>
  <c r="FS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D201" i="2"/>
  <c r="FZ6" i="2"/>
  <c r="EY201" i="2"/>
  <c r="HG202" i="2"/>
  <c r="HI202" i="2"/>
  <c r="EW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DN56" i="2" a="1"/>
  <c r="DN56" i="2" s="1"/>
  <c r="DN152" i="2" a="1"/>
  <c r="DN152" i="2" s="1"/>
  <c r="DN50" i="2" a="1"/>
  <c r="DN50" i="2" s="1"/>
  <c r="GT138" i="2" a="1"/>
  <c r="GT138" i="2" s="1"/>
  <c r="DN6" i="2" a="1"/>
  <c r="DN6" i="2" s="1"/>
  <c r="DO6" i="2" s="1"/>
  <c r="DN46" i="2" a="1"/>
  <c r="DN46" i="2" s="1"/>
  <c r="DN30" i="2" a="1"/>
  <c r="DN30" i="2" s="1"/>
  <c r="DN132" i="2" a="1"/>
  <c r="DN132" i="2" s="1"/>
  <c r="DN187" i="2" a="1"/>
  <c r="DN187" i="2" s="1"/>
  <c r="AX200" i="2"/>
  <c r="DN162" i="2" l="1" a="1"/>
  <c r="DN162" i="2" s="1"/>
  <c r="DN66" i="2" a="1"/>
  <c r="DN66" i="2" s="1"/>
  <c r="DN133" i="2" a="1"/>
  <c r="DN133" i="2" s="1"/>
  <c r="DN110" i="2" a="1"/>
  <c r="DN110" i="2" s="1"/>
  <c r="DN38" i="2" a="1"/>
  <c r="DN38" i="2" s="1"/>
  <c r="AH151" i="2" a="1"/>
  <c r="AH151" i="2" s="1"/>
  <c r="FY142" i="2" a="1"/>
  <c r="FY142" i="2" s="1"/>
  <c r="FD44" i="2" a="1"/>
  <c r="FD44" i="2" s="1"/>
  <c r="FD60" i="2" a="1"/>
  <c r="FD60" i="2" s="1"/>
  <c r="FD82" i="2" a="1"/>
  <c r="FD82" i="2" s="1"/>
  <c r="FD187" i="2" a="1"/>
  <c r="FD187" i="2" s="1"/>
  <c r="FD19" i="2" a="1"/>
  <c r="FD19" i="2" s="1"/>
  <c r="FD160" i="2" a="1"/>
  <c r="FD160" i="2" s="1"/>
  <c r="FD137" i="2" a="1"/>
  <c r="FD137" i="2" s="1"/>
  <c r="FD107" i="2" a="1"/>
  <c r="FD107" i="2" s="1"/>
  <c r="FD131" i="2" a="1"/>
  <c r="FD131" i="2" s="1"/>
  <c r="FD64" i="2" a="1"/>
  <c r="FD64" i="2" s="1"/>
  <c r="FS203" i="2"/>
  <c r="FD189" i="2" a="1"/>
  <c r="FD189" i="2" s="1"/>
  <c r="FD14" i="2" a="1"/>
  <c r="FD14" i="2" s="1"/>
  <c r="GT184" i="2" a="1"/>
  <c r="GT184" i="2" s="1"/>
  <c r="GT115" i="2" a="1"/>
  <c r="GT115" i="2" s="1"/>
  <c r="GT107" i="2" a="1"/>
  <c r="GT107" i="2" s="1"/>
  <c r="GT191" i="2" a="1"/>
  <c r="GT191" i="2" s="1"/>
  <c r="GT15" i="2" a="1"/>
  <c r="GT15" i="2" s="1"/>
  <c r="GT181" i="2" a="1"/>
  <c r="GT181" i="2" s="1"/>
  <c r="GT38" i="2" a="1"/>
  <c r="GT38" i="2" s="1"/>
  <c r="GT74" i="2" a="1"/>
  <c r="GT74" i="2" s="1"/>
  <c r="GT174" i="2" a="1"/>
  <c r="GT174" i="2" s="1"/>
  <c r="GT178" i="2" a="1"/>
  <c r="GT178" i="2" s="1"/>
  <c r="GT189" i="2" a="1"/>
  <c r="GT189" i="2" s="1"/>
  <c r="GT126" i="2" a="1"/>
  <c r="GT126" i="2" s="1"/>
  <c r="GT198" i="2" a="1"/>
  <c r="GT198" i="2" s="1"/>
  <c r="GT12" i="2" a="1"/>
  <c r="GT12" i="2" s="1"/>
  <c r="GT33" i="2" a="1"/>
  <c r="GT33" i="2" s="1"/>
  <c r="FY196" i="2" a="1"/>
  <c r="FY196" i="2" s="1"/>
  <c r="FY80" i="2" a="1"/>
  <c r="FY80" i="2" s="1"/>
  <c r="FY115" i="2" a="1"/>
  <c r="FY115" i="2" s="1"/>
  <c r="FY121" i="2" a="1"/>
  <c r="FY121" i="2" s="1"/>
  <c r="FY30" i="2" a="1"/>
  <c r="FY30" i="2" s="1"/>
  <c r="FY86" i="2" a="1"/>
  <c r="FY86" i="2" s="1"/>
  <c r="FY167" i="2" a="1"/>
  <c r="FY167" i="2" s="1"/>
  <c r="FY42" i="2" a="1"/>
  <c r="FY42" i="2" s="1"/>
  <c r="FY58" i="2" a="1"/>
  <c r="FY58" i="2" s="1"/>
  <c r="FY82" i="2" a="1"/>
  <c r="FY82" i="2" s="1"/>
  <c r="FY178" i="2" a="1"/>
  <c r="FY178" i="2" s="1"/>
  <c r="FY164" i="2" a="1"/>
  <c r="FY164" i="2" s="1"/>
  <c r="FY24" i="2" a="1"/>
  <c r="FY24" i="2" s="1"/>
  <c r="FY190" i="2" a="1"/>
  <c r="FY190" i="2" s="1"/>
  <c r="FY186" i="2" a="1"/>
  <c r="FY186" i="2" s="1"/>
  <c r="FY143" i="2" a="1"/>
  <c r="FY143" i="2" s="1"/>
  <c r="FY18" i="2" a="1"/>
  <c r="FY18" i="2" s="1"/>
  <c r="FY69" i="2" a="1"/>
  <c r="FY69" i="2" s="1"/>
  <c r="DN115" i="2" a="1"/>
  <c r="DN115" i="2" s="1"/>
  <c r="DN176" i="2" a="1"/>
  <c r="DN176" i="2" s="1"/>
  <c r="DN70" i="2" a="1"/>
  <c r="DN70" i="2" s="1"/>
  <c r="DN167" i="2" a="1"/>
  <c r="DN167" i="2" s="1"/>
  <c r="DN164" i="2" a="1"/>
  <c r="DN164" i="2" s="1"/>
  <c r="DN168" i="2" a="1"/>
  <c r="DN168" i="2" s="1"/>
  <c r="DN114" i="2" a="1"/>
  <c r="DN114" i="2" s="1"/>
  <c r="DN150" i="2" a="1"/>
  <c r="DN150" i="2" s="1"/>
  <c r="DN86" i="2" a="1"/>
  <c r="DN86" i="2" s="1"/>
  <c r="DN170" i="2" a="1"/>
  <c r="DN170" i="2" s="1"/>
  <c r="DN25" i="2" a="1"/>
  <c r="DN25" i="2" s="1"/>
  <c r="DN41" i="2" a="1"/>
  <c r="DN41" i="2" s="1"/>
  <c r="DN190" i="2" a="1"/>
  <c r="DN190" i="2" s="1"/>
  <c r="DN55" i="2" a="1"/>
  <c r="DN55" i="2" s="1"/>
  <c r="DN16" i="2" a="1"/>
  <c r="DN16" i="2" s="1"/>
  <c r="DN135" i="2" a="1"/>
  <c r="DN135" i="2" s="1"/>
  <c r="DN63" i="2" a="1"/>
  <c r="DN63" i="2" s="1"/>
  <c r="DN103" i="2" a="1"/>
  <c r="DN103" i="2" s="1"/>
  <c r="DN192" i="2" a="1"/>
  <c r="DN192" i="2" s="1"/>
  <c r="DN177" i="2" a="1"/>
  <c r="DN177" i="2" s="1"/>
  <c r="DN129" i="2" a="1"/>
  <c r="DN129" i="2" s="1"/>
  <c r="DN184" i="2" a="1"/>
  <c r="DN184" i="2" s="1"/>
  <c r="DN155" i="2" a="1"/>
  <c r="DN155" i="2" s="1"/>
  <c r="DN45" i="2" a="1"/>
  <c r="DN45" i="2" s="1"/>
  <c r="DN65" i="2" a="1"/>
  <c r="DN65" i="2" s="1"/>
  <c r="DN31" i="2" a="1"/>
  <c r="DN31" i="2" s="1"/>
  <c r="DN49" i="2" a="1"/>
  <c r="DN49" i="2" s="1"/>
  <c r="DN80" i="2" a="1"/>
  <c r="DN80" i="2" s="1"/>
  <c r="DN123" i="2" a="1"/>
  <c r="DN123" i="2" s="1"/>
  <c r="DN188" i="2" a="1"/>
  <c r="DN188" i="2" s="1"/>
  <c r="DN153" i="2" a="1"/>
  <c r="DN153" i="2" s="1"/>
  <c r="DN113" i="2" a="1"/>
  <c r="DN113" i="2" s="1"/>
  <c r="DN29" i="2" a="1"/>
  <c r="DN29" i="2" s="1"/>
  <c r="DN124" i="2" a="1"/>
  <c r="DN124" i="2" s="1"/>
  <c r="DN43" i="2" a="1"/>
  <c r="DN43" i="2" s="1"/>
  <c r="DN186" i="2" a="1"/>
  <c r="DN186" i="2" s="1"/>
  <c r="DN137" i="2" a="1"/>
  <c r="DN137" i="2" s="1"/>
  <c r="CS72" i="2" a="1"/>
  <c r="CS72" i="2" s="1"/>
  <c r="CS120" i="2" a="1"/>
  <c r="CS120" i="2" s="1"/>
  <c r="CS24" i="2" a="1"/>
  <c r="CS24" i="2" s="1"/>
  <c r="CS56" i="2" a="1"/>
  <c r="CS56" i="2" s="1"/>
  <c r="CS66" i="2" a="1"/>
  <c r="CS66" i="2" s="1"/>
  <c r="CS185" i="2" a="1"/>
  <c r="CS185" i="2" s="1"/>
  <c r="CS134" i="2" a="1"/>
  <c r="CS134" i="2" s="1"/>
  <c r="CS77" i="2" a="1"/>
  <c r="CS77" i="2" s="1"/>
  <c r="CS137" i="2" a="1"/>
  <c r="CS137" i="2" s="1"/>
  <c r="BX107" i="2" a="1"/>
  <c r="BX107" i="2" s="1"/>
  <c r="BC38" i="2" a="1"/>
  <c r="BC38" i="2" s="1"/>
  <c r="BC83" i="2" a="1"/>
  <c r="BC83" i="2" s="1"/>
  <c r="BC18" i="2" a="1"/>
  <c r="BC18" i="2" s="1"/>
  <c r="BC84" i="2" a="1"/>
  <c r="BC84" i="2" s="1"/>
  <c r="BC151" i="2" a="1"/>
  <c r="BC151" i="2" s="1"/>
  <c r="BC164" i="2" a="1"/>
  <c r="BC164" i="2" s="1"/>
  <c r="BC32" i="2" a="1"/>
  <c r="BC32" i="2" s="1"/>
  <c r="BC192" i="2" a="1"/>
  <c r="BC192" i="2" s="1"/>
  <c r="BC7" i="2" a="1"/>
  <c r="BC7" i="2" s="1"/>
  <c r="BD7" i="2" s="1"/>
  <c r="BC55" i="2" a="1"/>
  <c r="BC55" i="2" s="1"/>
  <c r="BC130" i="2" a="1"/>
  <c r="BC130" i="2" s="1"/>
  <c r="BC185" i="2" a="1"/>
  <c r="BC185" i="2" s="1"/>
  <c r="BC143" i="2" a="1"/>
  <c r="BC143" i="2" s="1"/>
  <c r="BC117" i="2" a="1"/>
  <c r="BC117" i="2" s="1"/>
  <c r="BC31" i="2" a="1"/>
  <c r="BC31" i="2" s="1"/>
  <c r="BC82" i="2" a="1"/>
  <c r="BC82" i="2" s="1"/>
  <c r="FD194" i="2" a="1"/>
  <c r="FD194" i="2" s="1"/>
  <c r="FD43" i="2" a="1"/>
  <c r="FD43" i="2" s="1"/>
  <c r="FY182" i="2" a="1"/>
  <c r="FY182" i="2" s="1"/>
  <c r="FY149" i="2" a="1"/>
  <c r="FY149" i="2" s="1"/>
  <c r="FY159" i="2" a="1"/>
  <c r="FY159" i="2" s="1"/>
  <c r="FD159" i="2" a="1"/>
  <c r="FD159" i="2" s="1"/>
  <c r="FD48" i="2" a="1"/>
  <c r="FD48" i="2" s="1"/>
  <c r="CS38" i="2" a="1"/>
  <c r="CS38" i="2" s="1"/>
  <c r="BC47" i="2" a="1"/>
  <c r="BC47" i="2" s="1"/>
  <c r="FY78" i="2" a="1"/>
  <c r="FY78" i="2" s="1"/>
  <c r="FY35" i="2" a="1"/>
  <c r="FY35" i="2" s="1"/>
  <c r="CS105" i="2" a="1"/>
  <c r="CS105" i="2" s="1"/>
  <c r="CS116" i="2" a="1"/>
  <c r="CS116" i="2" s="1"/>
  <c r="BC68" i="2" a="1"/>
  <c r="BC68" i="2" s="1"/>
  <c r="FY116" i="2" a="1"/>
  <c r="FY116" i="2" s="1"/>
  <c r="FY146" i="2" a="1"/>
  <c r="FY146" i="2" s="1"/>
  <c r="CS114" i="2" a="1"/>
  <c r="CS114" i="2" s="1"/>
  <c r="FD167" i="2" a="1"/>
  <c r="FD167" i="2" s="1"/>
  <c r="FD188" i="2" a="1"/>
  <c r="FD188" i="2" s="1"/>
  <c r="CS161" i="2" a="1"/>
  <c r="CS161" i="2" s="1"/>
  <c r="BC58" i="2" a="1"/>
  <c r="BC58" i="2" s="1"/>
  <c r="FY92" i="2" a="1"/>
  <c r="FY92" i="2" s="1"/>
  <c r="FY32" i="2" a="1"/>
  <c r="FY32" i="2" s="1"/>
  <c r="BC126" i="2" a="1"/>
  <c r="BC126" i="2" s="1"/>
  <c r="FY71" i="2" a="1"/>
  <c r="FY71" i="2" s="1"/>
  <c r="HJ202" i="2"/>
  <c r="GT102" i="2" a="1"/>
  <c r="GT102" i="2" s="1"/>
  <c r="BC181" i="2" a="1"/>
  <c r="BC181" i="2" s="1"/>
  <c r="BC34" i="2" a="1"/>
  <c r="BC34" i="2" s="1"/>
  <c r="FY55" i="2" a="1"/>
  <c r="FY55" i="2" s="1"/>
  <c r="FY191" i="2" a="1"/>
  <c r="FY191" i="2" s="1"/>
  <c r="FY22" i="2" a="1"/>
  <c r="FY22" i="2" s="1"/>
  <c r="BC65" i="2" a="1"/>
  <c r="BC65" i="2" s="1"/>
  <c r="FD59" i="2" a="1"/>
  <c r="FD59" i="2" s="1"/>
  <c r="FY50" i="2" a="1"/>
  <c r="FY50" i="2" s="1"/>
  <c r="GT68" i="2" a="1"/>
  <c r="GT68" i="2" s="1"/>
  <c r="BC114" i="2" a="1"/>
  <c r="BC114" i="2" s="1"/>
  <c r="FY104" i="2" a="1"/>
  <c r="FY104" i="2" s="1"/>
  <c r="FY99" i="2" a="1"/>
  <c r="FY99" i="2" s="1"/>
  <c r="FY120" i="2" a="1"/>
  <c r="FY120" i="2" s="1"/>
  <c r="FY79" i="2" a="1"/>
  <c r="FY79" i="2" s="1"/>
  <c r="AH163" i="2" a="1"/>
  <c r="AH163" i="2" s="1"/>
  <c r="AH92" i="2" a="1"/>
  <c r="AH92" i="2" s="1"/>
  <c r="AH62" i="2" a="1"/>
  <c r="AH62" i="2" s="1"/>
  <c r="AH90" i="2" a="1"/>
  <c r="AH90" i="2" s="1"/>
  <c r="EY202" i="2"/>
  <c r="GT11" i="2" a="1"/>
  <c r="GT11" i="2" s="1"/>
  <c r="GT147" i="2" a="1"/>
  <c r="GT147" i="2" s="1"/>
  <c r="GT152" i="2" a="1"/>
  <c r="GT152" i="2" s="1"/>
  <c r="GT190" i="2" a="1"/>
  <c r="GT190" i="2" s="1"/>
  <c r="GT21" i="2" a="1"/>
  <c r="GT21" i="2" s="1"/>
  <c r="GT133" i="2" a="1"/>
  <c r="GT133" i="2" s="1"/>
  <c r="GT122" i="2" a="1"/>
  <c r="GT122" i="2" s="1"/>
  <c r="GT51" i="2" a="1"/>
  <c r="GT51" i="2" s="1"/>
  <c r="GT121" i="2" a="1"/>
  <c r="GT121" i="2" s="1"/>
  <c r="EI71" i="2" a="1"/>
  <c r="EI71" i="2" s="1"/>
  <c r="EI67" i="2" a="1"/>
  <c r="EI67" i="2" s="1"/>
  <c r="EI170" i="2" a="1"/>
  <c r="EI170" i="2" s="1"/>
  <c r="EI35" i="2" a="1"/>
  <c r="EI35" i="2" s="1"/>
  <c r="EI139" i="2" a="1"/>
  <c r="EI139" i="2" s="1"/>
  <c r="EI165" i="2" a="1"/>
  <c r="EI165" i="2" s="1"/>
  <c r="EI87" i="2" a="1"/>
  <c r="EI87" i="2" s="1"/>
  <c r="EI57" i="2" a="1"/>
  <c r="EI57" i="2" s="1"/>
  <c r="EI113" i="2" a="1"/>
  <c r="EI113" i="2" s="1"/>
  <c r="EI128" i="2" a="1"/>
  <c r="EI128" i="2" s="1"/>
  <c r="EI109" i="2" a="1"/>
  <c r="EI109" i="2" s="1"/>
  <c r="EI16" i="2" a="1"/>
  <c r="EI16" i="2" s="1"/>
  <c r="EI37" i="2" a="1"/>
  <c r="EI37" i="2" s="1"/>
  <c r="EI38" i="2" a="1"/>
  <c r="EI38" i="2" s="1"/>
  <c r="EI195" i="2" a="1"/>
  <c r="EI195" i="2" s="1"/>
  <c r="EI36" i="2" a="1"/>
  <c r="EI36" i="2" s="1"/>
  <c r="EI20" i="2" a="1"/>
  <c r="EI20" i="2" s="1"/>
  <c r="EI34" i="2" a="1"/>
  <c r="EI34" i="2" s="1"/>
  <c r="EI142" i="2" a="1"/>
  <c r="EI142" i="2" s="1"/>
  <c r="EI178" i="2" a="1"/>
  <c r="EI178" i="2" s="1"/>
  <c r="EI145" i="2" a="1"/>
  <c r="EI145" i="2" s="1"/>
  <c r="EI162" i="2" a="1"/>
  <c r="EI162" i="2" s="1"/>
  <c r="EI29" i="2" a="1"/>
  <c r="EI29" i="2" s="1"/>
  <c r="EI106" i="2" a="1"/>
  <c r="EI106" i="2" s="1"/>
  <c r="EI153" i="2" a="1"/>
  <c r="EI153" i="2" s="1"/>
  <c r="EI166" i="2" a="1"/>
  <c r="EI166" i="2" s="1"/>
  <c r="EI198" i="2" a="1"/>
  <c r="EI198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47" i="2" a="1"/>
  <c r="FY47" i="2" s="1"/>
  <c r="FR203" i="2"/>
  <c r="AH199" i="2" a="1"/>
  <c r="AH199" i="2" s="1"/>
  <c r="CS129" i="2" a="1"/>
  <c r="CS129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AH166" i="2" a="1"/>
  <c r="AH166" i="2" s="1"/>
  <c r="CS52" i="2" a="1"/>
  <c r="CS52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AH19" i="2" a="1"/>
  <c r="AH1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D203" i="2"/>
  <c r="CN203" i="2"/>
  <c r="FZ10" i="2"/>
  <c r="FZ11" i="2" s="1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GE11" i="2" l="1"/>
  <c r="GE179" i="2"/>
  <c r="GE172" i="2"/>
  <c r="GE123" i="2"/>
  <c r="GE91" i="2"/>
  <c r="GE180" i="2"/>
  <c r="GE77" i="2"/>
  <c r="GE14" i="2"/>
  <c r="GE98" i="2"/>
  <c r="GE74" i="2"/>
  <c r="GE162" i="2"/>
  <c r="GE166" i="2"/>
  <c r="GE41" i="2"/>
  <c r="GE57" i="2"/>
  <c r="GE56" i="2"/>
  <c r="GE129" i="2"/>
  <c r="GE20" i="2"/>
  <c r="GE52" i="2"/>
  <c r="GE48" i="2"/>
  <c r="GE140" i="2"/>
  <c r="GE22" i="2"/>
  <c r="GE17" i="2"/>
  <c r="GE7" i="2"/>
  <c r="GE112" i="2"/>
  <c r="GE104" i="2"/>
  <c r="GE44" i="2"/>
  <c r="GE118" i="2"/>
  <c r="GE127" i="2"/>
  <c r="GE169" i="2"/>
  <c r="GE39" i="2"/>
  <c r="GE101" i="2"/>
  <c r="GE157" i="2"/>
  <c r="GE27" i="2"/>
  <c r="GE93" i="2"/>
  <c r="GE62" i="2"/>
  <c r="GE60" i="2"/>
  <c r="GE35" i="2"/>
  <c r="GE171" i="2"/>
  <c r="GE108" i="2"/>
  <c r="GE122" i="2"/>
  <c r="GE119" i="2"/>
  <c r="GE78" i="2"/>
  <c r="GE167" i="2"/>
  <c r="GE109" i="2"/>
  <c r="GE139" i="2"/>
  <c r="GE94" i="2"/>
  <c r="GE65" i="2"/>
  <c r="GE32" i="2"/>
  <c r="GE3" i="2"/>
  <c r="C14" i="4" s="1"/>
  <c r="E14" i="4" s="1"/>
  <c r="F14" i="4" s="1"/>
  <c r="G14" i="4" s="1"/>
  <c r="L14" i="4" s="1"/>
  <c r="GE135" i="2"/>
  <c r="GE54" i="2"/>
  <c r="GE19" i="2"/>
  <c r="GE174" i="2"/>
  <c r="GE124" i="2"/>
  <c r="GE42" i="2"/>
  <c r="GE102" i="2"/>
  <c r="GE67" i="2"/>
  <c r="GE154" i="2"/>
  <c r="GE185" i="2"/>
  <c r="GE130" i="2"/>
  <c r="GE173" i="2"/>
  <c r="GE201" i="2"/>
  <c r="GE51" i="2"/>
  <c r="GE196" i="2"/>
  <c r="GE115" i="2"/>
  <c r="GE9" i="2"/>
  <c r="GE144" i="2"/>
  <c r="GE76" i="2"/>
  <c r="GE103" i="2"/>
  <c r="GE191" i="2"/>
  <c r="GE37" i="2"/>
  <c r="GE45" i="2"/>
  <c r="GE72" i="2"/>
  <c r="GE34" i="2"/>
  <c r="GE151" i="2"/>
  <c r="GE137" i="2"/>
  <c r="GE190" i="2"/>
  <c r="GE73" i="2"/>
  <c r="GE188" i="2"/>
  <c r="GE12" i="2"/>
  <c r="GE55" i="2"/>
  <c r="GE33" i="2"/>
  <c r="GE116" i="2"/>
  <c r="GE90" i="2"/>
  <c r="GE46" i="2"/>
  <c r="GE29" i="2"/>
  <c r="GE84" i="2"/>
  <c r="GE156" i="2"/>
  <c r="GE10" i="2"/>
  <c r="GE199" i="2"/>
  <c r="GE136" i="2"/>
  <c r="GE165" i="2"/>
  <c r="GE147" i="2"/>
  <c r="GE61" i="2"/>
  <c r="GE194" i="2"/>
  <c r="GE87" i="2"/>
  <c r="GE107" i="2"/>
  <c r="GE49" i="2"/>
  <c r="GE26" i="2"/>
  <c r="GE158" i="2"/>
  <c r="GE6" i="2"/>
  <c r="GE38" i="2"/>
  <c r="GE134" i="2"/>
  <c r="GE182" i="2"/>
  <c r="GE170" i="2"/>
  <c r="GE159" i="2"/>
  <c r="GE24" i="2"/>
  <c r="GE28" i="2"/>
  <c r="GE5" i="2"/>
  <c r="GE43" i="2"/>
  <c r="GE177" i="2"/>
  <c r="GE81" i="2"/>
  <c r="GE183" i="2"/>
  <c r="GE31" i="2"/>
  <c r="GE80" i="2"/>
  <c r="GE68" i="2"/>
  <c r="GE92" i="2"/>
  <c r="GE125" i="2"/>
  <c r="GE120" i="2"/>
  <c r="GE18" i="2"/>
  <c r="GE145" i="2"/>
  <c r="GE71" i="2"/>
  <c r="GE79" i="2"/>
  <c r="GE189" i="2"/>
  <c r="GE184" i="2"/>
  <c r="GE113" i="2"/>
  <c r="GE16" i="2"/>
  <c r="GE40" i="2"/>
  <c r="GE69" i="2"/>
  <c r="GE111" i="2"/>
  <c r="GE23" i="2"/>
  <c r="GE15" i="2"/>
  <c r="GE126" i="2"/>
  <c r="GE176" i="2"/>
  <c r="GE36" i="2"/>
  <c r="GE75" i="2"/>
  <c r="GE70" i="2"/>
  <c r="GE66" i="2"/>
  <c r="GE181" i="2"/>
  <c r="GE149" i="2"/>
  <c r="GE97" i="2"/>
  <c r="GE99" i="2"/>
  <c r="GE168" i="2"/>
  <c r="GE160" i="2"/>
  <c r="GE175" i="2"/>
  <c r="GE163" i="2"/>
  <c r="GE21" i="2"/>
  <c r="GE83" i="2"/>
  <c r="GE105" i="2"/>
  <c r="GE58" i="2"/>
  <c r="GE132" i="2"/>
  <c r="GE86" i="2"/>
  <c r="GE59" i="2"/>
  <c r="GE203" i="2"/>
  <c r="GE150" i="2"/>
  <c r="GE106" i="2"/>
  <c r="GE121" i="2"/>
  <c r="GE100" i="2"/>
  <c r="GE89" i="2"/>
  <c r="GE153" i="2"/>
  <c r="GE8" i="2"/>
  <c r="GE200" i="2"/>
  <c r="GE161" i="2"/>
  <c r="GE152" i="2"/>
  <c r="GE187" i="2"/>
  <c r="GE30" i="2"/>
  <c r="GE133" i="2"/>
  <c r="GE88" i="2"/>
  <c r="GE186" i="2"/>
  <c r="GE197" i="2"/>
  <c r="GE138" i="2"/>
  <c r="GE110" i="2"/>
  <c r="GE117" i="2"/>
  <c r="GE53" i="2"/>
  <c r="GE13" i="2"/>
  <c r="GE114" i="2"/>
  <c r="GE131" i="2"/>
  <c r="GE195" i="2"/>
  <c r="GE63" i="2"/>
  <c r="GE128" i="2"/>
  <c r="GE155" i="2"/>
  <c r="GE164" i="2"/>
  <c r="GE193" i="2"/>
  <c r="GE178" i="2"/>
  <c r="GE146" i="2"/>
  <c r="GE85" i="2"/>
  <c r="GE192" i="2"/>
  <c r="GE143" i="2"/>
  <c r="GE202" i="2"/>
  <c r="GE64" i="2"/>
  <c r="GE96" i="2"/>
  <c r="GE82" i="2"/>
  <c r="GE141" i="2"/>
  <c r="GE50" i="2"/>
  <c r="GE4" i="2"/>
  <c r="GE95" i="2"/>
  <c r="GE47" i="2"/>
  <c r="GE148" i="2"/>
  <c r="GE198" i="2"/>
  <c r="GE142" i="2"/>
  <c r="GE25" i="2"/>
  <c r="FE75" i="2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GZ174" i="2" l="1"/>
  <c r="GZ5" i="2"/>
  <c r="GZ20" i="2"/>
  <c r="GZ50" i="2"/>
  <c r="GZ163" i="2"/>
  <c r="GZ80" i="2"/>
  <c r="GZ15" i="2"/>
  <c r="GZ19" i="2"/>
  <c r="GZ27" i="2"/>
  <c r="GZ9" i="2"/>
  <c r="GZ173" i="2"/>
  <c r="GZ64" i="2"/>
  <c r="GZ31" i="2"/>
  <c r="GZ189" i="2"/>
  <c r="GZ12" i="2"/>
  <c r="GZ119" i="2"/>
  <c r="GZ103" i="2"/>
  <c r="GZ41" i="2"/>
  <c r="GZ44" i="2"/>
  <c r="GZ38" i="2"/>
  <c r="GZ181" i="2"/>
  <c r="GZ117" i="2"/>
  <c r="GZ176" i="2"/>
  <c r="GZ192" i="2"/>
  <c r="GZ7" i="2"/>
  <c r="GZ150" i="2"/>
  <c r="GZ178" i="2"/>
  <c r="GZ184" i="2"/>
  <c r="GZ8" i="2"/>
  <c r="GZ201" i="2"/>
  <c r="GZ88" i="2"/>
  <c r="GZ175" i="2"/>
  <c r="GZ129" i="2"/>
  <c r="GZ198" i="2"/>
  <c r="GZ164" i="2"/>
  <c r="GZ165" i="2"/>
  <c r="GZ98" i="2"/>
  <c r="GZ57" i="2"/>
  <c r="GZ171" i="2"/>
  <c r="GZ169" i="2"/>
  <c r="GZ30" i="2"/>
  <c r="GZ89" i="2"/>
  <c r="GZ22" i="2"/>
  <c r="GZ191" i="2"/>
  <c r="GZ108" i="2"/>
  <c r="GZ46" i="2"/>
  <c r="GZ101" i="2"/>
  <c r="GZ81" i="2"/>
  <c r="GZ140" i="2"/>
  <c r="GZ159" i="2"/>
  <c r="GZ36" i="2"/>
  <c r="GZ112" i="2"/>
  <c r="GZ197" i="2"/>
  <c r="GZ131" i="2"/>
  <c r="GZ139" i="2"/>
  <c r="GZ90" i="2"/>
  <c r="GZ187" i="2"/>
  <c r="GZ59" i="2"/>
  <c r="GZ177" i="2"/>
  <c r="GZ136" i="2"/>
  <c r="GZ93" i="2"/>
  <c r="GZ188" i="2"/>
  <c r="GZ71" i="2"/>
  <c r="GZ135" i="2"/>
  <c r="GZ95" i="2"/>
  <c r="GZ102" i="2"/>
  <c r="GZ66" i="2"/>
  <c r="GZ186" i="2"/>
  <c r="GZ94" i="2"/>
  <c r="GZ4" i="2"/>
  <c r="GZ54" i="2"/>
  <c r="GZ74" i="2"/>
  <c r="GZ97" i="2"/>
  <c r="GZ68" i="2"/>
  <c r="GZ199" i="2"/>
  <c r="GZ190" i="2"/>
  <c r="GZ96" i="2"/>
  <c r="GZ123" i="2"/>
  <c r="GZ25" i="2"/>
  <c r="GZ77" i="2"/>
  <c r="GZ179" i="2"/>
  <c r="GZ195" i="2"/>
  <c r="GZ53" i="2"/>
  <c r="GZ144" i="2"/>
  <c r="GZ17" i="2"/>
  <c r="GZ100" i="2"/>
  <c r="GZ147" i="2"/>
  <c r="GZ141" i="2"/>
  <c r="GZ203" i="2"/>
  <c r="GZ126" i="2"/>
  <c r="GZ156" i="2"/>
  <c r="GZ18" i="2"/>
  <c r="GZ107" i="2"/>
  <c r="GZ32" i="2"/>
  <c r="GZ6" i="2"/>
  <c r="GZ111" i="2"/>
  <c r="GZ79" i="2"/>
  <c r="GZ69" i="2"/>
  <c r="GZ167" i="2"/>
  <c r="GZ45" i="2"/>
  <c r="GZ128" i="2"/>
  <c r="GZ155" i="2"/>
  <c r="GZ21" i="2"/>
  <c r="GZ115" i="2"/>
  <c r="GZ138" i="2"/>
  <c r="GZ28" i="2"/>
  <c r="GZ153" i="2"/>
  <c r="GZ158" i="2"/>
  <c r="GZ193" i="2"/>
  <c r="GZ127" i="2"/>
  <c r="GZ168" i="2"/>
  <c r="GZ60" i="2"/>
  <c r="GZ33" i="2"/>
  <c r="GZ48" i="2"/>
  <c r="GZ99" i="2"/>
  <c r="GZ10" i="2"/>
  <c r="GZ76" i="2"/>
  <c r="GZ196" i="2"/>
  <c r="GZ106" i="2"/>
  <c r="GZ91" i="2"/>
  <c r="GZ143" i="2"/>
  <c r="GZ70" i="2"/>
  <c r="GZ148" i="2"/>
  <c r="GZ23" i="2"/>
  <c r="GZ87" i="2"/>
  <c r="GZ172" i="2"/>
  <c r="GZ52" i="2"/>
  <c r="GZ134" i="2"/>
  <c r="GZ109" i="2"/>
  <c r="GZ14" i="2"/>
  <c r="GZ104" i="2"/>
  <c r="GZ24" i="2"/>
  <c r="GZ145" i="2"/>
  <c r="GZ133" i="2"/>
  <c r="GZ62" i="2"/>
  <c r="GZ114" i="2"/>
  <c r="GZ166" i="2"/>
  <c r="GZ92" i="2"/>
  <c r="GZ16" i="2"/>
  <c r="GZ86" i="2"/>
  <c r="GZ149" i="2"/>
  <c r="GZ29" i="2"/>
  <c r="GZ110" i="2"/>
  <c r="GZ11" i="2"/>
  <c r="GZ154" i="2"/>
  <c r="GZ13" i="2"/>
  <c r="GZ84" i="2"/>
  <c r="GZ118" i="2"/>
  <c r="GZ51" i="2"/>
  <c r="GZ157" i="2"/>
  <c r="GZ105" i="2"/>
  <c r="GZ122" i="2"/>
  <c r="GZ39" i="2"/>
  <c r="GZ170" i="2"/>
  <c r="GZ146" i="2"/>
  <c r="GZ113" i="2"/>
  <c r="GZ120" i="2"/>
  <c r="GZ75" i="2"/>
  <c r="GZ132" i="2"/>
  <c r="GZ43" i="2"/>
  <c r="GZ121" i="2"/>
  <c r="GZ61" i="2"/>
  <c r="GZ78" i="2"/>
  <c r="GZ40" i="2"/>
  <c r="GZ160" i="2"/>
  <c r="GZ85" i="2"/>
  <c r="GZ73" i="2"/>
  <c r="GZ35" i="2"/>
  <c r="GZ182" i="2"/>
  <c r="GZ56" i="2"/>
  <c r="GZ124" i="2"/>
  <c r="GZ162" i="2"/>
  <c r="GZ194" i="2"/>
  <c r="GZ83" i="2"/>
  <c r="GZ125" i="2"/>
  <c r="GZ26" i="2"/>
  <c r="GZ72" i="2"/>
  <c r="GZ47" i="2"/>
  <c r="GZ55" i="2"/>
  <c r="GZ130" i="2"/>
  <c r="GZ34" i="2"/>
  <c r="GZ137" i="2"/>
  <c r="GZ161" i="2"/>
  <c r="GZ151" i="2"/>
  <c r="GZ183" i="2"/>
  <c r="GZ42" i="2"/>
  <c r="GZ200" i="2"/>
  <c r="GZ67" i="2"/>
  <c r="GZ65" i="2"/>
  <c r="GZ116" i="2"/>
  <c r="GZ185" i="2"/>
  <c r="GZ37" i="2"/>
  <c r="GZ202" i="2"/>
  <c r="GZ82" i="2"/>
  <c r="GZ63" i="2"/>
  <c r="GZ180" i="2"/>
  <c r="GZ49" i="2"/>
  <c r="GZ142" i="2"/>
  <c r="GZ58" i="2"/>
  <c r="GZ152" i="2"/>
  <c r="GZ3" i="2"/>
  <c r="C15" i="4" s="1"/>
  <c r="E15" i="4" s="1"/>
  <c r="F15" i="4" s="1"/>
  <c r="G15" i="4" s="1"/>
  <c r="L15" i="4" s="1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<sst xmlns="http://schemas.openxmlformats.org/spreadsheetml/2006/main" count="1179" uniqueCount="324">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</sst>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rgb="FF0432FF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14" borderId="1" xfId="0" applyFont="1" applyFill="1" applyBorder="1" applyAlignment="1" applyProtection="1">
      <alignment horizontal="center"/>
      <protection locked="0" hidden="1"/>
    </xf>
    <xf numFmtId="0" fontId="32" fillId="14" borderId="1" xfId="0" applyFont="1" applyFill="1" applyBorder="1" applyAlignment="1" applyProtection="1">
      <alignment horizontal="center"/>
      <protection locked="0"/>
    </xf>
    <xf numFmtId="0" fontId="33" fillId="14" borderId="1" xfId="0" applyFont="1" applyFill="1" applyBorder="1" applyAlignment="1" applyProtection="1">
      <alignment horizontal="center"/>
      <protection locked="0" hidden="1"/>
    </xf>
    <xf numFmtId="0" fontId="34" fillId="14" borderId="1" xfId="0" applyFont="1" applyFill="1" applyBorder="1" applyAlignment="1" applyProtection="1">
      <alignment horizontal="center"/>
      <protection locked="0" hidden="1"/>
    </xf>
    <xf numFmtId="0" fontId="34" fillId="14" borderId="1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2.8886447129994353</c:v>
                </c:pt>
                <c:pt idx="2">
                  <c:v>3.7362050846977084</c:v>
                </c:pt>
                <c:pt idx="3">
                  <c:v>4.8334386124156214</c:v>
                </c:pt>
                <c:pt idx="4">
                  <c:v>6.2541680081459177</c:v>
                </c:pt>
                <c:pt idx="5">
                  <c:v>8.0941194483482253</c:v>
                </c:pt>
                <c:pt idx="6">
                  <c:v>10.477442252241877</c:v>
                </c:pt>
                <c:pt idx="7">
                  <c:v>13.565174889647443</c:v>
                </c:pt>
                <c:pt idx="8">
                  <c:v>17.566239920652809</c:v>
                </c:pt>
                <c:pt idx="9">
                  <c:v>22.751725287440454</c:v>
                </c:pt>
                <c:pt idx="10">
                  <c:v>29.473436768935585</c:v>
                </c:pt>
                <c:pt idx="11">
                  <c:v>38.188002212689902</c:v>
                </c:pt>
                <c:pt idx="12">
                  <c:v>49.48819299854123</c:v>
                </c:pt>
                <c:pt idx="13">
                  <c:v>64.143628915492215</c:v>
                </c:pt>
                <c:pt idx="14">
                  <c:v>83.153684208211203</c:v>
                </c:pt>
                <c:pt idx="15">
                  <c:v>107.81626049851771</c:v>
                </c:pt>
                <c:pt idx="16">
                  <c:v>139.81719589791808</c:v>
                </c:pt>
                <c:pt idx="17">
                  <c:v>181.34651611518052</c:v>
                </c:pt>
                <c:pt idx="18">
                  <c:v>235.24960329991799</c:v>
                </c:pt>
                <c:pt idx="19">
                  <c:v>305.22379275187859</c:v>
                </c:pt>
                <c:pt idx="20">
                  <c:v>396.07407711953482</c:v>
                </c:pt>
                <c:pt idx="21">
                  <c:v>415.40447321133951</c:v>
                </c:pt>
                <c:pt idx="22">
                  <c:v>434.71547881631074</c:v>
                </c:pt>
                <c:pt idx="23">
                  <c:v>454.00807600607919</c:v>
                </c:pt>
                <c:pt idx="24">
                  <c:v>473.28315662550841</c:v>
                </c:pt>
                <c:pt idx="25">
                  <c:v>492.54153399430999</c:v>
                </c:pt>
                <c:pt idx="26">
                  <c:v>511.78395268369985</c:v>
                </c:pt>
                <c:pt idx="27">
                  <c:v>531.01109674664531</c:v>
                </c:pt>
                <c:pt idx="28">
                  <c:v>550.22359669454136</c:v>
                </c:pt>
                <c:pt idx="29">
                  <c:v>569.42203544921142</c:v>
                </c:pt>
                <c:pt idx="30">
                  <c:v>588.60695345087686</c:v>
                </c:pt>
                <c:pt idx="31">
                  <c:v>607.7788530659318</c:v>
                </c:pt>
                <c:pt idx="32">
                  <c:v>626.9382024099981</c:v>
                </c:pt>
                <c:pt idx="33">
                  <c:v>646.08543867967194</c:v>
                </c:pt>
                <c:pt idx="34">
                  <c:v>665.22097106907529</c:v>
                </c:pt>
                <c:pt idx="35">
                  <c:v>684.34518333364429</c:v>
                </c:pt>
                <c:pt idx="36">
                  <c:v>703.45843605267476</c:v>
                </c:pt>
                <c:pt idx="37">
                  <c:v>722.56106863340813</c:v>
                </c:pt>
                <c:pt idx="38">
                  <c:v>741.65340109236593</c:v>
                </c:pt>
                <c:pt idx="39">
                  <c:v>760.73573564390074</c:v>
                </c:pt>
                <c:pt idx="40">
                  <c:v>779.80835812123485</c:v>
                </c:pt>
                <c:pt idx="41">
                  <c:v>798.87153925139353</c:v>
                </c:pt>
                <c:pt idx="42">
                  <c:v>817.92553580225456</c:v>
                </c:pt>
                <c:pt idx="43">
                  <c:v>836.97059161727577</c:v>
                </c:pt>
                <c:pt idx="44">
                  <c:v>856.00693855125803</c:v>
                </c:pt>
                <c:pt idx="45">
                  <c:v>875.03479731863888</c:v>
                </c:pt>
                <c:pt idx="46">
                  <c:v>894.05437826425975</c:v>
                </c:pt>
                <c:pt idx="47">
                  <c:v>913.06588206521621</c:v>
                </c:pt>
                <c:pt idx="48">
                  <c:v>932.06950037129161</c:v>
                </c:pt>
                <c:pt idx="49">
                  <c:v>951.06541639051557</c:v>
                </c:pt>
                <c:pt idx="50">
                  <c:v>970.05380542557066</c:v>
                </c:pt>
                <c:pt idx="51">
                  <c:v>989.03483536607621</c:v>
                </c:pt>
                <c:pt idx="52">
                  <c:v>1008.0086671411683</c:v>
                </c:pt>
                <c:pt idx="53">
                  <c:v>1026.9754551362844</c:v>
                </c:pt>
                <c:pt idx="54">
                  <c:v>1045.9353475775999</c:v>
                </c:pt>
                <c:pt idx="55">
                  <c:v>1064.888486887186</c:v>
                </c:pt>
                <c:pt idx="56">
                  <c:v>1083.8350100116043</c:v>
                </c:pt>
                <c:pt idx="57">
                  <c:v>1102.7750487263675</c:v>
                </c:pt>
                <c:pt idx="58">
                  <c:v>1121.7087299184275</c:v>
                </c:pt>
                <c:pt idx="59">
                  <c:v>1140.6361758486341</c:v>
                </c:pt>
                <c:pt idx="60">
                  <c:v>1159.5575043958909</c:v>
                </c:pt>
                <c:pt idx="61">
                  <c:v>1178.4728292845739</c:v>
                </c:pt>
                <c:pt idx="62">
                  <c:v>1197.3822602966184</c:v>
                </c:pt>
                <c:pt idx="63">
                  <c:v>1216.2859034695302</c:v>
                </c:pt>
                <c:pt idx="64">
                  <c:v>1235.1838612814711</c:v>
                </c:pt>
                <c:pt idx="65">
                  <c:v>1254.0762328244452</c:v>
                </c:pt>
                <c:pt idx="66">
                  <c:v>1272.9631139665296</c:v>
                </c:pt>
                <c:pt idx="67">
                  <c:v>1291.8445975039897</c:v>
                </c:pt>
                <c:pt idx="68">
                  <c:v>1310.720773304057</c:v>
                </c:pt>
                <c:pt idx="69">
                  <c:v>1329.5917284390698</c:v>
                </c:pt>
                <c:pt idx="70">
                  <c:v>1348.457547312616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20.68925060740305</c:v>
                </c:pt>
                <c:pt idx="2">
                  <c:v>40.532910339539761</c:v>
                </c:pt>
                <c:pt idx="3">
                  <c:v>60.103486664972138</c:v>
                </c:pt>
                <c:pt idx="4">
                  <c:v>79.505728024562003</c:v>
                </c:pt>
                <c:pt idx="5">
                  <c:v>98.787109845588859</c:v>
                </c:pt>
                <c:pt idx="6">
                  <c:v>117.97471409392745</c:v>
                </c:pt>
                <c:pt idx="7">
                  <c:v>137.08599946583766</c:v>
                </c:pt>
                <c:pt idx="8">
                  <c:v>156.13312663253348</c:v>
                </c:pt>
                <c:pt idx="9">
                  <c:v>175.1250338420534</c:v>
                </c:pt>
                <c:pt idx="10">
                  <c:v>194.06855653987463</c:v>
                </c:pt>
                <c:pt idx="11">
                  <c:v>212.96908397258701</c:v>
                </c:pt>
                <c:pt idx="12">
                  <c:v>231.83096932204469</c:v>
                </c:pt>
                <c:pt idx="13">
                  <c:v>250.65779886699329</c:v>
                </c:pt>
                <c:pt idx="14">
                  <c:v>269.45257580887795</c:v>
                </c:pt>
                <c:pt idx="15">
                  <c:v>288.21785000957158</c:v>
                </c:pt>
                <c:pt idx="16">
                  <c:v>306.95581211503662</c:v>
                </c:pt>
                <c:pt idx="17">
                  <c:v>325.66836346352653</c:v>
                </c:pt>
                <c:pt idx="18">
                  <c:v>344.35716907020787</c:v>
                </c:pt>
                <c:pt idx="19">
                  <c:v>363.02369849986212</c:v>
                </c:pt>
                <c:pt idx="20">
                  <c:v>381.66925788933219</c:v>
                </c:pt>
                <c:pt idx="21">
                  <c:v>400.29501538347603</c:v>
                </c:pt>
                <c:pt idx="22">
                  <c:v>418.90202158890128</c:v>
                </c:pt>
                <c:pt idx="23">
                  <c:v>437.49122620371782</c:v>
                </c:pt>
                <c:pt idx="24">
                  <c:v>456.06349167355046</c:v>
                </c:pt>
                <c:pt idx="25">
                  <c:v>474.61960450741572</c:v>
                </c:pt>
                <c:pt idx="26">
                  <c:v>493.16028473209582</c:v>
                </c:pt>
                <c:pt idx="27">
                  <c:v>511.68619385107951</c:v>
                </c:pt>
                <c:pt idx="28">
                  <c:v>530.1979415912557</c:v>
                </c:pt>
                <c:pt idx="29">
                  <c:v>548.6960916587085</c:v>
                </c:pt>
                <c:pt idx="30">
                  <c:v>567.18116667830623</c:v>
                </c:pt>
                <c:pt idx="31">
                  <c:v>585.65365245617556</c:v>
                </c:pt>
                <c:pt idx="32">
                  <c:v>604.11400167673116</c:v>
                </c:pt>
                <c:pt idx="33">
                  <c:v>622.56263712459247</c:v>
                </c:pt>
                <c:pt idx="34">
                  <c:v>640.9999545049933</c:v>
                </c:pt>
                <c:pt idx="35">
                  <c:v>659.42632492305529</c:v>
                </c:pt>
                <c:pt idx="36">
                  <c:v>677.84209707175023</c:v>
                </c:pt>
                <c:pt idx="37">
                  <c:v>696.24759916992298</c:v>
                </c:pt>
                <c:pt idx="38">
                  <c:v>714.64314068490296</c:v>
                </c:pt>
                <c:pt idx="39">
                  <c:v>733.029013868692</c:v>
                </c:pt>
                <c:pt idx="40">
                  <c:v>751.40549513215626</c:v>
                </c:pt>
                <c:pt idx="41">
                  <c:v>769.77284627793495</c:v>
                </c:pt>
                <c:pt idx="42">
                  <c:v>788.13131560967543</c:v>
                </c:pt>
                <c:pt idx="43">
                  <c:v>806.48113893265247</c:v>
                </c:pt>
                <c:pt idx="44">
                  <c:v>824.82254045868456</c:v>
                </c:pt>
                <c:pt idx="45">
                  <c:v>843.15573362646353</c:v>
                </c:pt>
                <c:pt idx="46">
                  <c:v>861.48092184691404</c:v>
                </c:pt>
                <c:pt idx="47">
                  <c:v>879.79829918190705</c:v>
                </c:pt>
                <c:pt idx="48">
                  <c:v>898.10805096358263</c:v>
                </c:pt>
                <c:pt idx="49">
                  <c:v>916.41035436060474</c:v>
                </c:pt>
                <c:pt idx="50">
                  <c:v>934.70537889688819</c:v>
                </c:pt>
                <c:pt idx="51">
                  <c:v>388.09904038493755</c:v>
                </c:pt>
                <c:pt idx="52">
                  <c:v>428.48390119934561</c:v>
                </c:pt>
                <c:pt idx="53">
                  <c:v>468.78693996516705</c:v>
                </c:pt>
                <c:pt idx="54">
                  <c:v>509.01616805211188</c:v>
                </c:pt>
                <c:pt idx="55">
                  <c:v>549.17822830096645</c:v>
                </c:pt>
                <c:pt idx="56">
                  <c:v>589.27871382882415</c:v>
                </c:pt>
                <c:pt idx="57">
                  <c:v>629.3223954899463</c:v>
                </c:pt>
                <c:pt idx="58">
                  <c:v>669.31338842551565</c:v>
                </c:pt>
                <c:pt idx="59">
                  <c:v>709.25527674875718</c:v>
                </c:pt>
                <c:pt idx="60">
                  <c:v>749.15120869876102</c:v>
                </c:pt>
                <c:pt idx="61">
                  <c:v>164.26635319084741</c:v>
                </c:pt>
                <c:pt idx="62">
                  <c:v>235.18299859219016</c:v>
                </c:pt>
                <c:pt idx="63">
                  <c:v>305.60594055735447</c:v>
                </c:pt>
                <c:pt idx="64">
                  <c:v>375.66600180085089</c:v>
                </c:pt>
                <c:pt idx="65">
                  <c:v>445.44058659541105</c:v>
                </c:pt>
                <c:pt idx="66">
                  <c:v>514.98071385129731</c:v>
                </c:pt>
                <c:pt idx="67">
                  <c:v>584.32245802151135</c:v>
                </c:pt>
                <c:pt idx="68">
                  <c:v>653.49262440923462</c:v>
                </c:pt>
                <c:pt idx="69">
                  <c:v>722.51188222205883</c:v>
                </c:pt>
                <c:pt idx="70">
                  <c:v>791.3966338035649</c:v>
                </c:pt>
                <c:pt idx="71">
                  <c:v>159.16601418594166</c:v>
                </c:pt>
                <c:pt idx="72">
                  <c:v>235.18299859218999</c:v>
                </c:pt>
                <c:pt idx="73">
                  <c:v>310.63139100822804</c:v>
                </c:pt>
                <c:pt idx="74">
                  <c:v>385.67028561105167</c:v>
                </c:pt>
                <c:pt idx="75">
                  <c:v>460.39087303823061</c:v>
                </c:pt>
                <c:pt idx="76">
                  <c:v>534.85210929011976</c:v>
                </c:pt>
                <c:pt idx="77">
                  <c:v>609.09513868400245</c:v>
                </c:pt>
                <c:pt idx="78">
                  <c:v>683.15024477858469</c:v>
                </c:pt>
                <c:pt idx="79">
                  <c:v>757.04061094748533</c:v>
                </c:pt>
                <c:pt idx="80">
                  <c:v>830.78453059750052</c:v>
                </c:pt>
                <c:pt idx="81">
                  <c:v>158.43708090911863</c:v>
                </c:pt>
                <c:pt idx="82">
                  <c:v>238.07180341044295</c:v>
                </c:pt>
                <c:pt idx="83">
                  <c:v>317.09003744640114</c:v>
                </c:pt>
                <c:pt idx="84">
                  <c:v>395.66893283237977</c:v>
                </c:pt>
                <c:pt idx="85">
                  <c:v>473.90838604148911</c:v>
                </c:pt>
                <c:pt idx="86">
                  <c:v>551.87235812536119</c:v>
                </c:pt>
                <c:pt idx="87">
                  <c:v>629.60519770404619</c:v>
                </c:pt>
                <c:pt idx="88">
                  <c:v>707.139394967116</c:v>
                </c:pt>
                <c:pt idx="89">
                  <c:v>784.49973516123771</c:v>
                </c:pt>
                <c:pt idx="90">
                  <c:v>861.70572188704773</c:v>
                </c:pt>
                <c:pt idx="91">
                  <c:v>155.95810991243977</c:v>
                </c:pt>
                <c:pt idx="92">
                  <c:v>238.93828857153014</c:v>
                </c:pt>
                <c:pt idx="93">
                  <c:v>321.25072809136594</c:v>
                </c:pt>
                <c:pt idx="94">
                  <c:v>403.09294706842144</c:v>
                </c:pt>
                <c:pt idx="95">
                  <c:v>484.57429885995117</c:v>
                </c:pt>
                <c:pt idx="96">
                  <c:v>565.7640512353355</c:v>
                </c:pt>
                <c:pt idx="97">
                  <c:v>646.70989167237508</c:v>
                </c:pt>
                <c:pt idx="98">
                  <c:v>727.44657925980437</c:v>
                </c:pt>
                <c:pt idx="99">
                  <c:v>808.00052894123985</c:v>
                </c:pt>
                <c:pt idx="100">
                  <c:v>888.39246486152388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8.0347563681720615</c:v>
                </c:pt>
                <c:pt idx="2">
                  <c:v>15.712893075174582</c:v>
                </c:pt>
                <c:pt idx="3">
                  <c:v>23.275859532806511</c:v>
                </c:pt>
                <c:pt idx="4">
                  <c:v>30.767832369010307</c:v>
                </c:pt>
                <c:pt idx="5">
                  <c:v>38.208833879775106</c:v>
                </c:pt>
                <c:pt idx="6">
                  <c:v>45.610285618687335</c:v>
                </c:pt>
                <c:pt idx="7">
                  <c:v>52.979550619723362</c:v>
                </c:pt>
                <c:pt idx="8">
                  <c:v>60.3217575267401</c:v>
                </c:pt>
                <c:pt idx="9">
                  <c:v>67.640675958213976</c:v>
                </c:pt>
                <c:pt idx="10">
                  <c:v>74.939188696257972</c:v>
                </c:pt>
                <c:pt idx="11">
                  <c:v>82.219568602783184</c:v>
                </c:pt>
                <c:pt idx="12">
                  <c:v>89.483651589556459</c:v>
                </c:pt>
                <c:pt idx="13">
                  <c:v>96.732950134477633</c:v>
                </c:pt>
                <c:pt idx="14">
                  <c:v>103.96873080831166</c:v>
                </c:pt>
                <c:pt idx="15">
                  <c:v>111.19206899030382</c:v>
                </c:pt>
                <c:pt idx="16">
                  <c:v>118.40388856391083</c:v>
                </c:pt>
                <c:pt idx="17">
                  <c:v>125.60499139989965</c:v>
                </c:pt>
                <c:pt idx="18">
                  <c:v>132.79607970209247</c:v>
                </c:pt>
                <c:pt idx="19">
                  <c:v>139.97777324502763</c:v>
                </c:pt>
                <c:pt idx="20">
                  <c:v>147.15062287911286</c:v>
                </c:pt>
                <c:pt idx="21">
                  <c:v>154.31512125798903</c:v>
                </c:pt>
                <c:pt idx="22">
                  <c:v>161.47171146469259</c:v>
                </c:pt>
                <c:pt idx="23">
                  <c:v>168.62079402508999</c:v>
                </c:pt>
                <c:pt idx="24">
                  <c:v>175.76273266716774</c:v>
                </c:pt>
                <c:pt idx="25">
                  <c:v>182.89785909339261</c:v>
                </c:pt>
                <c:pt idx="26">
                  <c:v>190.02647696800031</c:v>
                </c:pt>
                <c:pt idx="27">
                  <c:v>197.14886527360179</c:v>
                </c:pt>
                <c:pt idx="28">
                  <c:v>204.26528115653423</c:v>
                </c:pt>
                <c:pt idx="29">
                  <c:v>211.37596235431226</c:v>
                </c:pt>
                <c:pt idx="30">
                  <c:v>218.48112927884972</c:v>
                </c:pt>
                <c:pt idx="31">
                  <c:v>225.58098681411772</c:v>
                </c:pt>
                <c:pt idx="32">
                  <c:v>232.6757258753297</c:v>
                </c:pt>
                <c:pt idx="33">
                  <c:v>239.76552476775382</c:v>
                </c:pt>
                <c:pt idx="34">
                  <c:v>246.85055037619284</c:v>
                </c:pt>
                <c:pt idx="35">
                  <c:v>253.9309592105935</c:v>
                </c:pt>
                <c:pt idx="36">
                  <c:v>261.00689832879777</c:v>
                </c:pt>
                <c:pt idx="37">
                  <c:v>208.06558084260018</c:v>
                </c:pt>
                <c:pt idx="38">
                  <c:v>225.31009500962546</c:v>
                </c:pt>
                <c:pt idx="39">
                  <c:v>242.52437576473483</c:v>
                </c:pt>
                <c:pt idx="40">
                  <c:v>259.71087111615606</c:v>
                </c:pt>
                <c:pt idx="41">
                  <c:v>276.87167846584765</c:v>
                </c:pt>
                <c:pt idx="42">
                  <c:v>294.00861390700948</c:v>
                </c:pt>
                <c:pt idx="43">
                  <c:v>230.50992525899244</c:v>
                </c:pt>
                <c:pt idx="44">
                  <c:v>246.74241713656806</c:v>
                </c:pt>
                <c:pt idx="45">
                  <c:v>262.95066686184316</c:v>
                </c:pt>
                <c:pt idx="46">
                  <c:v>279.13637908968929</c:v>
                </c:pt>
                <c:pt idx="47">
                  <c:v>295.30104458450182</c:v>
                </c:pt>
                <c:pt idx="48">
                  <c:v>311.44597754536488</c:v>
                </c:pt>
                <c:pt idx="49">
                  <c:v>247.06681362820646</c:v>
                </c:pt>
                <c:pt idx="50">
                  <c:v>262.30278018519817</c:v>
                </c:pt>
                <c:pt idx="51">
                  <c:v>277.51877807553302</c:v>
                </c:pt>
                <c:pt idx="52">
                  <c:v>292.71605638412353</c:v>
                </c:pt>
                <c:pt idx="53">
                  <c:v>307.89572387305174</c:v>
                </c:pt>
                <c:pt idx="54">
                  <c:v>323.05877103273156</c:v>
                </c:pt>
                <c:pt idx="55">
                  <c:v>277.76143169068007</c:v>
                </c:pt>
                <c:pt idx="56">
                  <c:v>292.55447774309101</c:v>
                </c:pt>
                <c:pt idx="57">
                  <c:v>307.33082720049566</c:v>
                </c:pt>
                <c:pt idx="58">
                  <c:v>322.09139590753102</c:v>
                </c:pt>
                <c:pt idx="59">
                  <c:v>336.83700890324593</c:v>
                </c:pt>
                <c:pt idx="60">
                  <c:v>351.56841308920235</c:v>
                </c:pt>
                <c:pt idx="61">
                  <c:v>366.28628766255997</c:v>
                </c:pt>
                <c:pt idx="62">
                  <c:v>380.99125278423691</c:v>
                </c:pt>
                <c:pt idx="63">
                  <c:v>321.60768425352512</c:v>
                </c:pt>
                <c:pt idx="64">
                  <c:v>337.56183059630445</c:v>
                </c:pt>
                <c:pt idx="65">
                  <c:v>353.49938310207608</c:v>
                </c:pt>
                <c:pt idx="66">
                  <c:v>369.42119511414558</c:v>
                </c:pt>
                <c:pt idx="67">
                  <c:v>385.32804042350341</c:v>
                </c:pt>
                <c:pt idx="68">
                  <c:v>401.22062373138334</c:v>
                </c:pt>
                <c:pt idx="69">
                  <c:v>417.09958936741742</c:v>
                </c:pt>
                <c:pt idx="70">
                  <c:v>432.96552861089231</c:v>
                </c:pt>
                <c:pt idx="71">
                  <c:v>345.29114635937071</c:v>
                </c:pt>
                <c:pt idx="72">
                  <c:v>359.7734465356848</c:v>
                </c:pt>
                <c:pt idx="73">
                  <c:v>374.24299819156408</c:v>
                </c:pt>
                <c:pt idx="74">
                  <c:v>388.70036362009404</c:v>
                </c:pt>
                <c:pt idx="75">
                  <c:v>403.14605987521986</c:v>
                </c:pt>
                <c:pt idx="76">
                  <c:v>417.58056393601959</c:v>
                </c:pt>
                <c:pt idx="77">
                  <c:v>432.00431711964893</c:v>
                </c:pt>
                <c:pt idx="78">
                  <c:v>446.4177288742074</c:v>
                </c:pt>
                <c:pt idx="79">
                  <c:v>377.99235259899916</c:v>
                </c:pt>
                <c:pt idx="80">
                  <c:v>390.41304605128545</c:v>
                </c:pt>
                <c:pt idx="81">
                  <c:v>402.82516769451541</c:v>
                </c:pt>
                <c:pt idx="82">
                  <c:v>415.22901889020221</c:v>
                </c:pt>
                <c:pt idx="83">
                  <c:v>427.62488152479727</c:v>
                </c:pt>
                <c:pt idx="84">
                  <c:v>440.01301980824041</c:v>
                </c:pt>
                <c:pt idx="85">
                  <c:v>452.39368185940026</c:v>
                </c:pt>
                <c:pt idx="86">
                  <c:v>464.76710110891577</c:v>
                </c:pt>
                <c:pt idx="87">
                  <c:v>477.13349754486808</c:v>
                </c:pt>
                <c:pt idx="88">
                  <c:v>413.92485656153281</c:v>
                </c:pt>
                <c:pt idx="89">
                  <c:v>425.65916330199121</c:v>
                </c:pt>
                <c:pt idx="90">
                  <c:v>437.38651290584789</c:v>
                </c:pt>
                <c:pt idx="91">
                  <c:v>449.107118215301</c:v>
                </c:pt>
                <c:pt idx="92">
                  <c:v>460.82118005626143</c:v>
                </c:pt>
                <c:pt idx="93">
                  <c:v>472.52888821143898</c:v>
                </c:pt>
                <c:pt idx="94">
                  <c:v>484.23042229196682</c:v>
                </c:pt>
                <c:pt idx="95">
                  <c:v>495.92595252039081</c:v>
                </c:pt>
                <c:pt idx="96">
                  <c:v>507.61564043595689</c:v>
                </c:pt>
                <c:pt idx="97">
                  <c:v>519.29963953155618</c:v>
                </c:pt>
                <c:pt idx="98">
                  <c:v>2.8617333882306215E-12</c:v>
                </c:pt>
                <c:pt idx="99">
                  <c:v>2.8617333882306215E-12</c:v>
                </c:pt>
                <c:pt idx="100">
                  <c:v>2.8617333882306215E-12</c:v>
                </c:pt>
                <c:pt idx="101">
                  <c:v>2.8617333882306215E-12</c:v>
                </c:pt>
                <c:pt idx="102">
                  <c:v>2.8617333882306215E-12</c:v>
                </c:pt>
                <c:pt idx="103">
                  <c:v>2.8617333882306215E-12</c:v>
                </c:pt>
                <c:pt idx="104">
                  <c:v>2.8617333882306215E-12</c:v>
                </c:pt>
                <c:pt idx="105">
                  <c:v>2.8617333882306215E-12</c:v>
                </c:pt>
                <c:pt idx="106">
                  <c:v>2.8617333882306215E-12</c:v>
                </c:pt>
                <c:pt idx="107">
                  <c:v>2.8617333882306215E-12</c:v>
                </c:pt>
                <c:pt idx="108">
                  <c:v>2.8617333882306215E-12</c:v>
                </c:pt>
                <c:pt idx="109">
                  <c:v>2.8617333882306215E-12</c:v>
                </c:pt>
                <c:pt idx="110">
                  <c:v>2.8617333882306215E-12</c:v>
                </c:pt>
                <c:pt idx="111">
                  <c:v>2.8617333882306215E-12</c:v>
                </c:pt>
                <c:pt idx="112">
                  <c:v>2.8617333882306215E-12</c:v>
                </c:pt>
                <c:pt idx="113">
                  <c:v>2.8617333882306215E-12</c:v>
                </c:pt>
                <c:pt idx="114">
                  <c:v>2.8617333882306215E-12</c:v>
                </c:pt>
                <c:pt idx="115">
                  <c:v>2.8617333882306215E-12</c:v>
                </c:pt>
                <c:pt idx="116">
                  <c:v>2.8617333882306215E-12</c:v>
                </c:pt>
                <c:pt idx="117">
                  <c:v>2.8617333882306215E-12</c:v>
                </c:pt>
                <c:pt idx="118">
                  <c:v>2.8617333882306215E-12</c:v>
                </c:pt>
                <c:pt idx="119">
                  <c:v>2.8617333882306215E-12</c:v>
                </c:pt>
                <c:pt idx="120">
                  <c:v>2.8617333882306215E-12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2.0304005289303682</c:v>
                </c:pt>
                <c:pt idx="2">
                  <c:v>2.8369156529056316</c:v>
                </c:pt>
                <c:pt idx="3">
                  <c:v>3.9651866962811888</c:v>
                </c:pt>
                <c:pt idx="4">
                  <c:v>5.5440995941261555</c:v>
                </c:pt>
                <c:pt idx="5">
                  <c:v>7.7543636012159496</c:v>
                </c:pt>
                <c:pt idx="6">
                  <c:v>10.849421516375481</c:v>
                </c:pt>
                <c:pt idx="7">
                  <c:v>15.184823973481235</c:v>
                </c:pt>
                <c:pt idx="8">
                  <c:v>21.259503869670677</c:v>
                </c:pt>
                <c:pt idx="9">
                  <c:v>29.773785583032616</c:v>
                </c:pt>
                <c:pt idx="10">
                  <c:v>41.710932827889991</c:v>
                </c:pt>
                <c:pt idx="11">
                  <c:v>58.451812108092277</c:v>
                </c:pt>
                <c:pt idx="12">
                  <c:v>81.936154629149854</c:v>
                </c:pt>
                <c:pt idx="13">
                  <c:v>114.88940187419416</c:v>
                </c:pt>
                <c:pt idx="14">
                  <c:v>161.14187260581406</c:v>
                </c:pt>
                <c:pt idx="15">
                  <c:v>226.07791378395936</c:v>
                </c:pt>
                <c:pt idx="16">
                  <c:v>223.66777003883416</c:v>
                </c:pt>
                <c:pt idx="17">
                  <c:v>254.95565122562834</c:v>
                </c:pt>
                <c:pt idx="18">
                  <c:v>286.15657784953424</c:v>
                </c:pt>
                <c:pt idx="19">
                  <c:v>317.28135996753446</c:v>
                </c:pt>
                <c:pt idx="20">
                  <c:v>348.33851163171676</c:v>
                </c:pt>
                <c:pt idx="21">
                  <c:v>325.41022659148729</c:v>
                </c:pt>
                <c:pt idx="22">
                  <c:v>356.21233858420231</c:v>
                </c:pt>
                <c:pt idx="23">
                  <c:v>386.95613821648527</c:v>
                </c:pt>
                <c:pt idx="24">
                  <c:v>417.64690431825039</c:v>
                </c:pt>
                <c:pt idx="25">
                  <c:v>448.28907700291916</c:v>
                </c:pt>
                <c:pt idx="26">
                  <c:v>415.74505644902729</c:v>
                </c:pt>
                <c:pt idx="27">
                  <c:v>444.96580033395315</c:v>
                </c:pt>
                <c:pt idx="28">
                  <c:v>474.14546138612178</c:v>
                </c:pt>
                <c:pt idx="29">
                  <c:v>503.28692006995601</c:v>
                </c:pt>
                <c:pt idx="30">
                  <c:v>532.39269641419367</c:v>
                </c:pt>
                <c:pt idx="31">
                  <c:v>494.52465130521909</c:v>
                </c:pt>
                <c:pt idx="32">
                  <c:v>521.74823465158681</c:v>
                </c:pt>
                <c:pt idx="33">
                  <c:v>548.94188791952308</c:v>
                </c:pt>
                <c:pt idx="34">
                  <c:v>576.10730038492648</c:v>
                </c:pt>
                <c:pt idx="35">
                  <c:v>603.24598921218421</c:v>
                </c:pt>
                <c:pt idx="36">
                  <c:v>564.06341469887707</c:v>
                </c:pt>
                <c:pt idx="37">
                  <c:v>589.79789025240336</c:v>
                </c:pt>
                <c:pt idx="38">
                  <c:v>615.5089949539182</c:v>
                </c:pt>
                <c:pt idx="39">
                  <c:v>641.19784112563684</c:v>
                </c:pt>
                <c:pt idx="40">
                  <c:v>666.86544480724035</c:v>
                </c:pt>
                <c:pt idx="41">
                  <c:v>626.11711964454878</c:v>
                </c:pt>
                <c:pt idx="42">
                  <c:v>650.14854272914738</c:v>
                </c:pt>
                <c:pt idx="43">
                  <c:v>674.16165715210161</c:v>
                </c:pt>
                <c:pt idx="44">
                  <c:v>698.15720599872554</c:v>
                </c:pt>
                <c:pt idx="45">
                  <c:v>722.1358771752989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2.2190492793459611</c:v>
                </c:pt>
                <c:pt idx="2">
                  <c:v>3.0482937535692103</c:v>
                </c:pt>
                <c:pt idx="3">
                  <c:v>4.1887417633090962</c:v>
                </c:pt>
                <c:pt idx="4">
                  <c:v>5.7576497681090046</c:v>
                </c:pt>
                <c:pt idx="5">
                  <c:v>7.9166185268507983</c:v>
                </c:pt>
                <c:pt idx="6">
                  <c:v>10.888420750176865</c:v>
                </c:pt>
                <c:pt idx="7">
                  <c:v>14.980234505522882</c:v>
                </c:pt>
                <c:pt idx="8">
                  <c:v>20.615727811275324</c:v>
                </c:pt>
                <c:pt idx="9">
                  <c:v>28.379375833853359</c:v>
                </c:pt>
                <c:pt idx="10">
                  <c:v>39.077687154299774</c:v>
                </c:pt>
                <c:pt idx="11">
                  <c:v>25.228103736500945</c:v>
                </c:pt>
                <c:pt idx="12">
                  <c:v>49.443086222755369</c:v>
                </c:pt>
                <c:pt idx="13">
                  <c:v>73.330881400685612</c:v>
                </c:pt>
                <c:pt idx="14">
                  <c:v>97.016990708955916</c:v>
                </c:pt>
                <c:pt idx="15">
                  <c:v>120.55829551377822</c:v>
                </c:pt>
                <c:pt idx="16">
                  <c:v>60.584149282923612</c:v>
                </c:pt>
                <c:pt idx="17">
                  <c:v>94.271023399528531</c:v>
                </c:pt>
                <c:pt idx="18">
                  <c:v>127.65219621702742</c:v>
                </c:pt>
                <c:pt idx="19">
                  <c:v>160.82023006441102</c:v>
                </c:pt>
                <c:pt idx="20">
                  <c:v>193.82559249840719</c:v>
                </c:pt>
                <c:pt idx="21">
                  <c:v>98.114832690532083</c:v>
                </c:pt>
                <c:pt idx="22">
                  <c:v>135.82563973256845</c:v>
                </c:pt>
                <c:pt idx="23">
                  <c:v>173.28198421740612</c:v>
                </c:pt>
                <c:pt idx="24">
                  <c:v>210.54707651810233</c:v>
                </c:pt>
                <c:pt idx="25">
                  <c:v>247.65965119723435</c:v>
                </c:pt>
                <c:pt idx="26">
                  <c:v>109.35076161926942</c:v>
                </c:pt>
                <c:pt idx="27">
                  <c:v>158.10818730907863</c:v>
                </c:pt>
                <c:pt idx="28">
                  <c:v>206.50447136588443</c:v>
                </c:pt>
                <c:pt idx="29">
                  <c:v>254.63707517082011</c:v>
                </c:pt>
                <c:pt idx="30">
                  <c:v>302.56306586704619</c:v>
                </c:pt>
                <c:pt idx="31">
                  <c:v>119.19293639396578</c:v>
                </c:pt>
                <c:pt idx="32">
                  <c:v>177.61148225294494</c:v>
                </c:pt>
                <c:pt idx="33">
                  <c:v>235.57269835021739</c:v>
                </c:pt>
                <c:pt idx="34">
                  <c:v>293.20635179632455</c:v>
                </c:pt>
                <c:pt idx="35">
                  <c:v>350.58619263421923</c:v>
                </c:pt>
                <c:pt idx="36">
                  <c:v>127.65219621702742</c:v>
                </c:pt>
                <c:pt idx="37">
                  <c:v>194.36550298334643</c:v>
                </c:pt>
                <c:pt idx="38">
                  <c:v>260.53766392680967</c:v>
                </c:pt>
                <c:pt idx="39">
                  <c:v>326.32735906394055</c:v>
                </c:pt>
                <c:pt idx="40">
                  <c:v>391.82293375011437</c:v>
                </c:pt>
                <c:pt idx="41">
                  <c:v>132.55772943973182</c:v>
                </c:pt>
                <c:pt idx="42">
                  <c:v>206.77403487300452</c:v>
                </c:pt>
                <c:pt idx="43">
                  <c:v>280.36338431358683</c:v>
                </c:pt>
                <c:pt idx="44">
                  <c:v>353.51602838820548</c:v>
                </c:pt>
                <c:pt idx="45">
                  <c:v>426.33554561113556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41.626202754370681</c:v>
                </c:pt>
                <c:pt idx="12">
                  <c:v>69.326490733698023</c:v>
                </c:pt>
                <c:pt idx="13">
                  <c:v>96.735619068640958</c:v>
                </c:pt>
                <c:pt idx="14">
                  <c:v>123.94959175109858</c:v>
                </c:pt>
                <c:pt idx="15">
                  <c:v>151.01770664748466</c:v>
                </c:pt>
                <c:pt idx="16">
                  <c:v>104.42846396112805</c:v>
                </c:pt>
                <c:pt idx="17">
                  <c:v>132.63945069450935</c:v>
                </c:pt>
                <c:pt idx="18">
                  <c:v>160.70499043716771</c:v>
                </c:pt>
                <c:pt idx="19">
                  <c:v>188.65416178910723</c:v>
                </c:pt>
                <c:pt idx="20">
                  <c:v>216.50666233809889</c:v>
                </c:pt>
                <c:pt idx="21">
                  <c:v>119.07686333668265</c:v>
                </c:pt>
                <c:pt idx="22">
                  <c:v>161.74207677915442</c:v>
                </c:pt>
                <c:pt idx="23">
                  <c:v>204.13870133189653</c:v>
                </c:pt>
                <c:pt idx="24">
                  <c:v>246.3307552255809</c:v>
                </c:pt>
                <c:pt idx="25">
                  <c:v>288.35830325418613</c:v>
                </c:pt>
                <c:pt idx="26">
                  <c:v>132.9867524746646</c:v>
                </c:pt>
                <c:pt idx="27">
                  <c:v>189.34297444965307</c:v>
                </c:pt>
                <c:pt idx="28">
                  <c:v>245.3037695473474</c:v>
                </c:pt>
                <c:pt idx="29">
                  <c:v>300.97288496089783</c:v>
                </c:pt>
                <c:pt idx="30">
                  <c:v>356.41204743833856</c:v>
                </c:pt>
                <c:pt idx="31">
                  <c:v>144.78239568482766</c:v>
                </c:pt>
                <c:pt idx="32">
                  <c:v>212.72933637095036</c:v>
                </c:pt>
                <c:pt idx="33">
                  <c:v>280.16930243047449</c:v>
                </c:pt>
                <c:pt idx="34">
                  <c:v>347.2428599879284</c:v>
                </c:pt>
                <c:pt idx="35">
                  <c:v>414.03102119238082</c:v>
                </c:pt>
                <c:pt idx="36">
                  <c:v>153.09476633217807</c:v>
                </c:pt>
                <c:pt idx="37">
                  <c:v>229.20125772816399</c:v>
                </c:pt>
                <c:pt idx="38">
                  <c:v>304.72087119484792</c:v>
                </c:pt>
                <c:pt idx="39">
                  <c:v>379.82129986564149</c:v>
                </c:pt>
                <c:pt idx="40">
                  <c:v>454.59743907080411</c:v>
                </c:pt>
                <c:pt idx="41">
                  <c:v>156.20910143162016</c:v>
                </c:pt>
                <c:pt idx="42">
                  <c:v>238.79723773455575</c:v>
                </c:pt>
                <c:pt idx="43">
                  <c:v>320.7236178929042</c:v>
                </c:pt>
                <c:pt idx="44">
                  <c:v>402.18336673633206</c:v>
                </c:pt>
                <c:pt idx="45">
                  <c:v>483.28473497109485</c:v>
                </c:pt>
                <c:pt idx="46">
                  <c:v>144.78239568482761</c:v>
                </c:pt>
                <c:pt idx="47">
                  <c:v>240.16736569344221</c:v>
                </c:pt>
                <c:pt idx="48">
                  <c:v>334.66900349925237</c:v>
                </c:pt>
                <c:pt idx="49">
                  <c:v>428.57672614990429</c:v>
                </c:pt>
                <c:pt idx="50">
                  <c:v>522.03984891229663</c:v>
                </c:pt>
                <c:pt idx="51">
                  <c:v>145.12896780882002</c:v>
                </c:pt>
                <c:pt idx="52">
                  <c:v>249.4111305052331</c:v>
                </c:pt>
                <c:pt idx="53">
                  <c:v>352.67708456218475</c:v>
                </c:pt>
                <c:pt idx="54">
                  <c:v>455.27286879211096</c:v>
                </c:pt>
                <c:pt idx="55">
                  <c:v>557.37188141896729</c:v>
                </c:pt>
                <c:pt idx="56">
                  <c:v>147.55442107509245</c:v>
                </c:pt>
                <c:pt idx="57">
                  <c:v>259.33097340507084</c:v>
                </c:pt>
                <c:pt idx="58">
                  <c:v>369.9865806579885</c:v>
                </c:pt>
                <c:pt idx="59">
                  <c:v>479.91168320756543</c:v>
                </c:pt>
                <c:pt idx="60">
                  <c:v>589.29847124546586</c:v>
                </c:pt>
                <c:pt idx="61">
                  <c:v>150.67146408356317</c:v>
                </c:pt>
                <c:pt idx="62">
                  <c:v>267.1923216592574</c:v>
                </c:pt>
                <c:pt idx="63">
                  <c:v>382.533344078033</c:v>
                </c:pt>
                <c:pt idx="64">
                  <c:v>497.10906132362226</c:v>
                </c:pt>
                <c:pt idx="65">
                  <c:v>611.12210311064791</c:v>
                </c:pt>
                <c:pt idx="66">
                  <c:v>152.74863657956149</c:v>
                </c:pt>
                <c:pt idx="67">
                  <c:v>272.99952502720004</c:v>
                </c:pt>
                <c:pt idx="68">
                  <c:v>392.02222835802314</c:v>
                </c:pt>
                <c:pt idx="69">
                  <c:v>510.25147150290451</c:v>
                </c:pt>
                <c:pt idx="70">
                  <c:v>627.89847925254321</c:v>
                </c:pt>
                <c:pt idx="71">
                  <c:v>1.3765621991510601E-12</c:v>
                </c:pt>
                <c:pt idx="72">
                  <c:v>1.3765621991510601E-12</c:v>
                </c:pt>
                <c:pt idx="73">
                  <c:v>1.3765621991510601E-12</c:v>
                </c:pt>
                <c:pt idx="74">
                  <c:v>1.3765621991510601E-12</c:v>
                </c:pt>
                <c:pt idx="75">
                  <c:v>1.3765621991510601E-12</c:v>
                </c:pt>
                <c:pt idx="76">
                  <c:v>1.3765621991510601E-12</c:v>
                </c:pt>
                <c:pt idx="77">
                  <c:v>1.3765621991510601E-12</c:v>
                </c:pt>
                <c:pt idx="78">
                  <c:v>1.3765621991510601E-12</c:v>
                </c:pt>
                <c:pt idx="79">
                  <c:v>1.3765621991510601E-12</c:v>
                </c:pt>
                <c:pt idx="80">
                  <c:v>1.3765621991510601E-12</c:v>
                </c:pt>
                <c:pt idx="81">
                  <c:v>1.3765621991510601E-12</c:v>
                </c:pt>
                <c:pt idx="82">
                  <c:v>1.3765621991510601E-12</c:v>
                </c:pt>
                <c:pt idx="83">
                  <c:v>1.3765621991510601E-12</c:v>
                </c:pt>
                <c:pt idx="84">
                  <c:v>1.3765621991510601E-12</c:v>
                </c:pt>
                <c:pt idx="85">
                  <c:v>1.3765621991510601E-12</c:v>
                </c:pt>
                <c:pt idx="86">
                  <c:v>1.3765621991510601E-12</c:v>
                </c:pt>
                <c:pt idx="87">
                  <c:v>1.3765621991510601E-12</c:v>
                </c:pt>
                <c:pt idx="88">
                  <c:v>1.3765621991510601E-12</c:v>
                </c:pt>
                <c:pt idx="89">
                  <c:v>1.3765621991510601E-12</c:v>
                </c:pt>
                <c:pt idx="90">
                  <c:v>1.3765621991510601E-12</c:v>
                </c:pt>
                <c:pt idx="91">
                  <c:v>1.3765621991510601E-12</c:v>
                </c:pt>
                <c:pt idx="92">
                  <c:v>1.3765621991510601E-12</c:v>
                </c:pt>
                <c:pt idx="93">
                  <c:v>1.3765621991510601E-12</c:v>
                </c:pt>
                <c:pt idx="94">
                  <c:v>1.3765621991510601E-12</c:v>
                </c:pt>
                <c:pt idx="95">
                  <c:v>1.3765621991510601E-12</c:v>
                </c:pt>
                <c:pt idx="96">
                  <c:v>1.3765621991510601E-12</c:v>
                </c:pt>
                <c:pt idx="97">
                  <c:v>1.3765621991510601E-12</c:v>
                </c:pt>
                <c:pt idx="98">
                  <c:v>1.3765621991510601E-12</c:v>
                </c:pt>
                <c:pt idx="99">
                  <c:v>1.3765621991510601E-12</c:v>
                </c:pt>
                <c:pt idx="100">
                  <c:v>1.3765621991510601E-12</c:v>
                </c:pt>
                <c:pt idx="101">
                  <c:v>1.3765621991510601E-12</c:v>
                </c:pt>
                <c:pt idx="102">
                  <c:v>1.3765621991510601E-12</c:v>
                </c:pt>
                <c:pt idx="103">
                  <c:v>1.3765621991510601E-12</c:v>
                </c:pt>
                <c:pt idx="104">
                  <c:v>1.3765621991510601E-12</c:v>
                </c:pt>
                <c:pt idx="105">
                  <c:v>1.3765621991510601E-12</c:v>
                </c:pt>
                <c:pt idx="106">
                  <c:v>1.3765621991510601E-12</c:v>
                </c:pt>
                <c:pt idx="107">
                  <c:v>1.3765621991510601E-12</c:v>
                </c:pt>
                <c:pt idx="108">
                  <c:v>1.3765621991510601E-12</c:v>
                </c:pt>
                <c:pt idx="109">
                  <c:v>1.3765621991510601E-12</c:v>
                </c:pt>
                <c:pt idx="110">
                  <c:v>1.3765621991510601E-12</c:v>
                </c:pt>
                <c:pt idx="111">
                  <c:v>1.3765621991510601E-12</c:v>
                </c:pt>
                <c:pt idx="112">
                  <c:v>1.3765621991510601E-12</c:v>
                </c:pt>
                <c:pt idx="113">
                  <c:v>1.3765621991510601E-12</c:v>
                </c:pt>
                <c:pt idx="114">
                  <c:v>1.3765621991510601E-12</c:v>
                </c:pt>
                <c:pt idx="115">
                  <c:v>1.3765621991510601E-12</c:v>
                </c:pt>
                <c:pt idx="116">
                  <c:v>1.3765621991510601E-12</c:v>
                </c:pt>
                <c:pt idx="117">
                  <c:v>1.3765621991510601E-12</c:v>
                </c:pt>
                <c:pt idx="118">
                  <c:v>1.3765621991510601E-12</c:v>
                </c:pt>
                <c:pt idx="119">
                  <c:v>1.3765621991510601E-12</c:v>
                </c:pt>
                <c:pt idx="120">
                  <c:v>1.3765621991510601E-12</c:v>
                </c:pt>
                <c:pt idx="121">
                  <c:v>1.3765621991510601E-12</c:v>
                </c:pt>
                <c:pt idx="122">
                  <c:v>1.3765621991510601E-12</c:v>
                </c:pt>
                <c:pt idx="123">
                  <c:v>1.3765621991510601E-12</c:v>
                </c:pt>
                <c:pt idx="124">
                  <c:v>1.3765621991510601E-12</c:v>
                </c:pt>
                <c:pt idx="125">
                  <c:v>1.3765621991510601E-12</c:v>
                </c:pt>
                <c:pt idx="126">
                  <c:v>1.3765621991510601E-12</c:v>
                </c:pt>
                <c:pt idx="127">
                  <c:v>1.3765621991510601E-12</c:v>
                </c:pt>
                <c:pt idx="128">
                  <c:v>1.3765621991510601E-12</c:v>
                </c:pt>
                <c:pt idx="129">
                  <c:v>1.3765621991510601E-12</c:v>
                </c:pt>
                <c:pt idx="130">
                  <c:v>1.3765621991510601E-12</c:v>
                </c:pt>
                <c:pt idx="131">
                  <c:v>1.3765621991510601E-12</c:v>
                </c:pt>
                <c:pt idx="132">
                  <c:v>1.3765621991510601E-12</c:v>
                </c:pt>
                <c:pt idx="133">
                  <c:v>1.3765621991510601E-12</c:v>
                </c:pt>
                <c:pt idx="134">
                  <c:v>1.3765621991510601E-12</c:v>
                </c:pt>
                <c:pt idx="135">
                  <c:v>1.3765621991510601E-12</c:v>
                </c:pt>
                <c:pt idx="136">
                  <c:v>1.3765621991510601E-12</c:v>
                </c:pt>
                <c:pt idx="137">
                  <c:v>1.3765621991510601E-12</c:v>
                </c:pt>
                <c:pt idx="138">
                  <c:v>1.3765621991510601E-12</c:v>
                </c:pt>
                <c:pt idx="139">
                  <c:v>1.3765621991510601E-12</c:v>
                </c:pt>
                <c:pt idx="140">
                  <c:v>1.3765621991510601E-12</c:v>
                </c:pt>
                <c:pt idx="141">
                  <c:v>1.3765621991510601E-12</c:v>
                </c:pt>
                <c:pt idx="142">
                  <c:v>1.3765621991510601E-12</c:v>
                </c:pt>
                <c:pt idx="143">
                  <c:v>1.3765621991510601E-12</c:v>
                </c:pt>
                <c:pt idx="144">
                  <c:v>1.3765621991510601E-12</c:v>
                </c:pt>
                <c:pt idx="145">
                  <c:v>1.3765621991510601E-12</c:v>
                </c:pt>
                <c:pt idx="146">
                  <c:v>1.3765621991510601E-12</c:v>
                </c:pt>
                <c:pt idx="147">
                  <c:v>1.3765621991510601E-12</c:v>
                </c:pt>
                <c:pt idx="148">
                  <c:v>1.3765621991510601E-12</c:v>
                </c:pt>
                <c:pt idx="149">
                  <c:v>1.3765621991510601E-12</c:v>
                </c:pt>
                <c:pt idx="150">
                  <c:v>1.3765621991510601E-12</c:v>
                </c:pt>
                <c:pt idx="151">
                  <c:v>1.3765621991510601E-12</c:v>
                </c:pt>
                <c:pt idx="152">
                  <c:v>1.3765621991510601E-12</c:v>
                </c:pt>
                <c:pt idx="153">
                  <c:v>1.3765621991510601E-12</c:v>
                </c:pt>
                <c:pt idx="154">
                  <c:v>1.3765621991510601E-12</c:v>
                </c:pt>
                <c:pt idx="155">
                  <c:v>1.3765621991510601E-12</c:v>
                </c:pt>
                <c:pt idx="156">
                  <c:v>1.3765621991510601E-12</c:v>
                </c:pt>
                <c:pt idx="157">
                  <c:v>1.3765621991510601E-12</c:v>
                </c:pt>
                <c:pt idx="158">
                  <c:v>1.3765621991510601E-12</c:v>
                </c:pt>
                <c:pt idx="159">
                  <c:v>1.3765621991510601E-12</c:v>
                </c:pt>
                <c:pt idx="160">
                  <c:v>1.3765621991510601E-12</c:v>
                </c:pt>
                <c:pt idx="161">
                  <c:v>1.3765621991510601E-12</c:v>
                </c:pt>
                <c:pt idx="162">
                  <c:v>1.3765621991510601E-12</c:v>
                </c:pt>
                <c:pt idx="163">
                  <c:v>1.3765621991510601E-12</c:v>
                </c:pt>
                <c:pt idx="164">
                  <c:v>1.3765621991510601E-12</c:v>
                </c:pt>
                <c:pt idx="165">
                  <c:v>1.3765621991510601E-12</c:v>
                </c:pt>
                <c:pt idx="166">
                  <c:v>1.3765621991510601E-12</c:v>
                </c:pt>
                <c:pt idx="167">
                  <c:v>1.3765621991510601E-12</c:v>
                </c:pt>
                <c:pt idx="168">
                  <c:v>1.3765621991510601E-12</c:v>
                </c:pt>
                <c:pt idx="169">
                  <c:v>1.3765621991510601E-12</c:v>
                </c:pt>
                <c:pt idx="170">
                  <c:v>1.3765621991510601E-12</c:v>
                </c:pt>
                <c:pt idx="171">
                  <c:v>1.3765621991510601E-12</c:v>
                </c:pt>
                <c:pt idx="172">
                  <c:v>1.3765621991510601E-12</c:v>
                </c:pt>
                <c:pt idx="173">
                  <c:v>1.3765621991510601E-12</c:v>
                </c:pt>
                <c:pt idx="174">
                  <c:v>1.3765621991510601E-12</c:v>
                </c:pt>
                <c:pt idx="175">
                  <c:v>1.3765621991510601E-12</c:v>
                </c:pt>
                <c:pt idx="176">
                  <c:v>1.3765621991510601E-12</c:v>
                </c:pt>
                <c:pt idx="177">
                  <c:v>1.3765621991510601E-12</c:v>
                </c:pt>
                <c:pt idx="178">
                  <c:v>1.3765621991510601E-12</c:v>
                </c:pt>
                <c:pt idx="179">
                  <c:v>1.3765621991510601E-12</c:v>
                </c:pt>
                <c:pt idx="180">
                  <c:v>1.3765621991510601E-12</c:v>
                </c:pt>
                <c:pt idx="181">
                  <c:v>1.3765621991510601E-12</c:v>
                </c:pt>
                <c:pt idx="182">
                  <c:v>1.3765621991510601E-12</c:v>
                </c:pt>
                <c:pt idx="183">
                  <c:v>1.3765621991510601E-12</c:v>
                </c:pt>
                <c:pt idx="184">
                  <c:v>1.3765621991510601E-12</c:v>
                </c:pt>
                <c:pt idx="185">
                  <c:v>1.3765621991510601E-12</c:v>
                </c:pt>
                <c:pt idx="186">
                  <c:v>1.3765621991510601E-12</c:v>
                </c:pt>
                <c:pt idx="187">
                  <c:v>1.3765621991510601E-12</c:v>
                </c:pt>
                <c:pt idx="188">
                  <c:v>1.3765621991510601E-12</c:v>
                </c:pt>
                <c:pt idx="189">
                  <c:v>1.3765621991510601E-12</c:v>
                </c:pt>
                <c:pt idx="190">
                  <c:v>1.3765621991510601E-12</c:v>
                </c:pt>
                <c:pt idx="191">
                  <c:v>1.3765621991510601E-12</c:v>
                </c:pt>
                <c:pt idx="192">
                  <c:v>1.3765621991510601E-12</c:v>
                </c:pt>
                <c:pt idx="193">
                  <c:v>1.3765621991510601E-12</c:v>
                </c:pt>
                <c:pt idx="194">
                  <c:v>1.3765621991510601E-12</c:v>
                </c:pt>
                <c:pt idx="195">
                  <c:v>1.3765621991510601E-12</c:v>
                </c:pt>
                <c:pt idx="196">
                  <c:v>1.3765621991510601E-12</c:v>
                </c:pt>
                <c:pt idx="197">
                  <c:v>1.3765621991510601E-12</c:v>
                </c:pt>
                <c:pt idx="198">
                  <c:v>1.3765621991510601E-12</c:v>
                </c:pt>
                <c:pt idx="199">
                  <c:v>1.3765621991510601E-12</c:v>
                </c:pt>
                <c:pt idx="200">
                  <c:v>1.3765621991510601E-12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2.9802985076026349</c:v>
                </c:pt>
                <c:pt idx="2">
                  <c:v>4.709798594441124</c:v>
                </c:pt>
                <c:pt idx="3">
                  <c:v>7.447712474780225</c:v>
                </c:pt>
                <c:pt idx="4">
                  <c:v>11.784609823900155</c:v>
                </c:pt>
                <c:pt idx="5">
                  <c:v>18.658331575743503</c:v>
                </c:pt>
                <c:pt idx="6">
                  <c:v>29.558955733108835</c:v>
                </c:pt>
                <c:pt idx="7">
                  <c:v>46.855146862092077</c:v>
                </c:pt>
                <c:pt idx="8">
                  <c:v>74.31399365006915</c:v>
                </c:pt>
                <c:pt idx="9">
                  <c:v>117.92938744592196</c:v>
                </c:pt>
                <c:pt idx="10">
                  <c:v>187.24258760716552</c:v>
                </c:pt>
                <c:pt idx="11">
                  <c:v>61.750664311120254</c:v>
                </c:pt>
                <c:pt idx="12">
                  <c:v>121.2135337586074</c:v>
                </c:pt>
                <c:pt idx="13">
                  <c:v>179.93756030525932</c:v>
                </c:pt>
                <c:pt idx="14">
                  <c:v>238.2061468968584</c:v>
                </c:pt>
                <c:pt idx="15">
                  <c:v>296.14774103899617</c:v>
                </c:pt>
                <c:pt idx="16">
                  <c:v>123.45843862619604</c:v>
                </c:pt>
                <c:pt idx="17">
                  <c:v>242.62509103866606</c:v>
                </c:pt>
                <c:pt idx="18">
                  <c:v>360.4057119382939</c:v>
                </c:pt>
                <c:pt idx="19">
                  <c:v>176.52088767579457</c:v>
                </c:pt>
                <c:pt idx="20">
                  <c:v>199.13883063239675</c:v>
                </c:pt>
                <c:pt idx="21">
                  <c:v>221.69717537251097</c:v>
                </c:pt>
                <c:pt idx="22">
                  <c:v>244.20283975997827</c:v>
                </c:pt>
                <c:pt idx="23">
                  <c:v>114.15141826894457</c:v>
                </c:pt>
                <c:pt idx="24">
                  <c:v>138.5066323428041</c:v>
                </c:pt>
                <c:pt idx="25">
                  <c:v>162.75867523637226</c:v>
                </c:pt>
                <c:pt idx="26">
                  <c:v>186.92511812354098</c:v>
                </c:pt>
                <c:pt idx="27">
                  <c:v>211.01859640956005</c:v>
                </c:pt>
                <c:pt idx="28">
                  <c:v>83.602268559626637</c:v>
                </c:pt>
                <c:pt idx="29">
                  <c:v>103.37686450281193</c:v>
                </c:pt>
                <c:pt idx="30">
                  <c:v>123.05763612437454</c:v>
                </c:pt>
                <c:pt idx="31">
                  <c:v>142.66175528595952</c:v>
                </c:pt>
                <c:pt idx="32">
                  <c:v>162.20125909090982</c:v>
                </c:pt>
                <c:pt idx="33">
                  <c:v>181.68503561788705</c:v>
                </c:pt>
                <c:pt idx="34">
                  <c:v>201.11990558139425</c:v>
                </c:pt>
                <c:pt idx="35">
                  <c:v>220.51126127527394</c:v>
                </c:pt>
                <c:pt idx="36">
                  <c:v>57.178420569613913</c:v>
                </c:pt>
                <c:pt idx="37">
                  <c:v>112.22355692777835</c:v>
                </c:pt>
                <c:pt idx="38">
                  <c:v>166.57974956981329</c:v>
                </c:pt>
                <c:pt idx="39">
                  <c:v>220.51126127527394</c:v>
                </c:pt>
                <c:pt idx="40">
                  <c:v>274.13786459896164</c:v>
                </c:pt>
                <c:pt idx="41">
                  <c:v>70.219162934807017</c:v>
                </c:pt>
                <c:pt idx="42">
                  <c:v>137.86711899238378</c:v>
                </c:pt>
                <c:pt idx="43">
                  <c:v>204.68470429512658</c:v>
                </c:pt>
                <c:pt idx="44">
                  <c:v>270.99042974399345</c:v>
                </c:pt>
                <c:pt idx="45">
                  <c:v>336.92865492077652</c:v>
                </c:pt>
                <c:pt idx="46">
                  <c:v>84.81608009401684</c:v>
                </c:pt>
                <c:pt idx="47">
                  <c:v>166.57974956981329</c:v>
                </c:pt>
                <c:pt idx="48">
                  <c:v>247.35764363735257</c:v>
                </c:pt>
                <c:pt idx="49">
                  <c:v>327.52788280677868</c:v>
                </c:pt>
                <c:pt idx="50">
                  <c:v>407.26184368889875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2.6650117287285462</c:v>
                </c:pt>
                <c:pt idx="2">
                  <c:v>3.2354654067477706</c:v>
                </c:pt>
                <c:pt idx="3">
                  <c:v>3.9284869234853752</c:v>
                </c:pt>
                <c:pt idx="4">
                  <c:v>4.770504601663986</c:v>
                </c:pt>
                <c:pt idx="5">
                  <c:v>5.7936641476729482</c:v>
                </c:pt>
                <c:pt idx="6">
                  <c:v>7.0370693192090075</c:v>
                </c:pt>
                <c:pt idx="7">
                  <c:v>8.5482925779705372</c:v>
                </c:pt>
                <c:pt idx="8">
                  <c:v>10.385214631800892</c:v>
                </c:pt>
                <c:pt idx="9">
                  <c:v>12.618264652585031</c:v>
                </c:pt>
                <c:pt idx="10">
                  <c:v>15.33314866131672</c:v>
                </c:pt>
                <c:pt idx="11">
                  <c:v>18.634172720004408</c:v>
                </c:pt>
                <c:pt idx="12">
                  <c:v>22.64829091777025</c:v>
                </c:pt>
                <c:pt idx="13">
                  <c:v>27.530036608323286</c:v>
                </c:pt>
                <c:pt idx="14">
                  <c:v>33.46753007373961</c:v>
                </c:pt>
                <c:pt idx="15">
                  <c:v>40.689798128782996</c:v>
                </c:pt>
                <c:pt idx="16">
                  <c:v>49.475692816958805</c:v>
                </c:pt>
                <c:pt idx="17">
                  <c:v>60.164759329410423</c:v>
                </c:pt>
                <c:pt idx="18">
                  <c:v>73.170480096564106</c:v>
                </c:pt>
                <c:pt idx="19">
                  <c:v>88.99641570607578</c:v>
                </c:pt>
                <c:pt idx="20">
                  <c:v>108.25587760652975</c:v>
                </c:pt>
                <c:pt idx="21">
                  <c:v>33.973758935523314</c:v>
                </c:pt>
                <c:pt idx="22">
                  <c:v>66.618969350432153</c:v>
                </c:pt>
                <c:pt idx="23">
                  <c:v>98.83512528214645</c:v>
                </c:pt>
                <c:pt idx="24">
                  <c:v>130.78680204742307</c:v>
                </c:pt>
                <c:pt idx="25">
                  <c:v>162.54859057495182</c:v>
                </c:pt>
                <c:pt idx="26">
                  <c:v>83.714198782786369</c:v>
                </c:pt>
                <c:pt idx="27">
                  <c:v>115.77785737197435</c:v>
                </c:pt>
                <c:pt idx="28">
                  <c:v>147.62234714684953</c:v>
                </c:pt>
                <c:pt idx="29">
                  <c:v>179.3020163432858</c:v>
                </c:pt>
                <c:pt idx="30">
                  <c:v>210.85019924163907</c:v>
                </c:pt>
                <c:pt idx="31">
                  <c:v>108.25587760652975</c:v>
                </c:pt>
                <c:pt idx="32">
                  <c:v>147.62234714684953</c:v>
                </c:pt>
                <c:pt idx="33">
                  <c:v>186.73598138519102</c:v>
                </c:pt>
                <c:pt idx="34">
                  <c:v>225.65758245465824</c:v>
                </c:pt>
                <c:pt idx="35">
                  <c:v>264.42503341914329</c:v>
                </c:pt>
                <c:pt idx="36">
                  <c:v>120.28525398896562</c:v>
                </c:pt>
                <c:pt idx="37">
                  <c:v>171.48856021442305</c:v>
                </c:pt>
                <c:pt idx="38">
                  <c:v>222.32792135889142</c:v>
                </c:pt>
                <c:pt idx="39">
                  <c:v>272.89907818229159</c:v>
                </c:pt>
                <c:pt idx="40">
                  <c:v>323.25890960508144</c:v>
                </c:pt>
                <c:pt idx="41">
                  <c:v>133.03441963626241</c:v>
                </c:pt>
                <c:pt idx="42">
                  <c:v>196.76093650024404</c:v>
                </c:pt>
                <c:pt idx="43">
                  <c:v>260.00137265549108</c:v>
                </c:pt>
                <c:pt idx="44">
                  <c:v>322.89198679446849</c:v>
                </c:pt>
                <c:pt idx="45">
                  <c:v>385.51079352962597</c:v>
                </c:pt>
                <c:pt idx="46">
                  <c:v>145.38039008614575</c:v>
                </c:pt>
                <c:pt idx="47">
                  <c:v>221.21778087565349</c:v>
                </c:pt>
                <c:pt idx="48">
                  <c:v>296.44852808654895</c:v>
                </c:pt>
                <c:pt idx="49">
                  <c:v>371.25031552363703</c:v>
                </c:pt>
                <c:pt idx="50">
                  <c:v>445.7221407692885</c:v>
                </c:pt>
                <c:pt idx="51">
                  <c:v>157.32827153280778</c:v>
                </c:pt>
                <c:pt idx="52">
                  <c:v>244.87415180265506</c:v>
                </c:pt>
                <c:pt idx="53">
                  <c:v>331.69561608332845</c:v>
                </c:pt>
                <c:pt idx="54">
                  <c:v>418.01177236106929</c:v>
                </c:pt>
                <c:pt idx="55">
                  <c:v>503.94216982642166</c:v>
                </c:pt>
                <c:pt idx="56">
                  <c:v>168.50982140403696</c:v>
                </c:pt>
                <c:pt idx="57">
                  <c:v>267.00472939023297</c:v>
                </c:pt>
                <c:pt idx="58">
                  <c:v>364.66455417837943</c:v>
                </c:pt>
                <c:pt idx="59">
                  <c:v>461.74796605237293</c:v>
                </c:pt>
                <c:pt idx="60">
                  <c:v>558.3938494856618</c:v>
                </c:pt>
                <c:pt idx="61">
                  <c:v>178.5582276070445</c:v>
                </c:pt>
                <c:pt idx="62">
                  <c:v>286.88681219506606</c:v>
                </c:pt>
                <c:pt idx="63">
                  <c:v>394.28074727616109</c:v>
                </c:pt>
                <c:pt idx="64">
                  <c:v>501.03470537275621</c:v>
                </c:pt>
                <c:pt idx="65">
                  <c:v>607.30497576158257</c:v>
                </c:pt>
                <c:pt idx="66">
                  <c:v>187.47899288919916</c:v>
                </c:pt>
                <c:pt idx="67">
                  <c:v>304.5338303560215</c:v>
                </c:pt>
                <c:pt idx="68">
                  <c:v>420.5656568271117</c:v>
                </c:pt>
                <c:pt idx="69">
                  <c:v>535.90135700397673</c:v>
                </c:pt>
                <c:pt idx="70">
                  <c:v>650.71266910611257</c:v>
                </c:pt>
                <c:pt idx="71">
                  <c:v>194.90537859033716</c:v>
                </c:pt>
                <c:pt idx="72">
                  <c:v>319.22224947640967</c:v>
                </c:pt>
                <c:pt idx="73">
                  <c:v>442.44262584408847</c:v>
                </c:pt>
                <c:pt idx="74">
                  <c:v>564.92033796544035</c:v>
                </c:pt>
                <c:pt idx="75">
                  <c:v>686.83997210216728</c:v>
                </c:pt>
                <c:pt idx="76">
                  <c:v>201.58349592830677</c:v>
                </c:pt>
                <c:pt idx="77">
                  <c:v>332.42901715637169</c:v>
                </c:pt>
                <c:pt idx="78">
                  <c:v>462.11204968448237</c:v>
                </c:pt>
                <c:pt idx="79">
                  <c:v>591.01072833712908</c:v>
                </c:pt>
                <c:pt idx="80">
                  <c:v>719.32117747825214</c:v>
                </c:pt>
                <c:pt idx="81">
                  <c:v>205.66203291686315</c:v>
                </c:pt>
                <c:pt idx="82">
                  <c:v>342.32647548510022</c:v>
                </c:pt>
                <c:pt idx="83">
                  <c:v>477.76192671919557</c:v>
                </c:pt>
                <c:pt idx="84">
                  <c:v>612.37243364155711</c:v>
                </c:pt>
                <c:pt idx="85">
                  <c:v>746.36592595312356</c:v>
                </c:pt>
                <c:pt idx="86">
                  <c:v>209.7386999787991</c:v>
                </c:pt>
                <c:pt idx="87">
                  <c:v>352.21764440936846</c:v>
                </c:pt>
                <c:pt idx="88">
                  <c:v>493.4009055727409</c:v>
                </c:pt>
                <c:pt idx="89">
                  <c:v>633.71868693169097</c:v>
                </c:pt>
                <c:pt idx="90">
                  <c:v>773.39075429462207</c:v>
                </c:pt>
                <c:pt idx="91">
                  <c:v>211.59112360873894</c:v>
                </c:pt>
                <c:pt idx="92">
                  <c:v>359.54050052427556</c:v>
                </c:pt>
                <c:pt idx="93">
                  <c:v>506.12253517605359</c:v>
                </c:pt>
                <c:pt idx="94">
                  <c:v>651.79707790279895</c:v>
                </c:pt>
                <c:pt idx="95">
                  <c:v>796.79677343409367</c:v>
                </c:pt>
                <c:pt idx="96">
                  <c:v>214.55422513737958</c:v>
                </c:pt>
                <c:pt idx="97">
                  <c:v>367.22598961006497</c:v>
                </c:pt>
                <c:pt idx="98">
                  <c:v>518.47421557137034</c:v>
                </c:pt>
                <c:pt idx="99">
                  <c:v>668.78133765133055</c:v>
                </c:pt>
                <c:pt idx="100">
                  <c:v>818.38999521515746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2.9446127683628607</c:v>
                </c:pt>
                <c:pt idx="2">
                  <c:v>3.5751319620945647</c:v>
                </c:pt>
                <c:pt idx="3">
                  <c:v>4.3411684937725274</c:v>
                </c:pt>
                <c:pt idx="4">
                  <c:v>5.2719517302093948</c:v>
                </c:pt>
                <c:pt idx="5">
                  <c:v>6.4030361675738776</c:v>
                </c:pt>
                <c:pt idx="6">
                  <c:v>7.7776743364994845</c:v>
                </c:pt>
                <c:pt idx="7">
                  <c:v>9.4484885402205041</c:v>
                </c:pt>
                <c:pt idx="8">
                  <c:v>11.479506638322768</c:v>
                </c:pt>
                <c:pt idx="9">
                  <c:v>13.948641352987423</c:v>
                </c:pt>
                <c:pt idx="10">
                  <c:v>16.950709965627482</c:v>
                </c:pt>
                <c:pt idx="11">
                  <c:v>20.601112476261985</c:v>
                </c:pt>
                <c:pt idx="12">
                  <c:v>25.040312153608259</c:v>
                </c:pt>
                <c:pt idx="13">
                  <c:v>30.439293932822874</c:v>
                </c:pt>
                <c:pt idx="14">
                  <c:v>37.006214567204225</c:v>
                </c:pt>
                <c:pt idx="15">
                  <c:v>44.994505331689908</c:v>
                </c:pt>
                <c:pt idx="16">
                  <c:v>54.712745266485541</c:v>
                </c:pt>
                <c:pt idx="17">
                  <c:v>66.536692704547349</c:v>
                </c:pt>
                <c:pt idx="18">
                  <c:v>80.923947912099123</c:v>
                </c:pt>
                <c:pt idx="19">
                  <c:v>98.431823461552298</c:v>
                </c:pt>
                <c:pt idx="20">
                  <c:v>119.73912556974646</c:v>
                </c:pt>
                <c:pt idx="21">
                  <c:v>48.681836656850436</c:v>
                </c:pt>
                <c:pt idx="22">
                  <c:v>95.520682327282842</c:v>
                </c:pt>
                <c:pt idx="23">
                  <c:v>141.76433442146256</c:v>
                </c:pt>
                <c:pt idx="24">
                  <c:v>187.64109534661324</c:v>
                </c:pt>
                <c:pt idx="25">
                  <c:v>233.25443923793645</c:v>
                </c:pt>
                <c:pt idx="26">
                  <c:v>107.22917613697955</c:v>
                </c:pt>
                <c:pt idx="27">
                  <c:v>157.09088766117378</c:v>
                </c:pt>
                <c:pt idx="28">
                  <c:v>206.57186300486069</c:v>
                </c:pt>
                <c:pt idx="29">
                  <c:v>255.77720054110179</c:v>
                </c:pt>
                <c:pt idx="30">
                  <c:v>304.76763100544377</c:v>
                </c:pt>
                <c:pt idx="31">
                  <c:v>134.29404570864804</c:v>
                </c:pt>
                <c:pt idx="32">
                  <c:v>192.17189850121227</c:v>
                </c:pt>
                <c:pt idx="33">
                  <c:v>249.63927196919656</c:v>
                </c:pt>
                <c:pt idx="34">
                  <c:v>306.80486817387464</c:v>
                </c:pt>
                <c:pt idx="35">
                  <c:v>363.73302579033674</c:v>
                </c:pt>
                <c:pt idx="36">
                  <c:v>147.56800634920782</c:v>
                </c:pt>
                <c:pt idx="37">
                  <c:v>218.48561623496565</c:v>
                </c:pt>
                <c:pt idx="38">
                  <c:v>288.86659745135091</c:v>
                </c:pt>
                <c:pt idx="39">
                  <c:v>358.86161044525869</c:v>
                </c:pt>
                <c:pt idx="40">
                  <c:v>428.55683512546562</c:v>
                </c:pt>
                <c:pt idx="41">
                  <c:v>161.64040862784535</c:v>
                </c:pt>
                <c:pt idx="42">
                  <c:v>246.36431520526821</c:v>
                </c:pt>
                <c:pt idx="43">
                  <c:v>330.41541208347263</c:v>
                </c:pt>
                <c:pt idx="44">
                  <c:v>413.99120952465199</c:v>
                </c:pt>
                <c:pt idx="45">
                  <c:v>497.20159245584978</c:v>
                </c:pt>
                <c:pt idx="46">
                  <c:v>175.27115917588571</c:v>
                </c:pt>
                <c:pt idx="47">
                  <c:v>273.35443055834776</c:v>
                </c:pt>
                <c:pt idx="48">
                  <c:v>370.63176230848984</c:v>
                </c:pt>
                <c:pt idx="49">
                  <c:v>467.34755990573552</c:v>
                </c:pt>
                <c:pt idx="50">
                  <c:v>563.634942856218</c:v>
                </c:pt>
                <c:pt idx="51">
                  <c:v>188.46506570809018</c:v>
                </c:pt>
                <c:pt idx="52">
                  <c:v>299.46939060089039</c:v>
                </c:pt>
                <c:pt idx="53">
                  <c:v>409.53841471156403</c:v>
                </c:pt>
                <c:pt idx="54">
                  <c:v>518.96286990060071</c:v>
                </c:pt>
                <c:pt idx="55">
                  <c:v>627.89847925254321</c:v>
                </c:pt>
                <c:pt idx="56">
                  <c:v>200.81476533114071</c:v>
                </c:pt>
                <c:pt idx="57">
                  <c:v>323.90600557833329</c:v>
                </c:pt>
                <c:pt idx="58">
                  <c:v>445.94075667705346</c:v>
                </c:pt>
                <c:pt idx="59">
                  <c:v>567.2536682668956</c:v>
                </c:pt>
                <c:pt idx="60">
                  <c:v>688.02164924470469</c:v>
                </c:pt>
                <c:pt idx="61">
                  <c:v>211.9144172950663</c:v>
                </c:pt>
                <c:pt idx="62">
                  <c:v>345.86402934729495</c:v>
                </c:pt>
                <c:pt idx="63">
                  <c:v>478.64831272470047</c:v>
                </c:pt>
                <c:pt idx="64">
                  <c:v>610.64169885013996</c:v>
                </c:pt>
                <c:pt idx="65">
                  <c:v>742.04012630338195</c:v>
                </c:pt>
                <c:pt idx="66">
                  <c:v>221.76950300101529</c:v>
                </c:pt>
                <c:pt idx="67">
                  <c:v>365.35651302909173</c:v>
                </c:pt>
                <c:pt idx="68">
                  <c:v>507.68170489320693</c:v>
                </c:pt>
                <c:pt idx="69">
                  <c:v>649.15499852153471</c:v>
                </c:pt>
                <c:pt idx="70">
                  <c:v>789.98920253695212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2.0588603351293044</c:v>
                </c:pt>
                <c:pt idx="2">
                  <c:v>2.5032684791282365</c:v>
                </c:pt>
                <c:pt idx="3">
                  <c:v>3.0439699375573572</c:v>
                </c:pt>
                <c:pt idx="4">
                  <c:v>3.7019045049854937</c:v>
                </c:pt>
                <c:pt idx="5">
                  <c:v>4.5025808493503625</c:v>
                </c:pt>
                <c:pt idx="6">
                  <c:v>5.4770765165525352</c:v>
                </c:pt>
                <c:pt idx="7">
                  <c:v>6.6632574410445926</c:v>
                </c:pt>
                <c:pt idx="8">
                  <c:v>8.1072652726425876</c:v>
                </c:pt>
                <c:pt idx="9">
                  <c:v>9.8653314878874312</c:v>
                </c:pt>
                <c:pt idx="10">
                  <c:v>12.005990268911559</c:v>
                </c:pt>
                <c:pt idx="11">
                  <c:v>14.612778025987772</c:v>
                </c:pt>
                <c:pt idx="12">
                  <c:v>17.787526849684934</c:v>
                </c:pt>
                <c:pt idx="13">
                  <c:v>21.654382884383178</c:v>
                </c:pt>
                <c:pt idx="14">
                  <c:v>26.364709569474964</c:v>
                </c:pt>
                <c:pt idx="15">
                  <c:v>32.103071062175779</c:v>
                </c:pt>
                <c:pt idx="16">
                  <c:v>18.657655416524992</c:v>
                </c:pt>
                <c:pt idx="17">
                  <c:v>33.58574198489034</c:v>
                </c:pt>
                <c:pt idx="18">
                  <c:v>48.325547197182182</c:v>
                </c:pt>
                <c:pt idx="19">
                  <c:v>62.944360139117542</c:v>
                </c:pt>
                <c:pt idx="20">
                  <c:v>77.474616883044959</c:v>
                </c:pt>
                <c:pt idx="21">
                  <c:v>28.834359656402516</c:v>
                </c:pt>
                <c:pt idx="22">
                  <c:v>49.205665893571911</c:v>
                </c:pt>
                <c:pt idx="23">
                  <c:v>69.347253894011985</c:v>
                </c:pt>
                <c:pt idx="24">
                  <c:v>89.336953064344058</c:v>
                </c:pt>
                <c:pt idx="25">
                  <c:v>109.21391592938788</c:v>
                </c:pt>
                <c:pt idx="26">
                  <c:v>40.384082756543009</c:v>
                </c:pt>
                <c:pt idx="27">
                  <c:v>63.235754287040358</c:v>
                </c:pt>
                <c:pt idx="28">
                  <c:v>85.869416434431727</c:v>
                </c:pt>
                <c:pt idx="29">
                  <c:v>108.35169080299879</c:v>
                </c:pt>
                <c:pt idx="30">
                  <c:v>130.71867792989389</c:v>
                </c:pt>
                <c:pt idx="31">
                  <c:v>45.976451369424858</c:v>
                </c:pt>
                <c:pt idx="32">
                  <c:v>71.381276541532884</c:v>
                </c:pt>
                <c:pt idx="33">
                  <c:v>96.550314423581696</c:v>
                </c:pt>
                <c:pt idx="34">
                  <c:v>121.55476947648258</c:v>
                </c:pt>
                <c:pt idx="35">
                  <c:v>146.43353271796309</c:v>
                </c:pt>
                <c:pt idx="36">
                  <c:v>50.085366327295169</c:v>
                </c:pt>
                <c:pt idx="37">
                  <c:v>78.05428234557867</c:v>
                </c:pt>
                <c:pt idx="38">
                  <c:v>105.76399509776446</c:v>
                </c:pt>
                <c:pt idx="39">
                  <c:v>133.29317703829756</c:v>
                </c:pt>
                <c:pt idx="40">
                  <c:v>160.68465382913149</c:v>
                </c:pt>
                <c:pt idx="41">
                  <c:v>53.600149408127358</c:v>
                </c:pt>
                <c:pt idx="42">
                  <c:v>83.555773354624165</c:v>
                </c:pt>
                <c:pt idx="43">
                  <c:v>113.23544270500661</c:v>
                </c:pt>
                <c:pt idx="44">
                  <c:v>142.72293813330606</c:v>
                </c:pt>
                <c:pt idx="45">
                  <c:v>172.06385728933947</c:v>
                </c:pt>
                <c:pt idx="46">
                  <c:v>55.355236319964554</c:v>
                </c:pt>
                <c:pt idx="47">
                  <c:v>87.025646399743835</c:v>
                </c:pt>
                <c:pt idx="48">
                  <c:v>118.40085351731194</c:v>
                </c:pt>
                <c:pt idx="49">
                  <c:v>149.5715086569696</c:v>
                </c:pt>
                <c:pt idx="50">
                  <c:v>180.58657218998462</c:v>
                </c:pt>
                <c:pt idx="51">
                  <c:v>56.524479039485868</c:v>
                </c:pt>
                <c:pt idx="52">
                  <c:v>89.336953064344058</c:v>
                </c:pt>
                <c:pt idx="53">
                  <c:v>121.84138944928236</c:v>
                </c:pt>
                <c:pt idx="54">
                  <c:v>154.1330439954136</c:v>
                </c:pt>
                <c:pt idx="55">
                  <c:v>186.26311995847519</c:v>
                </c:pt>
                <c:pt idx="56">
                  <c:v>56.816690055651328</c:v>
                </c:pt>
                <c:pt idx="57">
                  <c:v>91.358114590501216</c:v>
                </c:pt>
                <c:pt idx="58">
                  <c:v>125.56597116596221</c:v>
                </c:pt>
                <c:pt idx="59">
                  <c:v>159.54570617746938</c:v>
                </c:pt>
                <c:pt idx="60">
                  <c:v>193.35314212581196</c:v>
                </c:pt>
                <c:pt idx="61">
                  <c:v>57.693087666326242</c:v>
                </c:pt>
                <c:pt idx="62">
                  <c:v>93.089646942909667</c:v>
                </c:pt>
                <c:pt idx="63">
                  <c:v>128.14295207521141</c:v>
                </c:pt>
                <c:pt idx="64">
                  <c:v>162.96197686279694</c:v>
                </c:pt>
                <c:pt idx="65">
                  <c:v>197.6042373039995</c:v>
                </c:pt>
                <c:pt idx="66">
                  <c:v>57.400994138954104</c:v>
                </c:pt>
                <c:pt idx="67">
                  <c:v>93.955110295107872</c:v>
                </c:pt>
                <c:pt idx="68">
                  <c:v>130.14640139933238</c:v>
                </c:pt>
                <c:pt idx="69">
                  <c:v>166.09206917554786</c:v>
                </c:pt>
                <c:pt idx="70">
                  <c:v>201.85320984852058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2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62" t="s">
        <v>291</v>
      </c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</row>
    <row r="13" spans="2:13" ht="15" customHeight="1" x14ac:dyDescent="0.2"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</row>
    <row r="14" spans="2:13" ht="15" customHeight="1" x14ac:dyDescent="0.2"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</row>
    <row r="15" spans="2:13" ht="18.75" customHeight="1" x14ac:dyDescent="0.2"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</row>
    <row r="16" spans="2:13" ht="18.75" customHeight="1" x14ac:dyDescent="0.2"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</row>
    <row r="18" spans="2:13" ht="12" customHeight="1" x14ac:dyDescent="0.2">
      <c r="B18" s="262" t="s">
        <v>292</v>
      </c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</row>
    <row r="19" spans="2:13" ht="12" customHeight="1" x14ac:dyDescent="0.2"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</row>
    <row r="20" spans="2:13" ht="12" customHeight="1" x14ac:dyDescent="0.2"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</row>
    <row r="21" spans="2:13" ht="12" customHeight="1" x14ac:dyDescent="0.2"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</row>
    <row r="22" spans="2:13" ht="12" customHeight="1" x14ac:dyDescent="0.2"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</row>
    <row r="23" spans="2:13" ht="12" customHeight="1" x14ac:dyDescent="0.2"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</row>
    <row r="24" spans="2:13" ht="12" customHeight="1" x14ac:dyDescent="0.2"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</row>
    <row r="25" spans="2:13" ht="12" customHeight="1" x14ac:dyDescent="0.2"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</row>
    <row r="26" spans="2:13" ht="12" customHeight="1" x14ac:dyDescent="0.2"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</row>
    <row r="27" spans="2:13" ht="12" customHeight="1" x14ac:dyDescent="0.2"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</row>
    <row r="28" spans="2:13" ht="12" customHeight="1" x14ac:dyDescent="0.2"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</row>
    <row r="29" spans="2:13" ht="12" customHeight="1" x14ac:dyDescent="0.2"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</row>
    <row r="30" spans="2:13" ht="12" customHeight="1" x14ac:dyDescent="0.2"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</row>
    <row r="31" spans="2:13" ht="12" customHeight="1" x14ac:dyDescent="0.2"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81" zoomScaleNormal="80" workbookViewId="0">
      <selection activeCell="D22" sqref="D22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8" t="s">
        <v>192</v>
      </c>
      <c r="C3" s="269"/>
      <c r="D3" s="269"/>
      <c r="E3" s="269"/>
      <c r="F3" s="270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73" t="s">
        <v>231</v>
      </c>
      <c r="B5" s="273"/>
      <c r="C5" s="24">
        <v>6.71</v>
      </c>
      <c r="D5" s="274" t="s">
        <v>229</v>
      </c>
      <c r="E5" s="275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72" t="s">
        <v>226</v>
      </c>
      <c r="B7" s="272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13</v>
      </c>
      <c r="C9" s="32">
        <v>2.92E-2</v>
      </c>
      <c r="D9" s="33">
        <f t="shared" ref="D9:D18" si="0">C9*$C$5</f>
        <v>0.195932</v>
      </c>
      <c r="E9" s="34">
        <v>70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14</v>
      </c>
      <c r="C10" s="32">
        <v>0.1197</v>
      </c>
      <c r="D10" s="33">
        <f t="shared" si="0"/>
        <v>0.80318699999999998</v>
      </c>
      <c r="E10" s="34">
        <v>97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18</v>
      </c>
      <c r="C11" s="32">
        <v>0.25359999999999999</v>
      </c>
      <c r="D11" s="33">
        <f t="shared" si="0"/>
        <v>1.7016559999999998</v>
      </c>
      <c r="E11" s="34">
        <v>45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27</v>
      </c>
      <c r="C12" s="32">
        <v>0.1623</v>
      </c>
      <c r="D12" s="33">
        <f t="shared" si="0"/>
        <v>1.0890329999999999</v>
      </c>
      <c r="E12" s="34">
        <v>45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22</v>
      </c>
      <c r="C13" s="32">
        <v>4.9599999999999998E-2</v>
      </c>
      <c r="D13" s="33">
        <f t="shared" si="0"/>
        <v>0.332816</v>
      </c>
      <c r="E13" s="34">
        <v>70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 t="s">
        <v>8</v>
      </c>
      <c r="C14" s="32">
        <v>2.1000000000000001E-2</v>
      </c>
      <c r="D14" s="33">
        <f t="shared" si="0"/>
        <v>0.14091000000000001</v>
      </c>
      <c r="E14" s="34">
        <v>50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 t="s">
        <v>25</v>
      </c>
      <c r="C15" s="32">
        <v>6.1100000000000002E-2</v>
      </c>
      <c r="D15" s="33">
        <f t="shared" si="0"/>
        <v>0.40998099999999998</v>
      </c>
      <c r="E15" s="34">
        <v>100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 t="s">
        <v>6</v>
      </c>
      <c r="C16" s="32">
        <v>0.14050000000000001</v>
      </c>
      <c r="D16" s="33">
        <f t="shared" si="0"/>
        <v>0.94275500000000012</v>
      </c>
      <c r="E16" s="34">
        <v>70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 t="s">
        <v>4</v>
      </c>
      <c r="C17" s="32">
        <v>9.2999999999999999E-2</v>
      </c>
      <c r="D17" s="33">
        <f t="shared" si="0"/>
        <v>0.62402999999999997</v>
      </c>
      <c r="E17" s="34">
        <v>70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 t="s">
        <v>50</v>
      </c>
      <c r="C18" s="32">
        <v>1.2E-2</v>
      </c>
      <c r="D18" s="33">
        <f t="shared" si="0"/>
        <v>8.0519999999999994E-2</v>
      </c>
      <c r="E18" s="34">
        <v>100</v>
      </c>
      <c r="F18" s="35" t="str">
        <f t="array" ref="F18">IF(E18="","",IF(INDEX(A:A,MAX(IF(ISNUMBER($A$270:$A$289),ROW($A$270:$A$289),"")))&lt;&gt;E18,"Corrigez : révolution incorrecte","OK"))</f>
        <v>OK</v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0.94199999999999995</v>
      </c>
      <c r="D19" s="38">
        <f>SUM(D9:D18)</f>
        <v>6.3208200000000003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71" t="s">
        <v>232</v>
      </c>
      <c r="B22" s="271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72" t="s">
        <v>227</v>
      </c>
      <c r="B30" s="272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Chêne rouge d'Amérique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63" t="s">
        <v>186</v>
      </c>
      <c r="D34" s="263"/>
      <c r="E34" s="264" t="s">
        <v>187</v>
      </c>
      <c r="F34" s="265"/>
      <c r="G34" s="265"/>
      <c r="H34" s="266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20</v>
      </c>
      <c r="B36" s="60">
        <v>208</v>
      </c>
      <c r="C36" s="60"/>
      <c r="D36" s="60"/>
      <c r="E36" s="51"/>
      <c r="F36" s="51"/>
      <c r="G36" s="51"/>
      <c r="H36" s="51"/>
      <c r="I36" s="49">
        <f>IFERROR(B36/A36,"")</f>
        <v>10.4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25</v>
      </c>
      <c r="B37" s="60">
        <v>260</v>
      </c>
      <c r="C37" s="60"/>
      <c r="D37" s="60"/>
      <c r="E37" s="51"/>
      <c r="F37" s="51"/>
      <c r="G37" s="51"/>
      <c r="H37" s="51"/>
      <c r="I37" s="53">
        <f t="shared" ref="I37:I55" si="1">IF(A37&lt;&gt;0,(B37-(B36-D36))/(A37-A36),"")</f>
        <v>10.4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30</v>
      </c>
      <c r="B38" s="60">
        <v>312</v>
      </c>
      <c r="C38" s="60"/>
      <c r="D38" s="60"/>
      <c r="E38" s="51"/>
      <c r="F38" s="51"/>
      <c r="G38" s="51"/>
      <c r="H38" s="51"/>
      <c r="I38" s="53">
        <f t="shared" si="1"/>
        <v>10.4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35</v>
      </c>
      <c r="B39" s="60">
        <v>364</v>
      </c>
      <c r="C39" s="60"/>
      <c r="D39" s="60"/>
      <c r="E39" s="51"/>
      <c r="F39" s="51"/>
      <c r="G39" s="51"/>
      <c r="H39" s="51"/>
      <c r="I39" s="49">
        <f t="shared" si="1"/>
        <v>10.4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40</v>
      </c>
      <c r="B40" s="60">
        <v>416</v>
      </c>
      <c r="C40" s="60"/>
      <c r="D40" s="60"/>
      <c r="E40" s="51"/>
      <c r="F40" s="51"/>
      <c r="G40" s="51"/>
      <c r="H40" s="51"/>
      <c r="I40" s="49">
        <f t="shared" si="1"/>
        <v>10.4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45</v>
      </c>
      <c r="B41" s="60">
        <v>468</v>
      </c>
      <c r="C41" s="60"/>
      <c r="D41" s="60"/>
      <c r="E41" s="51"/>
      <c r="F41" s="51"/>
      <c r="G41" s="51"/>
      <c r="H41" s="51"/>
      <c r="I41" s="53">
        <f t="shared" si="1"/>
        <v>10.4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50</v>
      </c>
      <c r="B42" s="60">
        <v>520</v>
      </c>
      <c r="C42" s="60"/>
      <c r="D42" s="60"/>
      <c r="E42" s="51"/>
      <c r="F42" s="51"/>
      <c r="G42" s="51"/>
      <c r="H42" s="51"/>
      <c r="I42" s="53">
        <f t="shared" si="1"/>
        <v>10.4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55</v>
      </c>
      <c r="B43" s="60">
        <v>572</v>
      </c>
      <c r="C43" s="60"/>
      <c r="D43" s="60"/>
      <c r="E43" s="51"/>
      <c r="F43" s="51"/>
      <c r="G43" s="51"/>
      <c r="H43" s="51"/>
      <c r="I43" s="49">
        <f t="shared" si="1"/>
        <v>10.4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60</v>
      </c>
      <c r="B44" s="60">
        <v>624</v>
      </c>
      <c r="C44" s="60"/>
      <c r="D44" s="60"/>
      <c r="E44" s="51"/>
      <c r="F44" s="51"/>
      <c r="G44" s="51"/>
      <c r="H44" s="51"/>
      <c r="I44" s="49">
        <f t="shared" si="1"/>
        <v>10.4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65</v>
      </c>
      <c r="B45" s="60">
        <v>676</v>
      </c>
      <c r="C45" s="60"/>
      <c r="D45" s="60"/>
      <c r="E45" s="51"/>
      <c r="F45" s="51"/>
      <c r="G45" s="51"/>
      <c r="H45" s="51"/>
      <c r="I45" s="49">
        <f t="shared" si="1"/>
        <v>10.4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70</v>
      </c>
      <c r="B46" s="60">
        <v>728</v>
      </c>
      <c r="C46" s="60">
        <v>1</v>
      </c>
      <c r="D46" s="60">
        <v>728</v>
      </c>
      <c r="E46" s="51">
        <v>0.7</v>
      </c>
      <c r="F46" s="51">
        <v>0.1</v>
      </c>
      <c r="G46" s="51"/>
      <c r="H46" s="51">
        <v>0.2</v>
      </c>
      <c r="I46" s="49">
        <f t="shared" si="1"/>
        <v>10.4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63" t="s">
        <v>186</v>
      </c>
      <c r="D60" s="263"/>
      <c r="E60" s="264" t="s">
        <v>187</v>
      </c>
      <c r="F60" s="265"/>
      <c r="G60" s="265"/>
      <c r="H60" s="266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36</v>
      </c>
      <c r="B62" s="60">
        <v>131</v>
      </c>
      <c r="C62" s="60">
        <v>1</v>
      </c>
      <c r="D62" s="60">
        <v>36</v>
      </c>
      <c r="E62" s="51">
        <v>0.2</v>
      </c>
      <c r="F62" s="51">
        <v>0.2</v>
      </c>
      <c r="G62" s="51"/>
      <c r="H62" s="51">
        <v>0.6</v>
      </c>
      <c r="I62" s="53">
        <f>IFERROR(B62/A62,"")</f>
        <v>3.6388888888888888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42</v>
      </c>
      <c r="B63" s="60">
        <v>148</v>
      </c>
      <c r="C63" s="60">
        <v>2</v>
      </c>
      <c r="D63" s="60">
        <v>41</v>
      </c>
      <c r="E63" s="51">
        <v>0.2</v>
      </c>
      <c r="F63" s="51">
        <v>0.2</v>
      </c>
      <c r="G63" s="51"/>
      <c r="H63" s="51">
        <v>0.6</v>
      </c>
      <c r="I63" s="49">
        <f t="shared" ref="I63:I72" si="2">IF(A63&lt;&gt;0,(B63-(B62-D62))/(A63-A62),"")</f>
        <v>8.8333333333333339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48</v>
      </c>
      <c r="B64" s="60">
        <v>157</v>
      </c>
      <c r="C64" s="60">
        <v>3</v>
      </c>
      <c r="D64" s="60">
        <v>41</v>
      </c>
      <c r="E64" s="51">
        <v>0.3</v>
      </c>
      <c r="F64" s="51">
        <v>0.4</v>
      </c>
      <c r="G64" s="51"/>
      <c r="H64" s="51">
        <v>0.3</v>
      </c>
      <c r="I64" s="49">
        <f t="shared" si="2"/>
        <v>8.3333333333333339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54</v>
      </c>
      <c r="B65" s="60">
        <v>163</v>
      </c>
      <c r="C65" s="60">
        <v>4</v>
      </c>
      <c r="D65" s="60">
        <v>31</v>
      </c>
      <c r="E65" s="51">
        <v>0.3</v>
      </c>
      <c r="F65" s="51">
        <v>0.4</v>
      </c>
      <c r="G65" s="51"/>
      <c r="H65" s="51">
        <v>0.3</v>
      </c>
      <c r="I65" s="49">
        <f t="shared" si="2"/>
        <v>7.833333333333333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62</v>
      </c>
      <c r="B66" s="60">
        <v>193</v>
      </c>
      <c r="C66" s="60">
        <v>5</v>
      </c>
      <c r="D66" s="60">
        <v>39</v>
      </c>
      <c r="E66" s="51">
        <v>0.4</v>
      </c>
      <c r="F66" s="51">
        <v>0.5</v>
      </c>
      <c r="G66" s="51"/>
      <c r="H66" s="51">
        <v>0.1</v>
      </c>
      <c r="I66" s="49">
        <f t="shared" si="2"/>
        <v>7.625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70</v>
      </c>
      <c r="B67" s="60">
        <v>220</v>
      </c>
      <c r="C67" s="60">
        <v>6</v>
      </c>
      <c r="D67" s="60">
        <v>53</v>
      </c>
      <c r="E67" s="51">
        <v>0.5</v>
      </c>
      <c r="F67" s="51">
        <v>0.4</v>
      </c>
      <c r="G67" s="51"/>
      <c r="H67" s="51">
        <v>0.1</v>
      </c>
      <c r="I67" s="49">
        <f t="shared" si="2"/>
        <v>8.25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78</v>
      </c>
      <c r="B68" s="60">
        <v>227</v>
      </c>
      <c r="C68" s="60">
        <v>7</v>
      </c>
      <c r="D68" s="60">
        <v>42</v>
      </c>
      <c r="E68" s="51">
        <v>0.5</v>
      </c>
      <c r="F68" s="51">
        <v>0.4</v>
      </c>
      <c r="G68" s="51"/>
      <c r="H68" s="51">
        <v>0.1</v>
      </c>
      <c r="I68" s="49">
        <f t="shared" si="2"/>
        <v>7.5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87</v>
      </c>
      <c r="B69" s="50">
        <v>243</v>
      </c>
      <c r="C69" s="50">
        <v>8</v>
      </c>
      <c r="D69" s="50">
        <v>39</v>
      </c>
      <c r="E69" s="51">
        <v>0.5</v>
      </c>
      <c r="F69" s="51">
        <v>0.4</v>
      </c>
      <c r="G69" s="51"/>
      <c r="H69" s="51">
        <v>0.1</v>
      </c>
      <c r="I69" s="49">
        <f t="shared" si="2"/>
        <v>6.4444444444444446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97</v>
      </c>
      <c r="B70" s="50">
        <v>265</v>
      </c>
      <c r="C70" s="50">
        <v>9</v>
      </c>
      <c r="D70" s="50">
        <f>B70</f>
        <v>265</v>
      </c>
      <c r="E70" s="51">
        <v>0.7</v>
      </c>
      <c r="F70" s="51">
        <v>0.1</v>
      </c>
      <c r="G70" s="51"/>
      <c r="H70" s="51">
        <v>0.2</v>
      </c>
      <c r="I70" s="49">
        <f t="shared" si="2"/>
        <v>6.1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ref="I73:I81" si="3">IF(A73&lt;&gt;0,(B73-(B72-D72))/(A73-A72),"")</f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Douglas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63" t="s">
        <v>186</v>
      </c>
      <c r="D86" s="263"/>
      <c r="E86" s="264" t="s">
        <v>187</v>
      </c>
      <c r="F86" s="265"/>
      <c r="G86" s="265"/>
      <c r="H86" s="266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259">
        <v>15</v>
      </c>
      <c r="B88" s="258">
        <v>183</v>
      </c>
      <c r="C88" s="60">
        <v>1</v>
      </c>
      <c r="D88" s="60">
        <v>28</v>
      </c>
      <c r="E88" s="51">
        <v>0.3</v>
      </c>
      <c r="F88" s="51">
        <v>0.3</v>
      </c>
      <c r="G88" s="51">
        <v>0.4</v>
      </c>
      <c r="H88" s="87"/>
      <c r="I88" s="53">
        <f>IFERROR(B88/A88,"")</f>
        <v>12.2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260">
        <v>20</v>
      </c>
      <c r="B89" s="261">
        <v>285</v>
      </c>
      <c r="C89" s="60">
        <v>2</v>
      </c>
      <c r="D89" s="60">
        <v>45</v>
      </c>
      <c r="E89" s="51">
        <v>0.4</v>
      </c>
      <c r="F89" s="51">
        <v>0.3</v>
      </c>
      <c r="G89" s="51">
        <v>0.3</v>
      </c>
      <c r="H89" s="87"/>
      <c r="I89" s="53">
        <f t="shared" ref="I89:I107" si="4">IF(A89&lt;&gt;0,(B89-(B88-D88))/(A89-A88),"")</f>
        <v>26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260">
        <v>25</v>
      </c>
      <c r="B90" s="261">
        <v>369</v>
      </c>
      <c r="C90" s="60">
        <v>3</v>
      </c>
      <c r="D90" s="60">
        <v>52</v>
      </c>
      <c r="E90" s="87">
        <v>0.5</v>
      </c>
      <c r="F90" s="87">
        <v>0.25</v>
      </c>
      <c r="G90" s="87">
        <v>0.25</v>
      </c>
      <c r="H90" s="87"/>
      <c r="I90" s="53">
        <f t="shared" si="4"/>
        <v>25.8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260">
        <v>30</v>
      </c>
      <c r="B91" s="261">
        <v>440</v>
      </c>
      <c r="C91" s="60">
        <v>4</v>
      </c>
      <c r="D91" s="60">
        <v>55</v>
      </c>
      <c r="E91" s="87">
        <v>0.6</v>
      </c>
      <c r="F91" s="87">
        <v>0.375</v>
      </c>
      <c r="G91" s="87">
        <v>0.31</v>
      </c>
      <c r="H91" s="87"/>
      <c r="I91" s="53">
        <f t="shared" si="4"/>
        <v>24.6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260">
        <v>35</v>
      </c>
      <c r="B92" s="261">
        <v>500</v>
      </c>
      <c r="C92" s="60">
        <v>5</v>
      </c>
      <c r="D92" s="60">
        <v>55</v>
      </c>
      <c r="E92" s="87">
        <v>0.7</v>
      </c>
      <c r="F92" s="87">
        <v>0.2</v>
      </c>
      <c r="G92" s="87">
        <v>0.1</v>
      </c>
      <c r="H92" s="87"/>
      <c r="I92" s="53">
        <f t="shared" si="4"/>
        <v>23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260">
        <v>40</v>
      </c>
      <c r="B93" s="261">
        <v>554</v>
      </c>
      <c r="C93" s="60">
        <v>6</v>
      </c>
      <c r="D93" s="60">
        <v>55</v>
      </c>
      <c r="E93" s="87">
        <v>0.7</v>
      </c>
      <c r="F93" s="87">
        <v>0.2</v>
      </c>
      <c r="G93" s="87">
        <v>0.1</v>
      </c>
      <c r="H93" s="87"/>
      <c r="I93" s="53">
        <f t="shared" si="4"/>
        <v>21.8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260">
        <v>45</v>
      </c>
      <c r="B94" s="261">
        <v>601</v>
      </c>
      <c r="C94" s="60">
        <v>7</v>
      </c>
      <c r="D94" s="60">
        <v>601</v>
      </c>
      <c r="E94" s="87">
        <v>0.7</v>
      </c>
      <c r="F94" s="87">
        <v>0.2</v>
      </c>
      <c r="G94" s="87">
        <v>0.1</v>
      </c>
      <c r="H94" s="87"/>
      <c r="I94" s="53">
        <f t="shared" si="4"/>
        <v>20.399999999999999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261"/>
      <c r="B95" s="261"/>
      <c r="C95" s="60"/>
      <c r="D95" s="60"/>
      <c r="E95" s="87"/>
      <c r="F95" s="87"/>
      <c r="G95" s="87"/>
      <c r="H95" s="87"/>
      <c r="I95" s="53" t="str">
        <f t="shared" si="4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Mélèze d'Europe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63" t="s">
        <v>186</v>
      </c>
      <c r="D112" s="263"/>
      <c r="E112" s="264" t="s">
        <v>187</v>
      </c>
      <c r="F112" s="265"/>
      <c r="G112" s="265"/>
      <c r="H112" s="266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259">
        <v>10</v>
      </c>
      <c r="B114" s="261">
        <v>27</v>
      </c>
      <c r="C114" s="50">
        <v>1</v>
      </c>
      <c r="D114" s="261">
        <v>27</v>
      </c>
      <c r="E114" s="51"/>
      <c r="F114" s="51">
        <v>0.5</v>
      </c>
      <c r="G114" s="51">
        <v>0.5</v>
      </c>
      <c r="H114" s="51"/>
      <c r="I114" s="53">
        <f>IFERROR(B114/A114,"")</f>
        <v>2.7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260">
        <v>15</v>
      </c>
      <c r="B115" s="261">
        <v>86</v>
      </c>
      <c r="C115" s="50">
        <v>2</v>
      </c>
      <c r="D115" s="261">
        <v>68</v>
      </c>
      <c r="E115" s="51"/>
      <c r="F115" s="51">
        <v>0.62</v>
      </c>
      <c r="G115" s="51">
        <v>0.375</v>
      </c>
      <c r="H115" s="51"/>
      <c r="I115" s="53">
        <f t="shared" ref="I115:I133" si="5">IF(A115&lt;&gt;0,(B115-(B114-D114))/(A115-A114),"")</f>
        <v>17.2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260">
        <v>20</v>
      </c>
      <c r="B116" s="261">
        <v>140</v>
      </c>
      <c r="C116" s="50">
        <v>3</v>
      </c>
      <c r="D116" s="261">
        <v>98</v>
      </c>
      <c r="E116" s="51"/>
      <c r="F116" s="51">
        <v>0.67210000000000003</v>
      </c>
      <c r="G116" s="51">
        <v>0.33</v>
      </c>
      <c r="H116" s="51"/>
      <c r="I116" s="53">
        <f t="shared" si="5"/>
        <v>24.4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260">
        <v>25</v>
      </c>
      <c r="B117" s="261">
        <v>180</v>
      </c>
      <c r="C117" s="50">
        <v>4</v>
      </c>
      <c r="D117" s="261">
        <v>138</v>
      </c>
      <c r="E117" s="51"/>
      <c r="F117" s="51">
        <v>0.375</v>
      </c>
      <c r="G117" s="51">
        <v>0.31</v>
      </c>
      <c r="H117" s="51"/>
      <c r="I117" s="53">
        <f t="shared" si="5"/>
        <v>27.6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260">
        <v>30</v>
      </c>
      <c r="B118" s="261">
        <v>221</v>
      </c>
      <c r="C118" s="50">
        <v>5</v>
      </c>
      <c r="D118" s="261">
        <v>179</v>
      </c>
      <c r="E118" s="51">
        <v>0.6</v>
      </c>
      <c r="F118" s="51">
        <v>0.2</v>
      </c>
      <c r="G118" s="51">
        <v>0.2</v>
      </c>
      <c r="H118" s="51"/>
      <c r="I118" s="53">
        <f t="shared" si="5"/>
        <v>35.799999999999997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260">
        <v>35</v>
      </c>
      <c r="B119" s="261">
        <v>257</v>
      </c>
      <c r="C119" s="50">
        <v>6</v>
      </c>
      <c r="D119" s="261">
        <v>215</v>
      </c>
      <c r="E119" s="51">
        <v>0.6</v>
      </c>
      <c r="F119" s="51">
        <v>0.2</v>
      </c>
      <c r="G119" s="51">
        <v>0.2</v>
      </c>
      <c r="H119" s="51"/>
      <c r="I119" s="53">
        <f t="shared" si="5"/>
        <v>43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261">
        <v>40</v>
      </c>
      <c r="B120" s="60">
        <v>288</v>
      </c>
      <c r="C120" s="60">
        <v>7</v>
      </c>
      <c r="D120" s="60">
        <v>248</v>
      </c>
      <c r="E120" s="87">
        <v>0.6</v>
      </c>
      <c r="F120" s="87">
        <v>0.2</v>
      </c>
      <c r="G120" s="87">
        <v>0.2</v>
      </c>
      <c r="H120" s="87"/>
      <c r="I120" s="53">
        <f t="shared" si="5"/>
        <v>49.2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>
        <v>45</v>
      </c>
      <c r="B121" s="60">
        <v>314</v>
      </c>
      <c r="C121" s="60">
        <v>8</v>
      </c>
      <c r="D121" s="60">
        <v>314</v>
      </c>
      <c r="E121" s="87">
        <v>0.7</v>
      </c>
      <c r="F121" s="87">
        <v>0.2</v>
      </c>
      <c r="G121" s="87">
        <v>0.1</v>
      </c>
      <c r="H121" s="87"/>
      <c r="I121" s="53">
        <f t="shared" si="5"/>
        <v>54.8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Erable plane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63" t="s">
        <v>186</v>
      </c>
      <c r="D138" s="263"/>
      <c r="E138" s="264" t="s">
        <v>187</v>
      </c>
      <c r="F138" s="265"/>
      <c r="G138" s="265"/>
      <c r="H138" s="266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10</v>
      </c>
      <c r="B140" s="60">
        <v>19</v>
      </c>
      <c r="C140" s="50">
        <v>1</v>
      </c>
      <c r="D140" s="60">
        <v>12</v>
      </c>
      <c r="E140" s="51"/>
      <c r="F140" s="51"/>
      <c r="G140" s="51"/>
      <c r="H140" s="51">
        <v>1</v>
      </c>
      <c r="I140" s="57">
        <f>IFERROR(B140/A140,"")</f>
        <v>1.9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15</v>
      </c>
      <c r="B141" s="60">
        <v>85</v>
      </c>
      <c r="C141" s="50">
        <v>2</v>
      </c>
      <c r="D141" s="60">
        <v>43</v>
      </c>
      <c r="E141" s="51"/>
      <c r="F141" s="51"/>
      <c r="G141" s="51"/>
      <c r="H141" s="51">
        <v>1</v>
      </c>
      <c r="I141" s="57">
        <f t="shared" ref="I141:I159" si="6">IF(A141&lt;&gt;0,(B141-(B140-D140))/(A141-A140),"")</f>
        <v>15.6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20</v>
      </c>
      <c r="B142" s="60">
        <v>123</v>
      </c>
      <c r="C142" s="50">
        <v>3</v>
      </c>
      <c r="D142" s="60">
        <v>81</v>
      </c>
      <c r="E142" s="51"/>
      <c r="F142" s="51"/>
      <c r="G142" s="51"/>
      <c r="H142" s="51">
        <v>1</v>
      </c>
      <c r="I142" s="57">
        <f t="shared" si="6"/>
        <v>16.2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25</v>
      </c>
      <c r="B143" s="60">
        <v>165</v>
      </c>
      <c r="C143" s="50">
        <v>4</v>
      </c>
      <c r="D143" s="60">
        <v>123</v>
      </c>
      <c r="E143" s="51">
        <v>0.6</v>
      </c>
      <c r="F143" s="51"/>
      <c r="G143" s="51"/>
      <c r="H143" s="51">
        <v>0.4</v>
      </c>
      <c r="I143" s="57">
        <f t="shared" si="6"/>
        <v>24.6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30</v>
      </c>
      <c r="B144" s="60">
        <v>205</v>
      </c>
      <c r="C144" s="50">
        <v>5</v>
      </c>
      <c r="D144" s="60">
        <v>163</v>
      </c>
      <c r="E144" s="51">
        <v>0.8</v>
      </c>
      <c r="F144" s="51"/>
      <c r="G144" s="51"/>
      <c r="H144" s="51">
        <v>0.2</v>
      </c>
      <c r="I144" s="57">
        <f t="shared" si="6"/>
        <v>32.6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35</v>
      </c>
      <c r="B145" s="60">
        <v>239</v>
      </c>
      <c r="C145" s="50">
        <v>6</v>
      </c>
      <c r="D145" s="60">
        <v>197</v>
      </c>
      <c r="E145" s="51">
        <v>0.8</v>
      </c>
      <c r="F145" s="51"/>
      <c r="G145" s="51"/>
      <c r="H145" s="51">
        <v>0.2</v>
      </c>
      <c r="I145" s="57">
        <f t="shared" si="6"/>
        <v>39.4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>
        <v>40</v>
      </c>
      <c r="B146" s="60">
        <v>263</v>
      </c>
      <c r="C146" s="50">
        <v>7</v>
      </c>
      <c r="D146" s="60">
        <v>223</v>
      </c>
      <c r="E146" s="51">
        <v>0.8</v>
      </c>
      <c r="F146" s="51"/>
      <c r="G146" s="51"/>
      <c r="H146" s="51">
        <v>0.2</v>
      </c>
      <c r="I146" s="57">
        <f t="shared" si="6"/>
        <v>44.2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>
        <v>45</v>
      </c>
      <c r="B147" s="60">
        <v>280</v>
      </c>
      <c r="C147" s="50">
        <v>8</v>
      </c>
      <c r="D147" s="60">
        <v>254</v>
      </c>
      <c r="E147" s="51">
        <v>0.8</v>
      </c>
      <c r="F147" s="51"/>
      <c r="G147" s="51"/>
      <c r="H147" s="51">
        <v>0.2</v>
      </c>
      <c r="I147" s="57">
        <f>IF(A147&lt;&gt;0,(B147-(B146-D146))/(A147-A146),"")</f>
        <v>48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>
        <v>50</v>
      </c>
      <c r="B148" s="60">
        <v>303</v>
      </c>
      <c r="C148" s="50">
        <v>9</v>
      </c>
      <c r="D148" s="60">
        <v>282</v>
      </c>
      <c r="E148" s="51">
        <v>0.8</v>
      </c>
      <c r="F148" s="51"/>
      <c r="G148" s="51"/>
      <c r="H148" s="51">
        <v>0.2</v>
      </c>
      <c r="I148" s="57">
        <f t="shared" si="6"/>
        <v>55.4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>
        <v>55</v>
      </c>
      <c r="B149" s="60">
        <v>324</v>
      </c>
      <c r="C149" s="50">
        <v>10</v>
      </c>
      <c r="D149" s="60">
        <v>306</v>
      </c>
      <c r="E149" s="51">
        <v>0.8</v>
      </c>
      <c r="F149" s="51"/>
      <c r="G149" s="51"/>
      <c r="H149" s="51">
        <v>0.2</v>
      </c>
      <c r="I149" s="57">
        <f t="shared" si="6"/>
        <v>60.6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>
        <v>60</v>
      </c>
      <c r="B150" s="60">
        <v>343</v>
      </c>
      <c r="C150" s="50">
        <v>11</v>
      </c>
      <c r="D150" s="60">
        <v>326</v>
      </c>
      <c r="E150" s="51">
        <v>0.8</v>
      </c>
      <c r="F150" s="51"/>
      <c r="G150" s="51"/>
      <c r="H150" s="51">
        <v>0.2</v>
      </c>
      <c r="I150" s="57">
        <f t="shared" si="6"/>
        <v>65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>
        <v>65</v>
      </c>
      <c r="B151" s="60">
        <v>356</v>
      </c>
      <c r="C151" s="50">
        <v>12</v>
      </c>
      <c r="D151" s="60">
        <v>340</v>
      </c>
      <c r="E151" s="51">
        <v>0.8</v>
      </c>
      <c r="F151" s="51"/>
      <c r="G151" s="51"/>
      <c r="H151" s="51">
        <v>0.2</v>
      </c>
      <c r="I151" s="57">
        <f t="shared" si="6"/>
        <v>67.8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>
        <v>70</v>
      </c>
      <c r="B152" s="60">
        <v>366</v>
      </c>
      <c r="C152" s="50">
        <v>13</v>
      </c>
      <c r="D152" s="60">
        <v>366</v>
      </c>
      <c r="E152" s="54">
        <v>0.8</v>
      </c>
      <c r="F152" s="54"/>
      <c r="G152" s="54"/>
      <c r="H152" s="54">
        <v>0.2</v>
      </c>
      <c r="I152" s="57">
        <f t="shared" si="6"/>
        <v>70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>Châtaignier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63" t="s">
        <v>186</v>
      </c>
      <c r="D164" s="263"/>
      <c r="E164" s="264" t="s">
        <v>187</v>
      </c>
      <c r="F164" s="265"/>
      <c r="G164" s="265"/>
      <c r="H164" s="266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>
        <v>10</v>
      </c>
      <c r="B166" s="60">
        <v>115</v>
      </c>
      <c r="C166" s="60">
        <v>1</v>
      </c>
      <c r="D166" s="60">
        <v>115</v>
      </c>
      <c r="E166" s="51"/>
      <c r="F166" s="51"/>
      <c r="G166" s="51"/>
      <c r="H166" s="51">
        <v>1</v>
      </c>
      <c r="I166" s="49">
        <f>IFERROR(B166/A166,"")</f>
        <v>11.5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>
        <v>15</v>
      </c>
      <c r="B167" s="60">
        <v>184</v>
      </c>
      <c r="C167" s="60">
        <v>2</v>
      </c>
      <c r="D167" s="60">
        <v>184</v>
      </c>
      <c r="E167" s="51"/>
      <c r="F167" s="51"/>
      <c r="G167" s="51"/>
      <c r="H167" s="51">
        <v>1</v>
      </c>
      <c r="I167" s="49">
        <f t="shared" ref="I167:I185" si="7">IF(A167&lt;&gt;0,(B167-(B166-D166))/(A167-A166),"")</f>
        <v>36.799999999999997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>
        <v>18</v>
      </c>
      <c r="B168" s="60">
        <v>225</v>
      </c>
      <c r="C168" s="60">
        <v>3</v>
      </c>
      <c r="D168" s="60">
        <v>131</v>
      </c>
      <c r="E168" s="51"/>
      <c r="F168" s="51"/>
      <c r="G168" s="51"/>
      <c r="H168" s="51">
        <v>1</v>
      </c>
      <c r="I168" s="49">
        <f t="shared" si="7"/>
        <v>75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>
        <v>22</v>
      </c>
      <c r="B169" s="60">
        <v>151</v>
      </c>
      <c r="C169" s="60">
        <v>4</v>
      </c>
      <c r="D169" s="60">
        <v>97</v>
      </c>
      <c r="E169" s="51">
        <v>0.6</v>
      </c>
      <c r="F169" s="51"/>
      <c r="G169" s="51"/>
      <c r="H169" s="51">
        <v>0.4</v>
      </c>
      <c r="I169" s="49">
        <f t="shared" si="7"/>
        <v>14.25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>
        <v>27</v>
      </c>
      <c r="B170" s="60">
        <v>130</v>
      </c>
      <c r="C170" s="60">
        <v>5</v>
      </c>
      <c r="D170" s="60">
        <v>92</v>
      </c>
      <c r="E170" s="51">
        <v>0.8</v>
      </c>
      <c r="F170" s="51"/>
      <c r="G170" s="51"/>
      <c r="H170" s="51">
        <v>0.2</v>
      </c>
      <c r="I170" s="49">
        <f t="shared" si="7"/>
        <v>15.2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>
        <v>35</v>
      </c>
      <c r="B171" s="60">
        <v>136</v>
      </c>
      <c r="C171" s="60">
        <v>6</v>
      </c>
      <c r="D171" s="60">
        <v>136</v>
      </c>
      <c r="E171" s="51">
        <v>0.8</v>
      </c>
      <c r="F171" s="51"/>
      <c r="G171" s="51"/>
      <c r="H171" s="51">
        <v>0.2</v>
      </c>
      <c r="I171" s="49">
        <f t="shared" si="7"/>
        <v>12.25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>
        <v>40</v>
      </c>
      <c r="B172" s="60">
        <v>170</v>
      </c>
      <c r="C172" s="60">
        <v>7</v>
      </c>
      <c r="D172" s="60">
        <v>170</v>
      </c>
      <c r="E172" s="51">
        <v>0.8</v>
      </c>
      <c r="F172" s="51"/>
      <c r="G172" s="51"/>
      <c r="H172" s="51">
        <v>0.2</v>
      </c>
      <c r="I172" s="49">
        <f t="shared" si="7"/>
        <v>34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>
        <v>45</v>
      </c>
      <c r="B173" s="50">
        <v>210</v>
      </c>
      <c r="C173" s="50">
        <v>8</v>
      </c>
      <c r="D173" s="50">
        <v>210</v>
      </c>
      <c r="E173" s="51">
        <v>0.8</v>
      </c>
      <c r="F173" s="51"/>
      <c r="G173" s="51"/>
      <c r="H173" s="51">
        <v>0.2</v>
      </c>
      <c r="I173" s="49">
        <f t="shared" si="7"/>
        <v>42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>
        <v>50</v>
      </c>
      <c r="B174" s="50">
        <v>255</v>
      </c>
      <c r="C174" s="50">
        <v>9</v>
      </c>
      <c r="D174" s="50">
        <v>255</v>
      </c>
      <c r="E174" s="51">
        <v>0.8</v>
      </c>
      <c r="F174" s="51"/>
      <c r="G174" s="51"/>
      <c r="H174" s="51">
        <v>0.2</v>
      </c>
      <c r="I174" s="49">
        <f t="shared" si="7"/>
        <v>51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>Hêtre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63" t="s">
        <v>186</v>
      </c>
      <c r="D190" s="263"/>
      <c r="E190" s="264" t="s">
        <v>187</v>
      </c>
      <c r="F190" s="265"/>
      <c r="G190" s="265"/>
      <c r="H190" s="266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257">
        <v>20</v>
      </c>
      <c r="B192" s="258">
        <v>56</v>
      </c>
      <c r="C192" s="60">
        <v>1</v>
      </c>
      <c r="D192" s="60">
        <v>56</v>
      </c>
      <c r="E192" s="51"/>
      <c r="F192" s="51"/>
      <c r="G192" s="51"/>
      <c r="H192" s="51">
        <v>1</v>
      </c>
      <c r="I192" s="49">
        <f>IFERROR(B192/A192,"")</f>
        <v>2.8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257">
        <v>25</v>
      </c>
      <c r="B193" s="258">
        <v>85</v>
      </c>
      <c r="C193" s="60">
        <v>2</v>
      </c>
      <c r="D193" s="60">
        <v>59</v>
      </c>
      <c r="E193" s="51"/>
      <c r="F193" s="51"/>
      <c r="G193" s="51"/>
      <c r="H193" s="51">
        <v>1</v>
      </c>
      <c r="I193" s="49">
        <f t="shared" ref="I193:I211" si="8">IF(A193&lt;&gt;0,(B193-(B192-D192))/(A193-A192),"")</f>
        <v>17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257">
        <v>30</v>
      </c>
      <c r="B194" s="258">
        <v>111</v>
      </c>
      <c r="C194" s="60">
        <v>3</v>
      </c>
      <c r="D194" s="60">
        <v>76</v>
      </c>
      <c r="E194" s="51"/>
      <c r="F194" s="51"/>
      <c r="G194" s="51"/>
      <c r="H194" s="51">
        <v>1</v>
      </c>
      <c r="I194" s="49">
        <f t="shared" si="8"/>
        <v>17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257">
        <v>35</v>
      </c>
      <c r="B195" s="258">
        <v>140</v>
      </c>
      <c r="C195" s="60">
        <v>4</v>
      </c>
      <c r="D195" s="60">
        <v>105</v>
      </c>
      <c r="E195" s="51">
        <v>0.6</v>
      </c>
      <c r="F195" s="51"/>
      <c r="G195" s="51"/>
      <c r="H195" s="51">
        <v>0.4</v>
      </c>
      <c r="I195" s="49">
        <f t="shared" si="8"/>
        <v>21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257">
        <v>40</v>
      </c>
      <c r="B196" s="258">
        <v>172</v>
      </c>
      <c r="C196" s="60">
        <v>5</v>
      </c>
      <c r="D196" s="60">
        <v>137</v>
      </c>
      <c r="E196" s="51">
        <v>0.8</v>
      </c>
      <c r="F196" s="51"/>
      <c r="G196" s="51"/>
      <c r="H196" s="51">
        <v>0.2</v>
      </c>
      <c r="I196" s="49">
        <f t="shared" si="8"/>
        <v>27.4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257">
        <v>45</v>
      </c>
      <c r="B197" s="258">
        <v>206</v>
      </c>
      <c r="C197" s="60">
        <v>6</v>
      </c>
      <c r="D197" s="60">
        <v>171</v>
      </c>
      <c r="E197" s="51">
        <v>0.8</v>
      </c>
      <c r="F197" s="51"/>
      <c r="G197" s="51"/>
      <c r="H197" s="51">
        <v>0.2</v>
      </c>
      <c r="I197" s="49">
        <f t="shared" si="8"/>
        <v>34.200000000000003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257">
        <v>50</v>
      </c>
      <c r="B198" s="258">
        <v>239</v>
      </c>
      <c r="C198" s="60">
        <v>7</v>
      </c>
      <c r="D198" s="60">
        <v>204</v>
      </c>
      <c r="E198" s="51">
        <v>0.8</v>
      </c>
      <c r="F198" s="51"/>
      <c r="G198" s="51"/>
      <c r="H198" s="51">
        <v>0.2</v>
      </c>
      <c r="I198" s="49">
        <f t="shared" si="8"/>
        <v>40.799999999999997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257">
        <v>55</v>
      </c>
      <c r="B199" s="257">
        <v>271</v>
      </c>
      <c r="C199" s="50">
        <v>8</v>
      </c>
      <c r="D199" s="50">
        <v>236</v>
      </c>
      <c r="E199" s="51">
        <v>0.8</v>
      </c>
      <c r="F199" s="51"/>
      <c r="G199" s="51"/>
      <c r="H199" s="51">
        <v>0.2</v>
      </c>
      <c r="I199" s="49">
        <f t="shared" si="8"/>
        <v>47.2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257">
        <v>60</v>
      </c>
      <c r="B200" s="257">
        <v>301</v>
      </c>
      <c r="C200" s="50">
        <v>9</v>
      </c>
      <c r="D200" s="50">
        <v>266</v>
      </c>
      <c r="E200" s="51">
        <v>0.8</v>
      </c>
      <c r="F200" s="51"/>
      <c r="G200" s="51"/>
      <c r="H200" s="51">
        <v>0.2</v>
      </c>
      <c r="I200" s="49">
        <f t="shared" si="8"/>
        <v>53.2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257">
        <v>65</v>
      </c>
      <c r="B201" s="257">
        <v>328</v>
      </c>
      <c r="C201" s="50">
        <v>10</v>
      </c>
      <c r="D201" s="50">
        <v>293</v>
      </c>
      <c r="E201" s="51">
        <v>0.8</v>
      </c>
      <c r="F201" s="51"/>
      <c r="G201" s="51"/>
      <c r="H201" s="51">
        <v>0.2</v>
      </c>
      <c r="I201" s="49">
        <f t="shared" si="8"/>
        <v>58.6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257">
        <v>70</v>
      </c>
      <c r="B202" s="257">
        <v>352</v>
      </c>
      <c r="C202" s="50">
        <v>11</v>
      </c>
      <c r="D202" s="50">
        <v>317</v>
      </c>
      <c r="E202" s="51">
        <v>0.8</v>
      </c>
      <c r="F202" s="51"/>
      <c r="G202" s="51"/>
      <c r="H202" s="51">
        <v>0.2</v>
      </c>
      <c r="I202" s="49">
        <f t="shared" si="8"/>
        <v>63.4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257">
        <v>75</v>
      </c>
      <c r="B203" s="50">
        <v>372</v>
      </c>
      <c r="C203" s="50">
        <v>12</v>
      </c>
      <c r="D203" s="50">
        <v>337</v>
      </c>
      <c r="E203" s="51">
        <v>0.8</v>
      </c>
      <c r="F203" s="51"/>
      <c r="G203" s="51"/>
      <c r="H203" s="51">
        <v>0.2</v>
      </c>
      <c r="I203" s="49">
        <f t="shared" si="8"/>
        <v>67.400000000000006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>
        <v>80</v>
      </c>
      <c r="B204" s="50">
        <v>390</v>
      </c>
      <c r="C204" s="50">
        <v>13</v>
      </c>
      <c r="D204" s="50">
        <v>356</v>
      </c>
      <c r="E204" s="51">
        <v>0.8</v>
      </c>
      <c r="F204" s="51"/>
      <c r="G204" s="51"/>
      <c r="H204" s="51">
        <v>0.2</v>
      </c>
      <c r="I204" s="49">
        <f t="shared" si="8"/>
        <v>71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>
        <v>85</v>
      </c>
      <c r="B205" s="50">
        <v>405</v>
      </c>
      <c r="C205" s="50">
        <v>14</v>
      </c>
      <c r="D205" s="50">
        <v>372</v>
      </c>
      <c r="E205" s="51">
        <v>0.8</v>
      </c>
      <c r="F205" s="51"/>
      <c r="G205" s="51"/>
      <c r="H205" s="51">
        <v>0.2</v>
      </c>
      <c r="I205" s="49">
        <f t="shared" si="8"/>
        <v>74.2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>
        <v>90</v>
      </c>
      <c r="B206" s="50">
        <v>420</v>
      </c>
      <c r="C206" s="50">
        <v>15</v>
      </c>
      <c r="D206" s="50">
        <v>389</v>
      </c>
      <c r="E206" s="51">
        <v>0.8</v>
      </c>
      <c r="F206" s="51"/>
      <c r="G206" s="51"/>
      <c r="H206" s="51">
        <v>0.2</v>
      </c>
      <c r="I206" s="49">
        <f t="shared" si="8"/>
        <v>77.400000000000006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>
        <v>95</v>
      </c>
      <c r="B207" s="50">
        <v>433</v>
      </c>
      <c r="C207" s="50">
        <v>16</v>
      </c>
      <c r="D207" s="50">
        <v>403</v>
      </c>
      <c r="E207" s="51">
        <v>0.8</v>
      </c>
      <c r="F207" s="51"/>
      <c r="G207" s="51"/>
      <c r="H207" s="51">
        <v>0.2</v>
      </c>
      <c r="I207" s="49">
        <f t="shared" si="8"/>
        <v>80.400000000000006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>
        <v>100</v>
      </c>
      <c r="B208" s="50">
        <v>445</v>
      </c>
      <c r="C208" s="50">
        <v>17</v>
      </c>
      <c r="D208" s="50">
        <v>445</v>
      </c>
      <c r="E208" s="51">
        <v>0.8</v>
      </c>
      <c r="F208" s="51"/>
      <c r="G208" s="51"/>
      <c r="H208" s="51">
        <v>0.2</v>
      </c>
      <c r="I208" s="49">
        <f t="shared" si="8"/>
        <v>83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>Charme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63" t="s">
        <v>186</v>
      </c>
      <c r="D216" s="263"/>
      <c r="E216" s="264" t="s">
        <v>187</v>
      </c>
      <c r="F216" s="265"/>
      <c r="G216" s="265"/>
      <c r="H216" s="266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>
        <v>20</v>
      </c>
      <c r="B218" s="60">
        <v>56</v>
      </c>
      <c r="C218" s="50">
        <v>1</v>
      </c>
      <c r="D218" s="60">
        <v>56</v>
      </c>
      <c r="E218" s="63"/>
      <c r="F218" s="63"/>
      <c r="G218" s="63"/>
      <c r="H218" s="63">
        <v>1</v>
      </c>
      <c r="I218" s="53">
        <f>IFERROR(B218/A218,"")</f>
        <v>2.8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>
        <v>25</v>
      </c>
      <c r="B219" s="60">
        <v>111</v>
      </c>
      <c r="C219" s="50">
        <v>2</v>
      </c>
      <c r="D219" s="60">
        <v>85</v>
      </c>
      <c r="E219" s="63"/>
      <c r="F219" s="63"/>
      <c r="G219" s="63"/>
      <c r="H219" s="63">
        <v>1</v>
      </c>
      <c r="I219" s="53">
        <f t="shared" ref="I219:I237" si="9">IF(A219&lt;&gt;0,(B219-(B218-D218))/(A219-A218),"")</f>
        <v>22.2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>
        <v>30</v>
      </c>
      <c r="B220" s="60">
        <v>146</v>
      </c>
      <c r="C220" s="50">
        <v>3</v>
      </c>
      <c r="D220" s="60">
        <v>111</v>
      </c>
      <c r="E220" s="63"/>
      <c r="F220" s="63"/>
      <c r="G220" s="63"/>
      <c r="H220" s="63">
        <v>1</v>
      </c>
      <c r="I220" s="53">
        <f t="shared" si="9"/>
        <v>24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>
        <v>35</v>
      </c>
      <c r="B221" s="55">
        <v>175</v>
      </c>
      <c r="C221" s="55">
        <v>4</v>
      </c>
      <c r="D221" s="55">
        <v>140</v>
      </c>
      <c r="E221" s="63">
        <v>0.6</v>
      </c>
      <c r="F221" s="63"/>
      <c r="G221" s="63"/>
      <c r="H221" s="63">
        <v>0.4</v>
      </c>
      <c r="I221" s="53">
        <f t="shared" si="9"/>
        <v>28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>
        <v>40</v>
      </c>
      <c r="B222" s="55">
        <v>207</v>
      </c>
      <c r="C222" s="55">
        <v>5</v>
      </c>
      <c r="D222" s="55">
        <v>172</v>
      </c>
      <c r="E222" s="63">
        <v>0.8</v>
      </c>
      <c r="F222" s="63"/>
      <c r="G222" s="63"/>
      <c r="H222" s="63">
        <v>0.2</v>
      </c>
      <c r="I222" s="53">
        <f t="shared" si="9"/>
        <v>34.4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>
        <v>45</v>
      </c>
      <c r="B223" s="55">
        <v>241</v>
      </c>
      <c r="C223" s="55">
        <v>6</v>
      </c>
      <c r="D223" s="55">
        <v>206</v>
      </c>
      <c r="E223" s="63">
        <v>0.8</v>
      </c>
      <c r="F223" s="63"/>
      <c r="G223" s="63"/>
      <c r="H223" s="63">
        <v>0.2</v>
      </c>
      <c r="I223" s="53">
        <f t="shared" si="9"/>
        <v>41.2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>
        <v>50</v>
      </c>
      <c r="B224" s="55">
        <v>274</v>
      </c>
      <c r="C224" s="55">
        <v>7</v>
      </c>
      <c r="D224" s="55">
        <v>239</v>
      </c>
      <c r="E224" s="63">
        <v>0.8</v>
      </c>
      <c r="F224" s="63"/>
      <c r="G224" s="63"/>
      <c r="H224" s="63">
        <v>0.2</v>
      </c>
      <c r="I224" s="53">
        <f t="shared" si="9"/>
        <v>47.8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>
        <v>55</v>
      </c>
      <c r="B225" s="55">
        <v>306</v>
      </c>
      <c r="C225" s="55">
        <v>8</v>
      </c>
      <c r="D225" s="55">
        <v>271</v>
      </c>
      <c r="E225" s="63">
        <v>0.8</v>
      </c>
      <c r="F225" s="63"/>
      <c r="G225" s="63"/>
      <c r="H225" s="63">
        <v>0.2</v>
      </c>
      <c r="I225" s="53">
        <f t="shared" si="9"/>
        <v>54.2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>
        <v>60</v>
      </c>
      <c r="B226" s="55">
        <v>336</v>
      </c>
      <c r="C226" s="55">
        <v>9</v>
      </c>
      <c r="D226" s="55">
        <v>301</v>
      </c>
      <c r="E226" s="63">
        <v>0.8</v>
      </c>
      <c r="F226" s="63"/>
      <c r="G226" s="63"/>
      <c r="H226" s="63">
        <v>0.2</v>
      </c>
      <c r="I226" s="53">
        <f t="shared" si="9"/>
        <v>60.2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>
        <v>65</v>
      </c>
      <c r="B227" s="55">
        <v>363</v>
      </c>
      <c r="C227" s="55">
        <v>10</v>
      </c>
      <c r="D227" s="55">
        <v>328</v>
      </c>
      <c r="E227" s="63">
        <v>0.8</v>
      </c>
      <c r="F227" s="63"/>
      <c r="G227" s="63"/>
      <c r="H227" s="63">
        <v>0.2</v>
      </c>
      <c r="I227" s="53">
        <f t="shared" si="9"/>
        <v>65.599999999999994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>
        <v>70</v>
      </c>
      <c r="B228" s="55">
        <v>387</v>
      </c>
      <c r="C228" s="55">
        <v>11</v>
      </c>
      <c r="D228" s="55">
        <v>387</v>
      </c>
      <c r="E228" s="63">
        <v>0.8</v>
      </c>
      <c r="F228" s="63"/>
      <c r="G228" s="63"/>
      <c r="H228" s="63">
        <v>0.2</v>
      </c>
      <c r="I228" s="53">
        <f t="shared" si="9"/>
        <v>70.400000000000006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>Aulne glutineux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63" t="s">
        <v>186</v>
      </c>
      <c r="D242" s="263"/>
      <c r="E242" s="264" t="s">
        <v>187</v>
      </c>
      <c r="F242" s="265"/>
      <c r="G242" s="265"/>
      <c r="H242" s="266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>
        <v>15</v>
      </c>
      <c r="B244" s="60">
        <v>21</v>
      </c>
      <c r="C244" s="60">
        <v>1</v>
      </c>
      <c r="D244" s="60">
        <v>19</v>
      </c>
      <c r="E244" s="51"/>
      <c r="F244" s="51">
        <v>0.5</v>
      </c>
      <c r="G244" s="51">
        <v>0.5</v>
      </c>
      <c r="H244" s="63"/>
      <c r="I244" s="53">
        <f>IFERROR(B244/A244,"")</f>
        <v>1.4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>
        <v>20</v>
      </c>
      <c r="B245" s="60">
        <v>52</v>
      </c>
      <c r="C245" s="60">
        <v>2</v>
      </c>
      <c r="D245" s="60">
        <v>47</v>
      </c>
      <c r="E245" s="63"/>
      <c r="F245" s="63">
        <v>0.5</v>
      </c>
      <c r="G245" s="63">
        <v>0.25</v>
      </c>
      <c r="H245" s="63">
        <v>0.25</v>
      </c>
      <c r="I245" s="53">
        <f>IF(A245&lt;&gt;0,(B245-(B244-D244))/(A245-A244),"")</f>
        <v>10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>
        <v>25</v>
      </c>
      <c r="B246" s="60">
        <v>74</v>
      </c>
      <c r="C246" s="60">
        <v>3</v>
      </c>
      <c r="D246" s="60">
        <v>63</v>
      </c>
      <c r="E246" s="63"/>
      <c r="F246" s="63">
        <v>0.5</v>
      </c>
      <c r="G246" s="63">
        <v>0.25</v>
      </c>
      <c r="H246" s="63">
        <v>0.25</v>
      </c>
      <c r="I246" s="53">
        <f>IF(A246&lt;&gt;0,(B246-(B245-D245))/(A246-A245),"")</f>
        <v>13.8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>
        <v>30</v>
      </c>
      <c r="B247" s="60">
        <v>89</v>
      </c>
      <c r="C247" s="60">
        <v>4</v>
      </c>
      <c r="D247" s="60">
        <v>76</v>
      </c>
      <c r="E247" s="63"/>
      <c r="F247" s="63">
        <v>0.5</v>
      </c>
      <c r="G247" s="63">
        <v>0.25</v>
      </c>
      <c r="H247" s="63">
        <v>0.25</v>
      </c>
      <c r="I247" s="53">
        <f t="shared" ref="I247:I263" si="10">IF(A247&lt;&gt;0,(B247-(B246-D246))/(A247-A246),"")</f>
        <v>15.6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>
        <v>35</v>
      </c>
      <c r="B248" s="60">
        <v>100</v>
      </c>
      <c r="C248" s="60">
        <v>5</v>
      </c>
      <c r="D248" s="60">
        <v>86</v>
      </c>
      <c r="E248" s="63">
        <v>0.4</v>
      </c>
      <c r="F248" s="63">
        <v>0.2</v>
      </c>
      <c r="G248" s="63">
        <v>0.2</v>
      </c>
      <c r="H248" s="63">
        <v>0.2</v>
      </c>
      <c r="I248" s="53">
        <f t="shared" si="10"/>
        <v>17.399999999999999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>
        <v>40</v>
      </c>
      <c r="B249" s="60">
        <v>110</v>
      </c>
      <c r="C249" s="60">
        <v>6</v>
      </c>
      <c r="D249" s="60">
        <v>95</v>
      </c>
      <c r="E249" s="63">
        <v>0.4</v>
      </c>
      <c r="F249" s="63">
        <v>0.2</v>
      </c>
      <c r="G249" s="63">
        <v>0.2</v>
      </c>
      <c r="H249" s="63">
        <v>0.2</v>
      </c>
      <c r="I249" s="53">
        <f t="shared" si="10"/>
        <v>19.2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>
        <v>45</v>
      </c>
      <c r="B250" s="60">
        <v>118</v>
      </c>
      <c r="C250" s="60">
        <v>7</v>
      </c>
      <c r="D250" s="60">
        <v>103</v>
      </c>
      <c r="E250" s="63">
        <v>0.4</v>
      </c>
      <c r="F250" s="63">
        <v>0.2</v>
      </c>
      <c r="G250" s="63">
        <v>0.2</v>
      </c>
      <c r="H250" s="63">
        <v>0.2</v>
      </c>
      <c r="I250" s="53">
        <f t="shared" si="10"/>
        <v>20.6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>
        <v>50</v>
      </c>
      <c r="B251" s="55">
        <v>124</v>
      </c>
      <c r="C251" s="55">
        <v>8</v>
      </c>
      <c r="D251" s="55">
        <v>109</v>
      </c>
      <c r="E251" s="63">
        <v>0.4</v>
      </c>
      <c r="F251" s="63">
        <v>0.2</v>
      </c>
      <c r="G251" s="63">
        <v>0.2</v>
      </c>
      <c r="H251" s="63">
        <v>0.2</v>
      </c>
      <c r="I251" s="53">
        <f t="shared" si="10"/>
        <v>21.8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>
        <v>55</v>
      </c>
      <c r="B252" s="55">
        <v>128</v>
      </c>
      <c r="C252" s="55">
        <v>9</v>
      </c>
      <c r="D252" s="55">
        <v>114</v>
      </c>
      <c r="E252" s="63">
        <v>0.7</v>
      </c>
      <c r="F252" s="63">
        <v>0.1</v>
      </c>
      <c r="G252" s="63">
        <v>0.1</v>
      </c>
      <c r="H252" s="63">
        <v>0.1</v>
      </c>
      <c r="I252" s="53">
        <f t="shared" si="10"/>
        <v>22.6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>
        <v>60</v>
      </c>
      <c r="B253" s="55">
        <v>133</v>
      </c>
      <c r="C253" s="55">
        <v>10</v>
      </c>
      <c r="D253" s="55">
        <v>119</v>
      </c>
      <c r="E253" s="63">
        <v>0.7</v>
      </c>
      <c r="F253" s="63">
        <v>0.1</v>
      </c>
      <c r="G253" s="63">
        <v>0.1</v>
      </c>
      <c r="H253" s="63">
        <v>0.1</v>
      </c>
      <c r="I253" s="53">
        <f t="shared" si="10"/>
        <v>23.8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>
        <v>65</v>
      </c>
      <c r="B254" s="55">
        <v>136</v>
      </c>
      <c r="C254" s="55">
        <v>11</v>
      </c>
      <c r="D254" s="55">
        <v>123</v>
      </c>
      <c r="E254" s="63">
        <v>0.7</v>
      </c>
      <c r="F254" s="63">
        <v>0.1</v>
      </c>
      <c r="G254" s="63">
        <v>0.1</v>
      </c>
      <c r="H254" s="63">
        <v>0.1</v>
      </c>
      <c r="I254" s="53">
        <f t="shared" si="10"/>
        <v>24.4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>
        <v>70</v>
      </c>
      <c r="B255" s="55">
        <v>139</v>
      </c>
      <c r="C255" s="55">
        <v>12</v>
      </c>
      <c r="D255" s="55">
        <v>139</v>
      </c>
      <c r="E255" s="63">
        <v>0.7</v>
      </c>
      <c r="F255" s="63">
        <v>0.1</v>
      </c>
      <c r="G255" s="63">
        <v>0.1</v>
      </c>
      <c r="H255" s="63">
        <v>0.1</v>
      </c>
      <c r="I255" s="53">
        <f t="shared" si="10"/>
        <v>25.2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>Tilleul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63" t="s">
        <v>186</v>
      </c>
      <c r="D268" s="263"/>
      <c r="E268" s="264" t="s">
        <v>187</v>
      </c>
      <c r="F268" s="265"/>
      <c r="G268" s="265"/>
      <c r="H268" s="266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257">
        <v>50</v>
      </c>
      <c r="B270" s="258">
        <v>652</v>
      </c>
      <c r="C270" s="50">
        <v>1</v>
      </c>
      <c r="D270" s="258">
        <v>415</v>
      </c>
      <c r="E270" s="51"/>
      <c r="F270" s="51"/>
      <c r="G270" s="51"/>
      <c r="H270" s="51">
        <v>1</v>
      </c>
      <c r="I270" s="53">
        <f>IFERROR(B270/A270,"")</f>
        <v>13.04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257">
        <v>60</v>
      </c>
      <c r="B271" s="258">
        <v>520</v>
      </c>
      <c r="C271" s="50">
        <v>2</v>
      </c>
      <c r="D271" s="258">
        <v>459</v>
      </c>
      <c r="E271" s="51"/>
      <c r="F271" s="51"/>
      <c r="G271" s="51"/>
      <c r="H271" s="51">
        <v>1</v>
      </c>
      <c r="I271" s="53">
        <f>IF(A271&lt;&gt;0,(B271-(B270-D270))/(A271-A270),"")</f>
        <v>28.3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257">
        <v>70</v>
      </c>
      <c r="B272" s="258">
        <v>550</v>
      </c>
      <c r="C272" s="50">
        <v>3</v>
      </c>
      <c r="D272" s="258">
        <v>496</v>
      </c>
      <c r="E272" s="51"/>
      <c r="F272" s="51"/>
      <c r="G272" s="51"/>
      <c r="H272" s="51">
        <v>1</v>
      </c>
      <c r="I272" s="53">
        <f t="shared" ref="I272:I289" si="11">IF(A272&lt;&gt;0,(B272-(B271-D271))/(A272-A271),"")</f>
        <v>48.9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257">
        <v>80</v>
      </c>
      <c r="B273" s="258">
        <v>578</v>
      </c>
      <c r="C273" s="50">
        <v>4</v>
      </c>
      <c r="D273" s="258">
        <v>527</v>
      </c>
      <c r="E273" s="51">
        <v>0.6</v>
      </c>
      <c r="F273" s="51"/>
      <c r="G273" s="51"/>
      <c r="H273" s="51">
        <v>0.4</v>
      </c>
      <c r="I273" s="53">
        <f t="shared" si="11"/>
        <v>52.4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257">
        <v>90</v>
      </c>
      <c r="B274" s="258">
        <v>600</v>
      </c>
      <c r="C274" s="50">
        <v>5</v>
      </c>
      <c r="D274" s="258">
        <v>553</v>
      </c>
      <c r="E274" s="51">
        <v>0.8</v>
      </c>
      <c r="F274" s="51"/>
      <c r="G274" s="51"/>
      <c r="H274" s="51">
        <v>0.2</v>
      </c>
      <c r="I274" s="53">
        <f t="shared" si="11"/>
        <v>54.9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257">
        <v>100</v>
      </c>
      <c r="B275" s="258">
        <v>619</v>
      </c>
      <c r="C275" s="50">
        <v>6</v>
      </c>
      <c r="D275" s="258">
        <v>619</v>
      </c>
      <c r="E275" s="63">
        <v>0.8</v>
      </c>
      <c r="F275" s="63"/>
      <c r="G275" s="63"/>
      <c r="H275" s="63">
        <v>0.2</v>
      </c>
      <c r="I275" s="53">
        <f t="shared" si="11"/>
        <v>57.2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7" sqref="B17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7" t="s">
        <v>191</v>
      </c>
      <c r="C2" s="278"/>
      <c r="D2" s="278"/>
      <c r="E2" s="278"/>
      <c r="F2" s="278"/>
      <c r="G2" s="279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6"/>
      <c r="C4" s="276"/>
      <c r="D4" s="276"/>
      <c r="E4" s="276"/>
      <c r="F4" s="276"/>
      <c r="G4" s="276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/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0.56999999999999995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0.43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83" t="s">
        <v>176</v>
      </c>
      <c r="C1" s="284"/>
      <c r="D1" s="284"/>
      <c r="E1" s="284"/>
      <c r="F1" s="284"/>
      <c r="G1" s="284"/>
      <c r="H1" s="285"/>
      <c r="I1" s="280" t="str">
        <f>IF('Données projet'!$B$9="","",'Données projet'!$B$9)</f>
        <v>Chêne rouge d'Amérique</v>
      </c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2"/>
      <c r="AD1" s="281" t="str">
        <f>IF('Données projet'!$B$10="","",'Données projet'!$B$10)</f>
        <v>Chêne sessile</v>
      </c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  <c r="AW1" s="281"/>
      <c r="AX1" s="282"/>
      <c r="AY1" s="280" t="str">
        <f>IF('Données projet'!$B$11="","",'Données projet'!$B$11)</f>
        <v>Douglas</v>
      </c>
      <c r="AZ1" s="281"/>
      <c r="BA1" s="281"/>
      <c r="BB1" s="281"/>
      <c r="BC1" s="281"/>
      <c r="BD1" s="281"/>
      <c r="BE1" s="281"/>
      <c r="BF1" s="281"/>
      <c r="BG1" s="281"/>
      <c r="BH1" s="281"/>
      <c r="BI1" s="281"/>
      <c r="BJ1" s="281"/>
      <c r="BK1" s="281"/>
      <c r="BL1" s="281"/>
      <c r="BM1" s="281"/>
      <c r="BN1" s="281"/>
      <c r="BO1" s="281"/>
      <c r="BP1" s="281"/>
      <c r="BQ1" s="281"/>
      <c r="BR1" s="281"/>
      <c r="BS1" s="282"/>
      <c r="BT1" s="280" t="str">
        <f>IF('Données projet'!$B$12="","",'Données projet'!$B$12)</f>
        <v>Mélèze d'Europe</v>
      </c>
      <c r="BU1" s="281"/>
      <c r="BV1" s="281"/>
      <c r="BW1" s="281"/>
      <c r="BX1" s="281"/>
      <c r="BY1" s="281"/>
      <c r="BZ1" s="281"/>
      <c r="CA1" s="281"/>
      <c r="CB1" s="281"/>
      <c r="CC1" s="281"/>
      <c r="CD1" s="281"/>
      <c r="CE1" s="281"/>
      <c r="CF1" s="281"/>
      <c r="CG1" s="281"/>
      <c r="CH1" s="281"/>
      <c r="CI1" s="281"/>
      <c r="CJ1" s="281"/>
      <c r="CK1" s="281"/>
      <c r="CL1" s="281"/>
      <c r="CM1" s="281"/>
      <c r="CN1" s="282"/>
      <c r="CO1" s="280" t="str">
        <f>IF('Données projet'!$B$13="","",'Données projet'!$B$13)</f>
        <v>Erable plane</v>
      </c>
      <c r="CP1" s="281"/>
      <c r="CQ1" s="281"/>
      <c r="CR1" s="281"/>
      <c r="CS1" s="281"/>
      <c r="CT1" s="281"/>
      <c r="CU1" s="281"/>
      <c r="CV1" s="281"/>
      <c r="CW1" s="281"/>
      <c r="CX1" s="281"/>
      <c r="CY1" s="281"/>
      <c r="CZ1" s="281"/>
      <c r="DA1" s="281"/>
      <c r="DB1" s="281"/>
      <c r="DC1" s="281"/>
      <c r="DD1" s="281"/>
      <c r="DE1" s="281"/>
      <c r="DF1" s="281"/>
      <c r="DG1" s="281"/>
      <c r="DH1" s="281"/>
      <c r="DI1" s="282"/>
      <c r="DJ1" s="280" t="str">
        <f>IF('Données projet'!$B$14="","",'Données projet'!$B$14)</f>
        <v>Châtaignier</v>
      </c>
      <c r="DK1" s="281"/>
      <c r="DL1" s="281"/>
      <c r="DM1" s="281"/>
      <c r="DN1" s="281"/>
      <c r="DO1" s="281"/>
      <c r="DP1" s="281"/>
      <c r="DQ1" s="281"/>
      <c r="DR1" s="281"/>
      <c r="DS1" s="281"/>
      <c r="DT1" s="281"/>
      <c r="DU1" s="281"/>
      <c r="DV1" s="281"/>
      <c r="DW1" s="281"/>
      <c r="DX1" s="281"/>
      <c r="DY1" s="281"/>
      <c r="DZ1" s="281"/>
      <c r="EA1" s="281"/>
      <c r="EB1" s="281"/>
      <c r="EC1" s="281"/>
      <c r="ED1" s="282"/>
      <c r="EE1" s="280" t="str">
        <f>IF('Données projet'!$B$15="","",'Données projet'!$B$15)</f>
        <v>Hêtre</v>
      </c>
      <c r="EF1" s="281"/>
      <c r="EG1" s="281"/>
      <c r="EH1" s="281"/>
      <c r="EI1" s="281"/>
      <c r="EJ1" s="281"/>
      <c r="EK1" s="281"/>
      <c r="EL1" s="281"/>
      <c r="EM1" s="281"/>
      <c r="EN1" s="281"/>
      <c r="EO1" s="281"/>
      <c r="EP1" s="281"/>
      <c r="EQ1" s="281"/>
      <c r="ER1" s="281"/>
      <c r="ES1" s="281"/>
      <c r="ET1" s="281"/>
      <c r="EU1" s="281"/>
      <c r="EV1" s="281"/>
      <c r="EW1" s="281"/>
      <c r="EX1" s="281"/>
      <c r="EY1" s="282"/>
      <c r="EZ1" s="280" t="str">
        <f>IF('Données projet'!$B$16="","",'Données projet'!$B$16)</f>
        <v>Charme</v>
      </c>
      <c r="FA1" s="281"/>
      <c r="FB1" s="281"/>
      <c r="FC1" s="281"/>
      <c r="FD1" s="281"/>
      <c r="FE1" s="281"/>
      <c r="FF1" s="281"/>
      <c r="FG1" s="281"/>
      <c r="FH1" s="281"/>
      <c r="FI1" s="281"/>
      <c r="FJ1" s="281"/>
      <c r="FK1" s="281"/>
      <c r="FL1" s="281"/>
      <c r="FM1" s="281"/>
      <c r="FN1" s="281"/>
      <c r="FO1" s="281"/>
      <c r="FP1" s="281"/>
      <c r="FQ1" s="281"/>
      <c r="FR1" s="281"/>
      <c r="FS1" s="281"/>
      <c r="FT1" s="282"/>
      <c r="FU1" s="280" t="str">
        <f>IF('Données projet'!$B$17="","",'Données projet'!$B$17)</f>
        <v>Aulne glutineux</v>
      </c>
      <c r="FV1" s="281"/>
      <c r="FW1" s="281"/>
      <c r="FX1" s="281"/>
      <c r="FY1" s="281"/>
      <c r="FZ1" s="281"/>
      <c r="GA1" s="281"/>
      <c r="GB1" s="281"/>
      <c r="GC1" s="281"/>
      <c r="GD1" s="281"/>
      <c r="GE1" s="281"/>
      <c r="GF1" s="281"/>
      <c r="GG1" s="281"/>
      <c r="GH1" s="281"/>
      <c r="GI1" s="281"/>
      <c r="GJ1" s="281"/>
      <c r="GK1" s="281"/>
      <c r="GL1" s="281"/>
      <c r="GM1" s="281"/>
      <c r="GN1" s="281"/>
      <c r="GO1" s="282"/>
      <c r="GP1" s="280" t="str">
        <f>IF('Données projet'!$B$18="","",'Données projet'!$B$18)</f>
        <v>Tilleul</v>
      </c>
      <c r="GQ1" s="281"/>
      <c r="GR1" s="281"/>
      <c r="GS1" s="281"/>
      <c r="GT1" s="281"/>
      <c r="GU1" s="281"/>
      <c r="GV1" s="281"/>
      <c r="GW1" s="281"/>
      <c r="GX1" s="281"/>
      <c r="GY1" s="281"/>
      <c r="GZ1" s="281"/>
      <c r="HA1" s="281"/>
      <c r="HB1" s="281"/>
      <c r="HC1" s="281"/>
      <c r="HD1" s="281"/>
      <c r="HE1" s="281"/>
      <c r="HF1" s="281"/>
      <c r="HG1" s="281"/>
      <c r="HH1" s="281"/>
      <c r="HI1" s="281"/>
      <c r="HJ1" s="282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2.8499999999999996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10.449999999999998</v>
      </c>
      <c r="H3" s="67">
        <f>(B3+E3+F3)*44/12+(C3+D3)*0.475*44/12</f>
        <v>214.86666666666667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55.75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204.41666666666666</v>
      </c>
      <c r="S3" s="59">
        <f ca="1">AVERAGE(OFFSET($R$3,0,0,'Données projet'!$E$9+1,1))-AVERAGE(OFFSET($H$3,0,0,'Données projet'!$E$9+1,1))</f>
        <v>686.80970545599644</v>
      </c>
      <c r="T3" s="59">
        <f>IF('Données projet'!E9&gt;30,$R$33-$H$33,LOOKUP('Données projet'!$E$9,$A$3:$A$203,R3:R203)-LOOKUP('Données projet'!$E$9,$A$3:$A$203,$H$3:$H$203))</f>
        <v>636.16485232937737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55.75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204.41666666666666</v>
      </c>
      <c r="AN3" s="59">
        <f ca="1">AVERAGE(OFFSET($AM$3,0,0,'Données projet'!$E$10+1,1))-AVERAGE(OFFSET($H$3,0,0,'Données projet'!$E$10+1,1))</f>
        <v>323.67375363913726</v>
      </c>
      <c r="AO3" s="59">
        <f>IF('Données projet'!E10&gt;30,$AM$33-$H$33,LOOKUP('Données projet'!$E$10,$A$3:$A$203,AM3:AM203)-LOOKUP('Données projet'!$E$10,$A$3:$A$203,$H$3:$H$203))</f>
        <v>266.03902815735029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55.75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204.41666666666666</v>
      </c>
      <c r="BI3" s="59">
        <f ca="1">AVERAGE(OFFSET($BH$3,0,0,'Données projet'!$E$11+1,1))-AVERAGE(OFFSET($H$3,0,0,'Données projet'!$E$11+1,1))</f>
        <v>371.46495716091965</v>
      </c>
      <c r="BJ3" s="59">
        <f>IF('Données projet'!E11&gt;30,$BH$33-$H$33,LOOKUP('Données projet'!$E$11,$A$3:$A$203,BH3:BH203)-LOOKUP('Données projet'!$E$11,$A$3:$A$203,$H$3:$H$203))</f>
        <v>579.95059529269417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55.75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204.41666666666666</v>
      </c>
      <c r="CD3" s="59">
        <f ca="1">AVERAGE(OFFSET($CC$3,0,0,'Données projet'!$E$12+1,1))-AVERAGE(OFFSET($H$3,0,0,'Données projet'!$E$12+1,1))</f>
        <v>180.18752244216969</v>
      </c>
      <c r="CE3" s="59">
        <f>IF('Données projet'!E12&gt;30,$CC$33-$H$33,LOOKUP('Données projet'!$E$12,$A$3:$A$203,CC3:CC203)-LOOKUP('Données projet'!$E$12,$A$3:$A$203,$H$3:$H$203))</f>
        <v>350.12096474554676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55.75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204.41666666666666</v>
      </c>
      <c r="CY3" s="59">
        <f ca="1">AVERAGE(OFFSET($CX$3,0,0,'Données projet'!$E$13+1,1))-AVERAGE(OFFSET($H$3,0,0,'Données projet'!$E$13+1,1))</f>
        <v>284.31574332240928</v>
      </c>
      <c r="CZ3" s="59">
        <f>IF('Données projet'!E13&gt;30,$CX$33-$H$33,LOOKUP('Données projet'!$E$13,$A$3:$A$203,CX3:CX203)-LOOKUP('Données projet'!$E$13,$A$3:$A$203,$H$3:$H$203))</f>
        <v>403.96994631683913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55.75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204.41666666666666</v>
      </c>
      <c r="DT3" s="59">
        <f ca="1">AVERAGE(OFFSET($DS$3,0,0,'Données projet'!$E$14+1,1))-AVERAGE(OFFSET($H$3,0,0,'Données projet'!$E$14+1,1))</f>
        <v>190.9519472160006</v>
      </c>
      <c r="DU3" s="59">
        <f>IF('Données projet'!E14&gt;30,$DS$33-$H$33,LOOKUP('Données projet'!$E$14,$A$3:$A$203,DS3:DS203)-LOOKUP('Données projet'!$E$14,$A$3:$A$203,$H$3:$H$203))</f>
        <v>170.61553500287511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55.75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204.41666666666666</v>
      </c>
      <c r="EO3" s="59">
        <f ca="1">AVERAGE(OFFSET($EN$3,0,0,'Données projet'!$E$15+1,1))-AVERAGE(OFFSET($H$3,0,0,'Données projet'!$E$15+1,1))</f>
        <v>331.94255128154623</v>
      </c>
      <c r="EP3" s="59">
        <f>IF('Données projet'!E15&gt;30,$EN$33-$H$33,LOOKUP('Données projet'!$E$15,$A$3:$A$203,EN3:EN203)-LOOKUP('Données projet'!$E$15,$A$3:$A$203,$H$3:$H$203))</f>
        <v>258.40809812013964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55.75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204.41666666666666</v>
      </c>
      <c r="FJ3" s="59">
        <f ca="1">AVERAGE(OFFSET($FI$3,0,0,'Données projet'!$E$16+1,1))-AVERAGE(OFFSET($H$3,0,0,'Données projet'!$E$16+1,1))</f>
        <v>290.72311302449236</v>
      </c>
      <c r="FK3" s="59">
        <f>IF('Données projet'!E16&gt;30,$FI$33-$H$33,LOOKUP('Données projet'!$E$16,$A$3:$A$203,FI3:FI203)-LOOKUP('Données projet'!$E$16,$A$3:$A$203,$H$3:$H$203))</f>
        <v>352.32552988394434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55.75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204.41666666666666</v>
      </c>
      <c r="GE3" s="59">
        <f ca="1">AVERAGE(OFFSET($GD$3,0,0,'Données projet'!$E$17+1,1))-AVERAGE(OFFSET($H$3,0,0,'Données projet'!$E$17+1,1))</f>
        <v>123.03972959251965</v>
      </c>
      <c r="GF3" s="59">
        <f>IF('Données projet'!E17&gt;30,$GD$33-$H$33,LOOKUP('Données projet'!$E$17,$A$3:$A$203,GD3:GD203)-LOOKUP('Données projet'!$E$17,$A$3:$A$203,$H$3:$H$203))</f>
        <v>178.27657680839445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55.75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204.41666666666666</v>
      </c>
      <c r="GZ3" s="59">
        <f ca="1">AVERAGE(OFFSET($GY$3,0,0,'Données projet'!$E$18+1,1))-AVERAGE(OFFSET($H$3,0,0,'Données projet'!$E$18+1,1))</f>
        <v>542.25674729323623</v>
      </c>
      <c r="HA3" s="59">
        <f>IF('Données projet'!E18&gt;30,$GY$33-$H$33,LOOKUP('Données projet'!$E$18,$A$3:$A$203,GY3:GY203)-LOOKUP('Données projet'!$E$18,$A$3:$A$203,$H$3:$H$203))</f>
        <v>614.73906555680685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2.8499999999999996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10.449999999999998</v>
      </c>
      <c r="H4" s="67">
        <f t="shared" ref="H4:H67" si="1">(B4+E4+F4)*44/12+(C4+D4)*0.475*44/12</f>
        <v>214.86666666666667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55.997205641772702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10.4</v>
      </c>
      <c r="N4" s="13">
        <f>IF('Données projet'!$A$36&gt;35,N3+M4-V3,IF(A4&lt;'Données projet'!$A$36,$K$205^A4,IF(A4='Données projet'!$A$36,'Données projet'!$B$36,N3+M4-V3)))</f>
        <v>1.3058796878509353</v>
      </c>
      <c r="O4" s="13">
        <f>N4*VLOOKUP('Données projet'!$B$9,Paramètres!$A$1:$I$89,3,0)*VLOOKUP('Données projet'!$B$9,Paramètres!$A$1:$I$89,5,0)</f>
        <v>1.1408164953065771</v>
      </c>
      <c r="P4" s="13">
        <f>EXP(-1.0587+0.8836*LN(O4)+0.284)</f>
        <v>0.51773549301845767</v>
      </c>
      <c r="Q4" s="20">
        <f t="shared" ref="Q4:Q34" si="2">(O4+P4)*0.475*44/12</f>
        <v>2.8886447129994353</v>
      </c>
      <c r="R4" s="59">
        <f t="shared" si="0"/>
        <v>209.43395428838824</v>
      </c>
      <c r="S4" s="59">
        <f ca="1">AVERAGE(OFFSET($R$3,0,0,'Données projet'!$E$9+1,1))-AVERAGE(OFFSET($H$3,0,0,'Données projet'!$E$9+1,1))</f>
        <v>686.80970545599644</v>
      </c>
      <c r="T4" s="59">
        <f>$T$3</f>
        <v>636.16485232937737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55.997205641772702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3.6388888888888888</v>
      </c>
      <c r="AI4" s="13">
        <f>IF('Données projet'!$A$62&gt;35,AI3+AH4-AQ3,IF(A4&lt;'Données projet'!$A$62,$AF$205^A4,IF(A4='Données projet'!$A$62,'Données projet'!$B$62,AI3+AH4-AQ3)))</f>
        <v>3.6388888888888888</v>
      </c>
      <c r="AJ4" s="13">
        <f>AI4*VLOOKUP('Données projet'!$B$10,Paramètres!$A$1:$I$89,3,0)*VLOOKUP('Données projet'!$B$10,Paramètres!$A$1:$I$89,5,0)</f>
        <v>3.2924666666666669</v>
      </c>
      <c r="AK4" s="13">
        <f>EXP(-1.0587+0.8836*LN(AJ4)+0.284)</f>
        <v>1.3207905782168134</v>
      </c>
      <c r="AL4" s="20">
        <f t="shared" ref="AL4:AL67" si="4">(AJ4+AK4)*0.475*44/12</f>
        <v>8.0347563681720615</v>
      </c>
      <c r="AM4" s="59">
        <f t="shared" ref="AM4:AM67" si="5">AL4+(AD4+AE4)*44/12</f>
        <v>214.58006594356087</v>
      </c>
      <c r="AN4" s="59">
        <f ca="1">AVERAGE(OFFSET($AM$3,0,0,'Données projet'!$E$10+1,1))-AVERAGE(OFFSET($H$3,0,0,'Données projet'!$E$10+1,1))</f>
        <v>323.67375363913726</v>
      </c>
      <c r="AO4" s="59">
        <f>$AO$3</f>
        <v>266.03902815735029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55.997205641772702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12.2</v>
      </c>
      <c r="BD4" s="12">
        <f>IF('Données projet'!$A$88&gt;35,BD3+BC4-BL3,IF(A4&lt;'Données projet'!$A$88,$BA$205^A4,IF(A4='Données projet'!$A$88,'Données projet'!$B$88,BD3+BC4-BL3)))</f>
        <v>1.4152399275904428</v>
      </c>
      <c r="BE4" s="13">
        <f>BD4*VLOOKUP('Données projet'!$B$11,Paramètres!$A$1:$I$89,3,0)*VLOOKUP('Données projet'!$B$11,Paramètres!$A$1:$I$89,5,0)</f>
        <v>0.79111911952305758</v>
      </c>
      <c r="BF4" s="13">
        <f>EXP(-1.0587+0.8836*LN(BE4)+0.284)</f>
        <v>0.37466108847523988</v>
      </c>
      <c r="BG4" s="20">
        <f t="shared" ref="BG4:BG67" si="7">(BE4+BF4)*0.475*44/12</f>
        <v>2.0304005289303682</v>
      </c>
      <c r="BH4" s="59">
        <f t="shared" ref="BH4:BH67" si="8">BG4+(AY4+AZ4)*44/12</f>
        <v>208.57571010431917</v>
      </c>
      <c r="BI4" s="59">
        <f ca="1">AVERAGE(OFFSET($BH$3,0,0,'Données projet'!$E$11+1,1))-AVERAGE(OFFSET($H$3,0,0,'Données projet'!$E$11+1,1))</f>
        <v>371.46495716091965</v>
      </c>
      <c r="BJ4" s="59">
        <f>$BJ$3</f>
        <v>579.95059529269417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55.997205641772702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2.7</v>
      </c>
      <c r="BY4" s="12">
        <f>IF('Données projet'!$A$114&gt;35,BY3+BX4-CG3,IF(A4&lt;'Données projet'!$A$114,$BV$205^A4,IF(A4='Données projet'!$A$114,'Données projet'!$B$114,BY3+BX4-CG3)))</f>
        <v>1.3903891703159093</v>
      </c>
      <c r="BZ4" s="13">
        <f>BY4*VLOOKUP('Données projet'!$B$12,Paramètres!$A$1:$I$89,3,0)*VLOOKUP('Données projet'!$B$12,Paramètres!$A$1:$I$89,5,0)</f>
        <v>0.86760284227712736</v>
      </c>
      <c r="CA4" s="13">
        <f>EXP(-1.0587+0.8836*LN(BZ4)+0.284)</f>
        <v>0.40649243773012311</v>
      </c>
      <c r="CB4" s="20">
        <f t="shared" ref="CB4:CB67" si="10">(BZ4+CA4)*0.475*44/12</f>
        <v>2.2190492793459611</v>
      </c>
      <c r="CC4" s="59">
        <f t="shared" ref="CC4:CC67" si="11">CB4+(BT4+BU4)*44/12</f>
        <v>208.76435885473478</v>
      </c>
      <c r="CD4" s="59">
        <f ca="1">AVERAGE(OFFSET($CC$3,0,0,'Données projet'!$E$12+1,1))-AVERAGE(OFFSET($H$3,0,0,'Données projet'!$E$12+1,1))</f>
        <v>180.18752244216969</v>
      </c>
      <c r="CE4" s="59">
        <f>$CE$3</f>
        <v>350.12096474554676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55.997205641772702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1.9</v>
      </c>
      <c r="CT4" s="12">
        <f>IF('Données projet'!$A$140&gt;35,CT3+CS4-DB3,IF(A4&lt;'Données projet'!$A$140,$CQ$205^A4,IF(A4='Données projet'!$A$140,'Données projet'!$B$140,CT3+CS4-DB3)))</f>
        <v>1.3423796509621049</v>
      </c>
      <c r="CU4" s="17">
        <f>CT4*VLOOKUP('Données projet'!$B$13,Paramètres!$A$1:$I$89,3,0)*VLOOKUP('Données projet'!$B$13,Paramètres!$A$1:$I$89,5,0)</f>
        <v>1.0679972503054507</v>
      </c>
      <c r="CV4" s="13">
        <f>EXP(-1.0587+0.8836*LN(CU4)+0.284)</f>
        <v>0.48842359485523285</v>
      </c>
      <c r="CW4" s="20">
        <f t="shared" ref="CW4:CW67" si="13">(CU4+CV4)*0.475*44/12</f>
        <v>2.7107663053215236</v>
      </c>
      <c r="CX4" s="59">
        <f t="shared" ref="CX4:CX67" si="14">CW4+(CO4+CP4)*44/12</f>
        <v>209.25607588071034</v>
      </c>
      <c r="CY4" s="59">
        <f ca="1">AVERAGE(OFFSET($CX$3,0,0,'Données projet'!$E$13+1,1))-AVERAGE(OFFSET($H$3,0,0,'Données projet'!$E$13+1,1))</f>
        <v>284.31574332240928</v>
      </c>
      <c r="CZ4" s="59">
        <f>$CZ$3</f>
        <v>403.96994631683913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55.997205641772702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11.5</v>
      </c>
      <c r="DO4" s="12">
        <f>IF('Données projet'!$A$166&gt;35,DO3+DN4-DW3,IF(A4&lt;'Données projet'!$A$166,$DL$205^A4,IF(A4='Données projet'!$A$166,'Données projet'!$B$166,DO3+DN4-DW3)))</f>
        <v>1.6071994829923506</v>
      </c>
      <c r="DP4" s="17">
        <f>DO4*VLOOKUP('Données projet'!$B$14,Paramètres!$A$1:$I$89,3,0)*VLOOKUP('Données projet'!$B$14,Paramètres!$A$1:$I$89,5,0)</f>
        <v>1.1783986609299915</v>
      </c>
      <c r="DQ4" s="13">
        <f>EXP(-1.0587+0.8836*LN(DP4)+0.284)</f>
        <v>0.53277751568396181</v>
      </c>
      <c r="DR4" s="20">
        <f t="shared" ref="DR4:DR67" si="16">(DP4+DQ4)*0.475*44/12</f>
        <v>2.9802985076026349</v>
      </c>
      <c r="DS4" s="59">
        <f t="shared" ref="DS4:DS67" si="17">DR4+(DJ4+DK4)*44/12</f>
        <v>209.52560808299145</v>
      </c>
      <c r="DT4" s="59">
        <f ca="1">AVERAGE(OFFSET($DS$3,0,0,'Données projet'!$E$14+1,1))-AVERAGE(OFFSET($H$3,0,0,'Données projet'!$E$14+1,1))</f>
        <v>190.9519472160006</v>
      </c>
      <c r="DU4" s="59">
        <f>$DU$3</f>
        <v>170.61553500287511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55.997205641772702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2.8</v>
      </c>
      <c r="EJ4" s="12">
        <f>IF('Données projet'!$A$192&gt;35,EJ3+EI4-ER3,IF(A4&lt;'Données projet'!$A$192,$EG$205^A4,IF(A4='Données projet'!$A$192,'Données projet'!$B$192,EJ3+EI4-ER3)))</f>
        <v>1.2229519710813024</v>
      </c>
      <c r="EK4" s="17">
        <f>EJ4*VLOOKUP('Données projet'!$B$15,Paramètres!$A$1:$I$89,3,0)*VLOOKUP('Données projet'!$B$15,Paramètres!$A$1:$I$89,5,0)</f>
        <v>1.0492927911877574</v>
      </c>
      <c r="EL4" s="13">
        <f>EXP(-1.0587+0.8836*LN(EK4)+0.284)</f>
        <v>0.48085748368030745</v>
      </c>
      <c r="EM4" s="20">
        <f t="shared" ref="EM4:EM67" si="19">(EK4+EL4)*0.475*44/12</f>
        <v>2.6650117287285462</v>
      </c>
      <c r="EN4" s="59">
        <f t="shared" ref="EN4:EN67" si="20">EM4+(EE4+EF4)*44/12</f>
        <v>209.21032130411737</v>
      </c>
      <c r="EO4" s="59">
        <f ca="1">AVERAGE(OFFSET($EN$3,0,0,'Données projet'!$E$15+1,1))-AVERAGE(OFFSET($H$3,0,0,'Données projet'!$E$15+1,1))</f>
        <v>331.94255128154623</v>
      </c>
      <c r="EP4" s="59">
        <f>$EP$3</f>
        <v>258.40809812013964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55.997205641772702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2.8</v>
      </c>
      <c r="FE4" s="12">
        <f>IF('Données projet'!$A$218&gt;35,FE3+FD4-FM3,IF(A4&lt;'Données projet'!$A$218,$FB$205^A4,IF(A4='Données projet'!$A$218,'Données projet'!$B$218,FE3+FD4-FM3)))</f>
        <v>1.2229519710813024</v>
      </c>
      <c r="FF4" s="17">
        <f>FE4*VLOOKUP('Données projet'!$B$16,Paramètres!$A$1:$I$89,3,0)*VLOOKUP('Données projet'!$B$16,Paramètres!$A$1:$I$89,5,0)</f>
        <v>1.1637610956809674</v>
      </c>
      <c r="FG4" s="13">
        <f>EXP(-1.0587+0.8836*LN(FF4)+0.284)</f>
        <v>0.52692566127378504</v>
      </c>
      <c r="FH4" s="20">
        <f t="shared" ref="FH4:FH67" si="22">(FF4+FG4)*0.475*44/12</f>
        <v>2.9446127683628607</v>
      </c>
      <c r="FI4" s="59">
        <f t="shared" ref="FI4:FI67" si="23">FH4+(EZ4+FA4)*44/12</f>
        <v>209.48992234375169</v>
      </c>
      <c r="FJ4" s="59">
        <f ca="1">AVERAGE(OFFSET($FI$3,0,0,'Données projet'!$E$16+1,1))-AVERAGE(OFFSET($H$3,0,0,'Données projet'!$E$16+1,1))</f>
        <v>290.72311302449236</v>
      </c>
      <c r="FK4" s="59">
        <f>$FK$3</f>
        <v>352.32552988394434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55.997205641772702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1.4</v>
      </c>
      <c r="FZ4" s="12">
        <f>IF('Données projet'!$A$244&gt;35,FZ3+FY4-GH3,IF(A4&lt;'Données projet'!$A$244,$FW$205^A4,IF(A4='Données projet'!$A$244,'Données projet'!$B$244,FZ3+FY4-GH3)))</f>
        <v>1.2250334656419144</v>
      </c>
      <c r="GA4" s="17">
        <f>FZ4*VLOOKUP('Données projet'!$B$17,Paramètres!$A$1:$I$89,3,0)*VLOOKUP('Données projet'!$B$17,Paramètres!$A$1:$I$89,5,0)</f>
        <v>0.80264192668858236</v>
      </c>
      <c r="GB4" s="13">
        <f>EXP(-1.0587+0.8836*LN(GA4)+0.284)</f>
        <v>0.37947883989283621</v>
      </c>
      <c r="GC4" s="20">
        <f t="shared" ref="GC4:GC67" si="25">(GA4+GB4)*0.475*44/12</f>
        <v>2.0588603351293044</v>
      </c>
      <c r="GD4" s="59">
        <f t="shared" ref="GD4:GD67" si="26">GC4+(FU4+FV4)*44/12</f>
        <v>208.60416991051812</v>
      </c>
      <c r="GE4" s="59">
        <f ca="1">AVERAGE(OFFSET($GD$3,0,0,'Données projet'!$E$17+1,1))-AVERAGE(OFFSET($H$3,0,0,'Données projet'!$E$17+1,1))</f>
        <v>123.03972959251965</v>
      </c>
      <c r="GF4" s="59">
        <f>$GF$3</f>
        <v>178.27657680839445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55.997205641772702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13.04</v>
      </c>
      <c r="GU4" s="12">
        <f>IF('Données projet'!$A$270&gt;35,GU3+GT4-HC3,IF(A4&lt;'Données projet'!$A$270,$GR$205^A4,IF(A4='Données projet'!$A$270,'Données projet'!$B$270,GU3+GT4-HC3)))</f>
        <v>13.04</v>
      </c>
      <c r="GV4" s="17">
        <f>GU4*VLOOKUP('Données projet'!$B$18,Paramètres!$A$1:$I$89,3,0)*VLOOKUP('Données projet'!$B$18,Paramètres!$A$1:$I$89,5,0)</f>
        <v>8.7472320000000003</v>
      </c>
      <c r="GW4" s="13">
        <f>EXP(-1.0587+0.8836*LN(GV4)+0.284)</f>
        <v>3.1317635640591677</v>
      </c>
      <c r="GX4" s="20">
        <f t="shared" ref="GX4:GX67" si="28">(GV4+GW4)*0.475*44/12</f>
        <v>20.68925060740305</v>
      </c>
      <c r="GY4" s="59">
        <f t="shared" ref="GY4:GY67" si="29">GX4+(GP4+GQ4)*44/12</f>
        <v>227.23456018279185</v>
      </c>
      <c r="GZ4" s="59">
        <f ca="1">AVERAGE(OFFSET($GY$3,0,0,'Données projet'!$E$18+1,1))-AVERAGE(OFFSET($H$3,0,0,'Données projet'!$E$18+1,1))</f>
        <v>542.25674729323623</v>
      </c>
      <c r="HA4" s="59">
        <f>$HA$3</f>
        <v>614.73906555680685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2.8499999999999996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10.449999999999998</v>
      </c>
      <c r="H5" s="67">
        <f t="shared" si="1"/>
        <v>214.86666666666667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56.240122818329674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10.4</v>
      </c>
      <c r="N5" s="13">
        <f>IF('Données projet'!$A$36&gt;35,N4+M5-V4,IF(A5&lt;'Données projet'!$A$36,$K$205^A5,IF(A5='Données projet'!$A$36,'Données projet'!$B$36,N4+M5-V4)))</f>
        <v>1.7053217591416563</v>
      </c>
      <c r="O5" s="13">
        <f>N5*VLOOKUP('Données projet'!$B$9,Paramètres!$A$1:$I$89,3,0)*VLOOKUP('Données projet'!$B$9,Paramètres!$A$1:$I$89,5,0)</f>
        <v>1.489769088786151</v>
      </c>
      <c r="P5" s="13">
        <f t="shared" ref="P5:P68" si="33">EXP(-1.0587+0.8836*LN(O5)+0.284)</f>
        <v>0.65542043352832269</v>
      </c>
      <c r="Q5" s="20">
        <f t="shared" si="2"/>
        <v>3.7362050846977084</v>
      </c>
      <c r="R5" s="59">
        <f t="shared" si="0"/>
        <v>212.39443319635095</v>
      </c>
      <c r="S5" s="59">
        <f ca="1">AVERAGE(OFFSET($R$3,0,0,'Données projet'!$E$9+1,1))-AVERAGE(OFFSET($H$3,0,0,'Données projet'!$E$9+1,1))</f>
        <v>686.80970545599644</v>
      </c>
      <c r="T5" s="59">
        <f t="shared" ref="T5:T68" si="34">$T$3</f>
        <v>636.16485232937737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56.240122818329674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3.6388888888888888</v>
      </c>
      <c r="AI5" s="13">
        <f>IF('Données projet'!$A$62&gt;35,AI4+AH5-AQ4,IF(A5&lt;'Données projet'!$A$62,$AF$205^A5,IF(A5='Données projet'!$A$62,'Données projet'!$B$62,AI4+AH5-AQ4)))</f>
        <v>7.2777777777777777</v>
      </c>
      <c r="AJ5" s="13">
        <f>AI5*VLOOKUP('Données projet'!$B$10,Paramètres!$A$1:$I$89,3,0)*VLOOKUP('Données projet'!$B$10,Paramètres!$A$1:$I$89,5,0)</f>
        <v>6.5849333333333337</v>
      </c>
      <c r="AK5" s="13">
        <f t="shared" ref="AK5:AK68" si="35">EXP(-1.0587+0.8836*LN(AJ5)+0.284)</f>
        <v>2.4368234562405915</v>
      </c>
      <c r="AL5" s="20">
        <f t="shared" si="4"/>
        <v>15.712893075174582</v>
      </c>
      <c r="AM5" s="59">
        <f t="shared" si="5"/>
        <v>224.37112118682782</v>
      </c>
      <c r="AN5" s="59">
        <f ca="1">AVERAGE(OFFSET($AM$3,0,0,'Données projet'!$E$10+1,1))-AVERAGE(OFFSET($H$3,0,0,'Données projet'!$E$10+1,1))</f>
        <v>323.67375363913726</v>
      </c>
      <c r="AO5" s="59">
        <f t="shared" ref="AO5:AO68" si="36">$AO$3</f>
        <v>266.03902815735029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56.240122818329674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12.2</v>
      </c>
      <c r="BD5" s="12">
        <f>IF('Données projet'!$A$88&gt;35,BD4+BC5-BL4,IF(A5&lt;'Données projet'!$A$88,$BA$205^A5,IF(A5='Données projet'!$A$88,'Données projet'!$B$88,BD4+BC5-BL4)))</f>
        <v>2.0029040526462016</v>
      </c>
      <c r="BE5" s="13">
        <f>BD5*VLOOKUP('Données projet'!$B$11,Paramètres!$A$1:$I$89,3,0)*VLOOKUP('Données projet'!$B$11,Paramètres!$A$1:$I$89,5,0)</f>
        <v>1.1196233654292267</v>
      </c>
      <c r="BF5" s="13">
        <f t="shared" ref="BF5:BF68" si="37">EXP(-1.0587+0.8836*LN(BE5)+0.284)</f>
        <v>0.50922772714816966</v>
      </c>
      <c r="BG5" s="20">
        <f t="shared" si="7"/>
        <v>2.8369156529056316</v>
      </c>
      <c r="BH5" s="59">
        <f t="shared" si="8"/>
        <v>211.49514376455889</v>
      </c>
      <c r="BI5" s="59">
        <f ca="1">AVERAGE(OFFSET($BH$3,0,0,'Données projet'!$E$11+1,1))-AVERAGE(OFFSET($H$3,0,0,'Données projet'!$E$11+1,1))</f>
        <v>371.46495716091965</v>
      </c>
      <c r="BJ5" s="59">
        <f t="shared" ref="BJ5:BJ68" si="38">$BJ$3</f>
        <v>579.95059529269417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56.240122818329674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2.7</v>
      </c>
      <c r="BY5" s="12">
        <f>IF('Données projet'!$A$114&gt;35,BY4+BX5-CG4,IF(A5&lt;'Données projet'!$A$114,$BV$205^A5,IF(A5='Données projet'!$A$114,'Données projet'!$B$114,BY4+BX5-CG4)))</f>
        <v>1.9331820449317625</v>
      </c>
      <c r="BZ5" s="13">
        <f>BY5*VLOOKUP('Données projet'!$B$12,Paramètres!$A$1:$I$89,3,0)*VLOOKUP('Données projet'!$B$12,Paramètres!$A$1:$I$89,5,0)</f>
        <v>1.2063055960374198</v>
      </c>
      <c r="CA5" s="13">
        <f t="shared" ref="CA5:CA68" si="39">EXP(-1.0587+0.8836*LN(BZ5)+0.284)</f>
        <v>0.54391091318892137</v>
      </c>
      <c r="CB5" s="20">
        <f t="shared" si="10"/>
        <v>3.0482937535692103</v>
      </c>
      <c r="CC5" s="59">
        <f t="shared" si="11"/>
        <v>211.70652186522244</v>
      </c>
      <c r="CD5" s="59">
        <f ca="1">AVERAGE(OFFSET($CC$3,0,0,'Données projet'!$E$12+1,1))-AVERAGE(OFFSET($H$3,0,0,'Données projet'!$E$12+1,1))</f>
        <v>180.18752244216969</v>
      </c>
      <c r="CE5" s="59">
        <f t="shared" ref="CE5:CE68" si="40">$CE$3</f>
        <v>350.12096474554676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56.240122818329674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1.9</v>
      </c>
      <c r="CT5" s="12">
        <f>IF('Données projet'!$A$140&gt;35,CT4+CS5-DB4,IF(A5&lt;'Données projet'!$A$140,$CQ$205^A5,IF(A5='Données projet'!$A$140,'Données projet'!$B$140,CT4+CS5-DB4)))</f>
        <v>1.8019831273171425</v>
      </c>
      <c r="CU5" s="17">
        <f>CT5*VLOOKUP('Données projet'!$B$13,Paramètres!$A$1:$I$89,3,0)*VLOOKUP('Données projet'!$B$13,Paramètres!$A$1:$I$89,5,0)</f>
        <v>1.4336577760935185</v>
      </c>
      <c r="CV5" s="13">
        <f t="shared" ref="CV5:CV68" si="41">EXP(-1.0587+0.8836*LN(CU5)+0.284)</f>
        <v>0.63355934907379652</v>
      </c>
      <c r="CW5" s="20">
        <f t="shared" si="13"/>
        <v>3.6004031596664068</v>
      </c>
      <c r="CX5" s="59">
        <f t="shared" si="14"/>
        <v>212.25863127131964</v>
      </c>
      <c r="CY5" s="59">
        <f ca="1">AVERAGE(OFFSET($CX$3,0,0,'Données projet'!$E$13+1,1))-AVERAGE(OFFSET($H$3,0,0,'Données projet'!$E$13+1,1))</f>
        <v>284.31574332240928</v>
      </c>
      <c r="CZ5" s="59">
        <f t="shared" ref="CZ5:CZ68" si="42">$CZ$3</f>
        <v>403.96994631683913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56.240122818329674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11.5</v>
      </c>
      <c r="DO5" s="12">
        <f>IF('Données projet'!$A$166&gt;35,DO4+DN5-DW4,IF(A5&lt;'Données projet'!$A$166,$DL$205^A5,IF(A5='Données projet'!$A$166,'Données projet'!$B$166,DO4+DN5-DW4)))</f>
        <v>2.5830901781308793</v>
      </c>
      <c r="DP5" s="17">
        <f>DO5*VLOOKUP('Données projet'!$B$14,Paramètres!$A$1:$I$89,3,0)*VLOOKUP('Données projet'!$B$14,Paramètres!$A$1:$I$89,5,0)</f>
        <v>1.8939217186055606</v>
      </c>
      <c r="DQ5" s="13">
        <f t="shared" ref="DQ5:DQ68" si="43">EXP(-1.0587+0.8836*LN(DP5)+0.284)</f>
        <v>0.81026886193479808</v>
      </c>
      <c r="DR5" s="20">
        <f t="shared" si="16"/>
        <v>4.709798594441124</v>
      </c>
      <c r="DS5" s="59">
        <f t="shared" si="17"/>
        <v>213.36802670609435</v>
      </c>
      <c r="DT5" s="59">
        <f ca="1">AVERAGE(OFFSET($DS$3,0,0,'Données projet'!$E$14+1,1))-AVERAGE(OFFSET($H$3,0,0,'Données projet'!$E$14+1,1))</f>
        <v>190.9519472160006</v>
      </c>
      <c r="DU5" s="59">
        <f t="shared" ref="DU5:DU68" si="44">$DU$3</f>
        <v>170.61553500287511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56.240122818329674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2.8</v>
      </c>
      <c r="EJ5" s="12">
        <f>IF('Données projet'!$A$192&gt;35,EJ4+EI5-ER4,IF(A5&lt;'Données projet'!$A$192,$EG$205^A5,IF(A5='Données projet'!$A$192,'Données projet'!$B$192,EJ4+EI5-ER4)))</f>
        <v>1.4956115235716427</v>
      </c>
      <c r="EK5" s="17">
        <f>EJ5*VLOOKUP('Données projet'!$B$15,Paramètres!$A$1:$I$89,3,0)*VLOOKUP('Données projet'!$B$15,Paramètres!$A$1:$I$89,5,0)</f>
        <v>1.2832346872244698</v>
      </c>
      <c r="EL5" s="13">
        <f t="shared" ref="EL5:EL68" si="45">EXP(-1.0587+0.8836*LN(EK5)+0.284)</f>
        <v>0.57444879990343678</v>
      </c>
      <c r="EM5" s="20">
        <f t="shared" si="19"/>
        <v>3.2354654067477706</v>
      </c>
      <c r="EN5" s="59">
        <f t="shared" si="20"/>
        <v>211.89369351840102</v>
      </c>
      <c r="EO5" s="59">
        <f ca="1">AVERAGE(OFFSET($EN$3,0,0,'Données projet'!$E$15+1,1))-AVERAGE(OFFSET($H$3,0,0,'Données projet'!$E$15+1,1))</f>
        <v>331.94255128154623</v>
      </c>
      <c r="EP5" s="59">
        <f t="shared" ref="EP5:EP68" si="46">$EP$3</f>
        <v>258.40809812013964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56.240122818329674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2.8</v>
      </c>
      <c r="FE5" s="12">
        <f>IF('Données projet'!$A$218&gt;35,FE4+FD5-FM4,IF(A5&lt;'Données projet'!$A$218,$FB$205^A5,IF(A5='Données projet'!$A$218,'Données projet'!$B$218,FE4+FD5-FM4)))</f>
        <v>1.4956115235716427</v>
      </c>
      <c r="FF5" s="17">
        <f>FE5*VLOOKUP('Données projet'!$B$16,Paramètres!$A$1:$I$89,3,0)*VLOOKUP('Données projet'!$B$16,Paramètres!$A$1:$I$89,5,0)</f>
        <v>1.4232239258307753</v>
      </c>
      <c r="FG5" s="13">
        <f t="shared" ref="FG5:FG68" si="47">EXP(-1.0587+0.8836*LN(FF5)+0.284)</f>
        <v>0.62948342082639119</v>
      </c>
      <c r="FH5" s="20">
        <f t="shared" si="22"/>
        <v>3.5751319620945647</v>
      </c>
      <c r="FI5" s="59">
        <f t="shared" si="23"/>
        <v>212.2333600737478</v>
      </c>
      <c r="FJ5" s="59">
        <f ca="1">AVERAGE(OFFSET($FI$3,0,0,'Données projet'!$E$16+1,1))-AVERAGE(OFFSET($H$3,0,0,'Données projet'!$E$16+1,1))</f>
        <v>290.72311302449236</v>
      </c>
      <c r="FK5" s="59">
        <f t="shared" ref="FK5:FK68" si="48">$FK$3</f>
        <v>352.32552988394434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56.240122818329674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1.4</v>
      </c>
      <c r="FZ5" s="12">
        <f>IF('Données projet'!$A$244&gt;35,FZ4+FY5-GH4,IF(A5&lt;'Données projet'!$A$244,$FW$205^A5,IF(A5='Données projet'!$A$244,'Données projet'!$B$244,FZ4+FY5-GH4)))</f>
        <v>1.5007069919426395</v>
      </c>
      <c r="GA5" s="17">
        <f>FZ5*VLOOKUP('Données projet'!$B$17,Paramètres!$A$1:$I$89,3,0)*VLOOKUP('Données projet'!$B$17,Paramètres!$A$1:$I$89,5,0)</f>
        <v>0.98326322112081743</v>
      </c>
      <c r="GB5" s="13">
        <f t="shared" ref="GB5:GB68" si="49">EXP(-1.0587+0.8836*LN(GA5)+0.284)</f>
        <v>0.45402011617769178</v>
      </c>
      <c r="GC5" s="20">
        <f t="shared" si="25"/>
        <v>2.5032684791282365</v>
      </c>
      <c r="GD5" s="59">
        <f t="shared" si="26"/>
        <v>211.16149659078147</v>
      </c>
      <c r="GE5" s="59">
        <f ca="1">AVERAGE(OFFSET($GD$3,0,0,'Données projet'!$E$17+1,1))-AVERAGE(OFFSET($H$3,0,0,'Données projet'!$E$17+1,1))</f>
        <v>123.03972959251965</v>
      </c>
      <c r="GF5" s="59">
        <f t="shared" ref="GF5:GF68" si="50">$GF$3</f>
        <v>178.27657680839445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56.240122818329674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13.04</v>
      </c>
      <c r="GU5" s="12">
        <f>IF('Données projet'!$A$270&gt;35,GU4+GT5-HC4,IF(A5&lt;'Données projet'!$A$270,$GR$205^A5,IF(A5='Données projet'!$A$270,'Données projet'!$B$270,GU4+GT5-HC4)))</f>
        <v>26.08</v>
      </c>
      <c r="GV5" s="17">
        <f>GU5*VLOOKUP('Données projet'!$B$18,Paramètres!$A$1:$I$89,3,0)*VLOOKUP('Données projet'!$B$18,Paramètres!$A$1:$I$89,5,0)</f>
        <v>17.494464000000001</v>
      </c>
      <c r="GW5" s="13">
        <f t="shared" ref="GW5:GW68" si="51">EXP(-1.0587+0.8836*LN(GV5)+0.284)</f>
        <v>5.7780204054773785</v>
      </c>
      <c r="GX5" s="20">
        <f t="shared" si="28"/>
        <v>40.532910339539761</v>
      </c>
      <c r="GY5" s="59">
        <f t="shared" si="29"/>
        <v>249.19113845119301</v>
      </c>
      <c r="GZ5" s="59">
        <f ca="1">AVERAGE(OFFSET($GY$3,0,0,'Données projet'!$E$18+1,1))-AVERAGE(OFFSET($H$3,0,0,'Données projet'!$E$18+1,1))</f>
        <v>542.25674729323623</v>
      </c>
      <c r="HA5" s="59">
        <f t="shared" ref="HA5:HA68" si="52">$HA$3</f>
        <v>614.73906555680685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2.8499999999999996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10.449999999999998</v>
      </c>
      <c r="H6" s="67">
        <f t="shared" si="1"/>
        <v>214.86666666666667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56.478825924954833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10.4</v>
      </c>
      <c r="N6" s="13">
        <f>IF('Données projet'!$A$36&gt;35,N5+M6-V5,IF(A6&lt;'Données projet'!$A$36,$K$205^A6,IF(A6='Données projet'!$A$36,'Données projet'!$B$36,N5+M6-V5)))</f>
        <v>2.2269450465133143</v>
      </c>
      <c r="O6" s="13">
        <f>N6*VLOOKUP('Données projet'!$B$9,Paramètres!$A$1:$I$89,3,0)*VLOOKUP('Données projet'!$B$9,Paramètres!$A$1:$I$89,5,0)</f>
        <v>1.9454591926340317</v>
      </c>
      <c r="P6" s="13">
        <f t="shared" si="33"/>
        <v>0.82972087191082311</v>
      </c>
      <c r="Q6" s="20">
        <f t="shared" si="2"/>
        <v>4.8334386124156214</v>
      </c>
      <c r="R6" s="59">
        <f t="shared" si="0"/>
        <v>215.58913367058332</v>
      </c>
      <c r="S6" s="59">
        <f ca="1">AVERAGE(OFFSET($R$3,0,0,'Données projet'!$E$9+1,1))-AVERAGE(OFFSET($H$3,0,0,'Données projet'!$E$9+1,1))</f>
        <v>686.80970545599644</v>
      </c>
      <c r="T6" s="59">
        <f t="shared" si="34"/>
        <v>636.16485232937737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56.478825924954833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3.6388888888888888</v>
      </c>
      <c r="AI6" s="13">
        <f>IF('Données projet'!$A$62&gt;35,AI5+AH6-AQ5,IF(A6&lt;'Données projet'!$A$62,$AF$205^A6,IF(A6='Données projet'!$A$62,'Données projet'!$B$62,AI5+AH6-AQ5)))</f>
        <v>10.916666666666666</v>
      </c>
      <c r="AJ6" s="13">
        <f>AI6*VLOOKUP('Données projet'!$B$10,Paramètres!$A$1:$I$89,3,0)*VLOOKUP('Données projet'!$B$10,Paramètres!$A$1:$I$89,5,0)</f>
        <v>9.8773999999999997</v>
      </c>
      <c r="AK6" s="13">
        <f t="shared" si="35"/>
        <v>3.4867298752956057</v>
      </c>
      <c r="AL6" s="20">
        <f t="shared" si="4"/>
        <v>23.275859532806511</v>
      </c>
      <c r="AM6" s="59">
        <f t="shared" si="5"/>
        <v>234.03155459097422</v>
      </c>
      <c r="AN6" s="59">
        <f ca="1">AVERAGE(OFFSET($AM$3,0,0,'Données projet'!$E$10+1,1))-AVERAGE(OFFSET($H$3,0,0,'Données projet'!$E$10+1,1))</f>
        <v>323.67375363913726</v>
      </c>
      <c r="AO6" s="59">
        <f t="shared" si="36"/>
        <v>266.03902815735029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56.478825924954833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12.2</v>
      </c>
      <c r="BD6" s="12">
        <f>IF('Données projet'!$A$88&gt;35,BD5+BC6-BL5,IF(A6&lt;'Données projet'!$A$88,$BA$205^A6,IF(A6='Données projet'!$A$88,'Données projet'!$B$88,BD5+BC6-BL5)))</f>
        <v>2.8345897864376148</v>
      </c>
      <c r="BE6" s="13">
        <f>BD6*VLOOKUP('Données projet'!$B$11,Paramètres!$A$1:$I$89,3,0)*VLOOKUP('Données projet'!$B$11,Paramètres!$A$1:$I$89,5,0)</f>
        <v>1.5845356906186268</v>
      </c>
      <c r="BF6" s="13">
        <f t="shared" si="37"/>
        <v>0.69212652734186442</v>
      </c>
      <c r="BG6" s="20">
        <f t="shared" si="7"/>
        <v>3.9651866962811888</v>
      </c>
      <c r="BH6" s="59">
        <f t="shared" si="8"/>
        <v>214.7208817544489</v>
      </c>
      <c r="BI6" s="59">
        <f ca="1">AVERAGE(OFFSET($BH$3,0,0,'Données projet'!$E$11+1,1))-AVERAGE(OFFSET($H$3,0,0,'Données projet'!$E$11+1,1))</f>
        <v>371.46495716091965</v>
      </c>
      <c r="BJ6" s="59">
        <f t="shared" si="38"/>
        <v>579.95059529269417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56.478825924954833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2.7</v>
      </c>
      <c r="BY6" s="12">
        <f>IF('Données projet'!$A$114&gt;35,BY5+BX6-CG5,IF(A6&lt;'Données projet'!$A$114,$BV$205^A6,IF(A6='Données projet'!$A$114,'Données projet'!$B$114,BY5+BX6-CG5)))</f>
        <v>2.6878753795222861</v>
      </c>
      <c r="BZ6" s="13">
        <f>BY6*VLOOKUP('Données projet'!$B$12,Paramètres!$A$1:$I$89,3,0)*VLOOKUP('Données projet'!$B$12,Paramètres!$A$1:$I$89,5,0)</f>
        <v>1.6772342368219066</v>
      </c>
      <c r="CA6" s="13">
        <f t="shared" si="39"/>
        <v>0.72778495742255067</v>
      </c>
      <c r="CB6" s="20">
        <f t="shared" si="10"/>
        <v>4.1887417633090962</v>
      </c>
      <c r="CC6" s="59">
        <f t="shared" si="11"/>
        <v>214.94443682147681</v>
      </c>
      <c r="CD6" s="59">
        <f ca="1">AVERAGE(OFFSET($CC$3,0,0,'Données projet'!$E$12+1,1))-AVERAGE(OFFSET($H$3,0,0,'Données projet'!$E$12+1,1))</f>
        <v>180.18752244216969</v>
      </c>
      <c r="CE6" s="59">
        <f t="shared" si="40"/>
        <v>350.12096474554676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56.478825924954833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1.9</v>
      </c>
      <c r="CT6" s="12">
        <f>IF('Données projet'!$A$140&gt;35,CT5+CS6-DB5,IF(A6&lt;'Données projet'!$A$140,$CQ$205^A6,IF(A6='Données projet'!$A$140,'Données projet'!$B$140,CT5+CS6-DB5)))</f>
        <v>2.4189454814875879</v>
      </c>
      <c r="CU6" s="17">
        <f>CT6*VLOOKUP('Données projet'!$B$13,Paramètres!$A$1:$I$89,3,0)*VLOOKUP('Données projet'!$B$13,Paramètres!$A$1:$I$89,5,0)</f>
        <v>1.9245130250715252</v>
      </c>
      <c r="CV6" s="13">
        <f t="shared" si="41"/>
        <v>0.82182239561499026</v>
      </c>
      <c r="CW6" s="20">
        <f t="shared" si="13"/>
        <v>4.7832008576956815</v>
      </c>
      <c r="CX6" s="59">
        <f t="shared" si="14"/>
        <v>215.53889591586338</v>
      </c>
      <c r="CY6" s="59">
        <f ca="1">AVERAGE(OFFSET($CX$3,0,0,'Données projet'!$E$13+1,1))-AVERAGE(OFFSET($H$3,0,0,'Données projet'!$E$13+1,1))</f>
        <v>284.31574332240928</v>
      </c>
      <c r="CZ6" s="59">
        <f t="shared" si="42"/>
        <v>403.96994631683913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56.478825924954833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11.5</v>
      </c>
      <c r="DO6" s="12">
        <f>IF('Données projet'!$A$166&gt;35,DO5+DN6-DW5,IF(A6&lt;'Données projet'!$A$166,$DL$205^A6,IF(A6='Données projet'!$A$166,'Données projet'!$B$166,DO5+DN6-DW5)))</f>
        <v>4.1515411988145683</v>
      </c>
      <c r="DP6" s="17">
        <f>DO6*VLOOKUP('Données projet'!$B$14,Paramètres!$A$1:$I$89,3,0)*VLOOKUP('Données projet'!$B$14,Paramètres!$A$1:$I$89,5,0)</f>
        <v>3.0439100069708416</v>
      </c>
      <c r="DQ6" s="13">
        <f t="shared" si="43"/>
        <v>1.2322885431422059</v>
      </c>
      <c r="DR6" s="20">
        <f t="shared" si="16"/>
        <v>7.447712474780225</v>
      </c>
      <c r="DS6" s="59">
        <f t="shared" si="17"/>
        <v>218.20340753294792</v>
      </c>
      <c r="DT6" s="59">
        <f ca="1">AVERAGE(OFFSET($DS$3,0,0,'Données projet'!$E$14+1,1))-AVERAGE(OFFSET($H$3,0,0,'Données projet'!$E$14+1,1))</f>
        <v>190.9519472160006</v>
      </c>
      <c r="DU6" s="59">
        <f t="shared" si="44"/>
        <v>170.61553500287511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56.478825924954833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2.8</v>
      </c>
      <c r="EJ6" s="12">
        <f>IF('Données projet'!$A$192&gt;35,EJ5+EI6-ER5,IF(A6&lt;'Données projet'!$A$192,$EG$205^A6,IF(A6='Données projet'!$A$192,'Données projet'!$B$192,EJ5+EI6-ER5)))</f>
        <v>1.8290610607238502</v>
      </c>
      <c r="EK6" s="17">
        <f>EJ6*VLOOKUP('Données projet'!$B$15,Paramètres!$A$1:$I$89,3,0)*VLOOKUP('Données projet'!$B$15,Paramètres!$A$1:$I$89,5,0)</f>
        <v>1.5693343901010637</v>
      </c>
      <c r="EL6" s="13">
        <f t="shared" si="45"/>
        <v>0.68625618797666377</v>
      </c>
      <c r="EM6" s="20">
        <f t="shared" si="19"/>
        <v>3.9284869234853752</v>
      </c>
      <c r="EN6" s="59">
        <f t="shared" si="20"/>
        <v>214.68418198165307</v>
      </c>
      <c r="EO6" s="59">
        <f ca="1">AVERAGE(OFFSET($EN$3,0,0,'Données projet'!$E$15+1,1))-AVERAGE(OFFSET($H$3,0,0,'Données projet'!$E$15+1,1))</f>
        <v>331.94255128154623</v>
      </c>
      <c r="EP6" s="59">
        <f t="shared" si="46"/>
        <v>258.40809812013964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56.478825924954833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2.8</v>
      </c>
      <c r="FE6" s="12">
        <f>IF('Données projet'!$A$218&gt;35,FE5+FD6-FM5,IF(A6&lt;'Données projet'!$A$218,$FB$205^A6,IF(A6='Données projet'!$A$218,'Données projet'!$B$218,FE5+FD6-FM5)))</f>
        <v>1.8290610607238502</v>
      </c>
      <c r="FF6" s="17">
        <f>FE6*VLOOKUP('Données projet'!$B$16,Paramètres!$A$1:$I$89,3,0)*VLOOKUP('Données projet'!$B$16,Paramètres!$A$1:$I$89,5,0)</f>
        <v>1.740534505384816</v>
      </c>
      <c r="FG6" s="13">
        <f t="shared" si="47"/>
        <v>0.75200242883864521</v>
      </c>
      <c r="FH6" s="20">
        <f t="shared" si="22"/>
        <v>4.3411684937725274</v>
      </c>
      <c r="FI6" s="59">
        <f t="shared" si="23"/>
        <v>215.09686355194023</v>
      </c>
      <c r="FJ6" s="59">
        <f ca="1">AVERAGE(OFFSET($FI$3,0,0,'Données projet'!$E$16+1,1))-AVERAGE(OFFSET($H$3,0,0,'Données projet'!$E$16+1,1))</f>
        <v>290.72311302449236</v>
      </c>
      <c r="FK6" s="59">
        <f t="shared" si="48"/>
        <v>352.32552988394434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56.478825924954833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1.4</v>
      </c>
      <c r="FZ6" s="12">
        <f>IF('Données projet'!$A$244&gt;35,FZ5+FY6-GH5,IF(A6&lt;'Données projet'!$A$244,$FW$205^A6,IF(A6='Données projet'!$A$244,'Données projet'!$B$244,FZ5+FY6-GH5)))</f>
        <v>1.838416287252544</v>
      </c>
      <c r="GA6" s="17">
        <f>FZ6*VLOOKUP('Données projet'!$B$17,Paramètres!$A$1:$I$89,3,0)*VLOOKUP('Données projet'!$B$17,Paramètres!$A$1:$I$89,5,0)</f>
        <v>1.2045303514078667</v>
      </c>
      <c r="GB6" s="13">
        <f t="shared" si="49"/>
        <v>0.54320358403176439</v>
      </c>
      <c r="GC6" s="20">
        <f t="shared" si="25"/>
        <v>3.0439699375573572</v>
      </c>
      <c r="GD6" s="59">
        <f t="shared" si="26"/>
        <v>213.79966499572507</v>
      </c>
      <c r="GE6" s="59">
        <f ca="1">AVERAGE(OFFSET($GD$3,0,0,'Données projet'!$E$17+1,1))-AVERAGE(OFFSET($H$3,0,0,'Données projet'!$E$17+1,1))</f>
        <v>123.03972959251965</v>
      </c>
      <c r="GF6" s="59">
        <f t="shared" si="50"/>
        <v>178.27657680839445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56.478825924954833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13.04</v>
      </c>
      <c r="GU6" s="12">
        <f>IF('Données projet'!$A$270&gt;35,GU5+GT6-HC5,IF(A6&lt;'Données projet'!$A$270,$GR$205^A6,IF(A6='Données projet'!$A$270,'Données projet'!$B$270,GU5+GT6-HC5)))</f>
        <v>39.119999999999997</v>
      </c>
      <c r="GV6" s="17">
        <f>GU6*VLOOKUP('Données projet'!$B$18,Paramètres!$A$1:$I$89,3,0)*VLOOKUP('Données projet'!$B$18,Paramètres!$A$1:$I$89,5,0)</f>
        <v>26.241696000000001</v>
      </c>
      <c r="GW6" s="13">
        <f t="shared" si="51"/>
        <v>8.2674829463954893</v>
      </c>
      <c r="GX6" s="20">
        <f t="shared" si="28"/>
        <v>60.103486664972138</v>
      </c>
      <c r="GY6" s="59">
        <f t="shared" si="29"/>
        <v>270.85918172313984</v>
      </c>
      <c r="GZ6" s="59">
        <f ca="1">AVERAGE(OFFSET($GY$3,0,0,'Données projet'!$E$18+1,1))-AVERAGE(OFFSET($H$3,0,0,'Données projet'!$E$18+1,1))</f>
        <v>542.25674729323623</v>
      </c>
      <c r="HA6" s="59">
        <f t="shared" si="52"/>
        <v>614.73906555680685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2.8499999999999996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10.449999999999998</v>
      </c>
      <c r="H7" s="67">
        <f t="shared" si="1"/>
        <v>214.86666666666667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56.713388066340229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10.4</v>
      </c>
      <c r="N7" s="13">
        <f>IF('Données projet'!$A$36&gt;35,N6+M7-V6,IF(A7&lt;'Données projet'!$A$36,$K$205^A7,IF(A7='Données projet'!$A$36,'Données projet'!$B$36,N6+M7-V6)))</f>
        <v>2.9081223022019933</v>
      </c>
      <c r="O7" s="13">
        <f>N7*VLOOKUP('Données projet'!$B$9,Paramètres!$A$1:$I$89,3,0)*VLOOKUP('Données projet'!$B$9,Paramètres!$A$1:$I$89,5,0)</f>
        <v>2.5405356432036617</v>
      </c>
      <c r="P7" s="13">
        <f t="shared" si="33"/>
        <v>1.0503742179327507</v>
      </c>
      <c r="Q7" s="20">
        <f t="shared" si="2"/>
        <v>6.2541680081459177</v>
      </c>
      <c r="R7" s="59">
        <f t="shared" si="0"/>
        <v>219.09214647361566</v>
      </c>
      <c r="S7" s="59">
        <f ca="1">AVERAGE(OFFSET($R$3,0,0,'Données projet'!$E$9+1,1))-AVERAGE(OFFSET($H$3,0,0,'Données projet'!$E$9+1,1))</f>
        <v>686.80970545599644</v>
      </c>
      <c r="T7" s="59">
        <f t="shared" si="34"/>
        <v>636.16485232937737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56.713388066340229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3.6388888888888888</v>
      </c>
      <c r="AI7" s="13">
        <f>IF('Données projet'!$A$62&gt;35,AI6+AH7-AQ6,IF(A7&lt;'Données projet'!$A$62,$AF$205^A7,IF(A7='Données projet'!$A$62,'Données projet'!$B$62,AI6+AH7-AQ6)))</f>
        <v>14.555555555555555</v>
      </c>
      <c r="AJ7" s="13">
        <f>AI7*VLOOKUP('Données projet'!$B$10,Paramètres!$A$1:$I$89,3,0)*VLOOKUP('Données projet'!$B$10,Paramètres!$A$1:$I$89,5,0)</f>
        <v>13.169866666666667</v>
      </c>
      <c r="AK7" s="13">
        <f t="shared" si="35"/>
        <v>4.4958744064492988</v>
      </c>
      <c r="AL7" s="20">
        <f t="shared" si="4"/>
        <v>30.767832369010307</v>
      </c>
      <c r="AM7" s="59">
        <f t="shared" si="5"/>
        <v>243.60581083448005</v>
      </c>
      <c r="AN7" s="59">
        <f ca="1">AVERAGE(OFFSET($AM$3,0,0,'Données projet'!$E$10+1,1))-AVERAGE(OFFSET($H$3,0,0,'Données projet'!$E$10+1,1))</f>
        <v>323.67375363913726</v>
      </c>
      <c r="AO7" s="59">
        <f t="shared" si="36"/>
        <v>266.03902815735029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56.713388066340229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12.2</v>
      </c>
      <c r="BD7" s="12">
        <f>IF('Données projet'!$A$88&gt;35,BD6+BC7-BL6,IF(A7&lt;'Données projet'!$A$88,$BA$205^A7,IF(A7='Données projet'!$A$88,'Données projet'!$B$88,BD6+BC7-BL6)))</f>
        <v>4.0116246441065782</v>
      </c>
      <c r="BE7" s="13">
        <f>BD7*VLOOKUP('Données projet'!$B$11,Paramètres!$A$1:$I$89,3,0)*VLOOKUP('Données projet'!$B$11,Paramètres!$A$1:$I$89,5,0)</f>
        <v>2.2424981760555771</v>
      </c>
      <c r="BF7" s="13">
        <f t="shared" si="37"/>
        <v>0.94071690191159363</v>
      </c>
      <c r="BG7" s="20">
        <f t="shared" si="7"/>
        <v>5.5440995941261555</v>
      </c>
      <c r="BH7" s="59">
        <f t="shared" si="8"/>
        <v>218.3820780595959</v>
      </c>
      <c r="BI7" s="59">
        <f ca="1">AVERAGE(OFFSET($BH$3,0,0,'Données projet'!$E$11+1,1))-AVERAGE(OFFSET($H$3,0,0,'Données projet'!$E$11+1,1))</f>
        <v>371.46495716091965</v>
      </c>
      <c r="BJ7" s="59">
        <f t="shared" si="38"/>
        <v>579.95059529269417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56.713388066340229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2.7</v>
      </c>
      <c r="BY7" s="12">
        <f>IF('Données projet'!$A$114&gt;35,BY6+BX7-CG6,IF(A7&lt;'Données projet'!$A$114,$BV$205^A7,IF(A7='Données projet'!$A$114,'Données projet'!$B$114,BY6+BX7-CG6)))</f>
        <v>3.7371928188465509</v>
      </c>
      <c r="BZ7" s="13">
        <f>BY7*VLOOKUP('Données projet'!$B$12,Paramètres!$A$1:$I$89,3,0)*VLOOKUP('Données projet'!$B$12,Paramètres!$A$1:$I$89,5,0)</f>
        <v>2.3320083189602476</v>
      </c>
      <c r="CA7" s="13">
        <f t="shared" si="39"/>
        <v>0.97381929909276987</v>
      </c>
      <c r="CB7" s="20">
        <f t="shared" si="10"/>
        <v>5.7576497681090046</v>
      </c>
      <c r="CC7" s="59">
        <f t="shared" si="11"/>
        <v>218.59562823357874</v>
      </c>
      <c r="CD7" s="59">
        <f ca="1">AVERAGE(OFFSET($CC$3,0,0,'Données projet'!$E$12+1,1))-AVERAGE(OFFSET($H$3,0,0,'Données projet'!$E$12+1,1))</f>
        <v>180.18752244216969</v>
      </c>
      <c r="CE7" s="59">
        <f t="shared" si="40"/>
        <v>350.12096474554676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56.713388066340229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1.9</v>
      </c>
      <c r="CT7" s="12">
        <f>IF('Données projet'!$A$140&gt;35,CT6+CS7-DB6,IF(A7&lt;'Données projet'!$A$140,$CQ$205^A7,IF(A7='Données projet'!$A$140,'Données projet'!$B$140,CT6+CS7-DB6)))</f>
        <v>3.247143191135669</v>
      </c>
      <c r="CU7" s="17">
        <f>CT7*VLOOKUP('Données projet'!$B$13,Paramètres!$A$1:$I$89,3,0)*VLOOKUP('Données projet'!$B$13,Paramètres!$A$1:$I$89,5,0)</f>
        <v>2.5834271228675387</v>
      </c>
      <c r="CV7" s="13">
        <f t="shared" si="41"/>
        <v>1.066028069701316</v>
      </c>
      <c r="CW7" s="20">
        <f t="shared" si="13"/>
        <v>6.3561344603907548</v>
      </c>
      <c r="CX7" s="59">
        <f t="shared" si="14"/>
        <v>219.19411292586051</v>
      </c>
      <c r="CY7" s="59">
        <f ca="1">AVERAGE(OFFSET($CX$3,0,0,'Données projet'!$E$13+1,1))-AVERAGE(OFFSET($H$3,0,0,'Données projet'!$E$13+1,1))</f>
        <v>284.31574332240928</v>
      </c>
      <c r="CZ7" s="59">
        <f t="shared" si="42"/>
        <v>403.96994631683913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56.713388066340229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11.5</v>
      </c>
      <c r="DO7" s="12">
        <f>IF('Données projet'!$A$166&gt;35,DO6+DN7-DW6,IF(A7&lt;'Données projet'!$A$166,$DL$205^A7,IF(A7='Données projet'!$A$166,'Données projet'!$B$166,DO6+DN7-DW6)))</f>
        <v>6.6723548683562175</v>
      </c>
      <c r="DP7" s="17">
        <f>DO7*VLOOKUP('Données projet'!$B$14,Paramètres!$A$1:$I$89,3,0)*VLOOKUP('Données projet'!$B$14,Paramètres!$A$1:$I$89,5,0)</f>
        <v>4.8921705894787788</v>
      </c>
      <c r="DQ7" s="13">
        <f t="shared" si="43"/>
        <v>1.8741125629997808</v>
      </c>
      <c r="DR7" s="20">
        <f t="shared" si="16"/>
        <v>11.784609823900155</v>
      </c>
      <c r="DS7" s="59">
        <f t="shared" si="17"/>
        <v>224.6225882893699</v>
      </c>
      <c r="DT7" s="59">
        <f ca="1">AVERAGE(OFFSET($DS$3,0,0,'Données projet'!$E$14+1,1))-AVERAGE(OFFSET($H$3,0,0,'Données projet'!$E$14+1,1))</f>
        <v>190.9519472160006</v>
      </c>
      <c r="DU7" s="59">
        <f t="shared" si="44"/>
        <v>170.61553500287511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56.713388066340229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2.8</v>
      </c>
      <c r="EJ7" s="12">
        <f>IF('Données projet'!$A$192&gt;35,EJ6+EI7-ER6,IF(A7&lt;'Données projet'!$A$192,$EG$205^A7,IF(A7='Données projet'!$A$192,'Données projet'!$B$192,EJ6+EI7-ER6)))</f>
        <v>2.2368538294402907</v>
      </c>
      <c r="EK7" s="17">
        <f>EJ7*VLOOKUP('Données projet'!$B$15,Paramètres!$A$1:$I$89,3,0)*VLOOKUP('Données projet'!$B$15,Paramètres!$A$1:$I$89,5,0)</f>
        <v>1.9192205856597695</v>
      </c>
      <c r="EL7" s="13">
        <f t="shared" si="45"/>
        <v>0.8198251186449117</v>
      </c>
      <c r="EM7" s="20">
        <f t="shared" si="19"/>
        <v>4.770504601663986</v>
      </c>
      <c r="EN7" s="59">
        <f t="shared" si="20"/>
        <v>217.60848306713373</v>
      </c>
      <c r="EO7" s="59">
        <f ca="1">AVERAGE(OFFSET($EN$3,0,0,'Données projet'!$E$15+1,1))-AVERAGE(OFFSET($H$3,0,0,'Données projet'!$E$15+1,1))</f>
        <v>331.94255128154623</v>
      </c>
      <c r="EP7" s="59">
        <f t="shared" si="46"/>
        <v>258.40809812013964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56.713388066340229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2.8</v>
      </c>
      <c r="FE7" s="12">
        <f>IF('Données projet'!$A$218&gt;35,FE6+FD7-FM6,IF(A7&lt;'Données projet'!$A$218,$FB$205^A7,IF(A7='Données projet'!$A$218,'Données projet'!$B$218,FE6+FD7-FM6)))</f>
        <v>2.2368538294402907</v>
      </c>
      <c r="FF7" s="17">
        <f>FE7*VLOOKUP('Données projet'!$B$16,Paramètres!$A$1:$I$89,3,0)*VLOOKUP('Données projet'!$B$16,Paramètres!$A$1:$I$89,5,0)</f>
        <v>2.1285901040953803</v>
      </c>
      <c r="FG7" s="13">
        <f t="shared" si="47"/>
        <v>0.89836782712532492</v>
      </c>
      <c r="FH7" s="20">
        <f t="shared" si="22"/>
        <v>5.2719517302093948</v>
      </c>
      <c r="FI7" s="59">
        <f t="shared" si="23"/>
        <v>218.10993019567914</v>
      </c>
      <c r="FJ7" s="59">
        <f ca="1">AVERAGE(OFFSET($FI$3,0,0,'Données projet'!$E$16+1,1))-AVERAGE(OFFSET($H$3,0,0,'Données projet'!$E$16+1,1))</f>
        <v>290.72311302449236</v>
      </c>
      <c r="FK7" s="59">
        <f t="shared" si="48"/>
        <v>352.32552988394434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56.713388066340229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1.4</v>
      </c>
      <c r="FZ7" s="12">
        <f>IF('Données projet'!$A$244&gt;35,FZ6+FY7-GH6,IF(A7&lt;'Données projet'!$A$244,$FW$205^A7,IF(A7='Données projet'!$A$244,'Données projet'!$B$244,FZ6+FY7-GH6)))</f>
        <v>2.2521214756655255</v>
      </c>
      <c r="GA7" s="17">
        <f>FZ7*VLOOKUP('Données projet'!$B$17,Paramètres!$A$1:$I$89,3,0)*VLOOKUP('Données projet'!$B$17,Paramètres!$A$1:$I$89,5,0)</f>
        <v>1.4755899908560521</v>
      </c>
      <c r="GB7" s="13">
        <f t="shared" si="49"/>
        <v>0.64990541870499707</v>
      </c>
      <c r="GC7" s="20">
        <f t="shared" si="25"/>
        <v>3.7019045049854937</v>
      </c>
      <c r="GD7" s="59">
        <f t="shared" si="26"/>
        <v>216.53988297045524</v>
      </c>
      <c r="GE7" s="59">
        <f ca="1">AVERAGE(OFFSET($GD$3,0,0,'Données projet'!$E$17+1,1))-AVERAGE(OFFSET($H$3,0,0,'Données projet'!$E$17+1,1))</f>
        <v>123.03972959251965</v>
      </c>
      <c r="GF7" s="59">
        <f t="shared" si="50"/>
        <v>178.27657680839445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56.713388066340229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13.04</v>
      </c>
      <c r="GU7" s="12">
        <f>IF('Données projet'!$A$270&gt;35,GU6+GT7-HC6,IF(A7&lt;'Données projet'!$A$270,$GR$205^A7,IF(A7='Données projet'!$A$270,'Données projet'!$B$270,GU6+GT7-HC6)))</f>
        <v>52.16</v>
      </c>
      <c r="GV7" s="17">
        <f>GU7*VLOOKUP('Données projet'!$B$18,Paramètres!$A$1:$I$89,3,0)*VLOOKUP('Données projet'!$B$18,Paramètres!$A$1:$I$89,5,0)</f>
        <v>34.988928000000001</v>
      </c>
      <c r="GW7" s="13">
        <f t="shared" si="51"/>
        <v>10.660293832284401</v>
      </c>
      <c r="GX7" s="20">
        <f t="shared" si="28"/>
        <v>79.505728024562003</v>
      </c>
      <c r="GY7" s="59">
        <f t="shared" si="29"/>
        <v>292.34370649003176</v>
      </c>
      <c r="GZ7" s="59">
        <f ca="1">AVERAGE(OFFSET($GY$3,0,0,'Données projet'!$E$18+1,1))-AVERAGE(OFFSET($H$3,0,0,'Données projet'!$E$18+1,1))</f>
        <v>542.25674729323623</v>
      </c>
      <c r="HA7" s="59">
        <f t="shared" si="52"/>
        <v>614.73906555680685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2.8499999999999996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10.449999999999998</v>
      </c>
      <c r="H8" s="67">
        <f t="shared" si="1"/>
        <v>214.86666666666667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56.943881078974997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10.4</v>
      </c>
      <c r="N8" s="13">
        <f>IF('Données projet'!$A$36&gt;35,N7+M8-V7,IF(A8&lt;'Données projet'!$A$36,$K$205^A8,IF(A8='Données projet'!$A$36,'Données projet'!$B$36,N7+M8-V7)))</f>
        <v>3.7976578442318822</v>
      </c>
      <c r="O8" s="13">
        <f>N8*VLOOKUP('Données projet'!$B$9,Paramètres!$A$1:$I$89,3,0)*VLOOKUP('Données projet'!$B$9,Paramètres!$A$1:$I$89,5,0)</f>
        <v>3.3176338927209725</v>
      </c>
      <c r="P8" s="13">
        <f t="shared" si="33"/>
        <v>1.3297074173354251</v>
      </c>
      <c r="Q8" s="20">
        <f t="shared" si="2"/>
        <v>8.0941194483482253</v>
      </c>
      <c r="R8" s="59">
        <f t="shared" si="0"/>
        <v>222.99946118236767</v>
      </c>
      <c r="S8" s="59">
        <f ca="1">AVERAGE(OFFSET($R$3,0,0,'Données projet'!$E$9+1,1))-AVERAGE(OFFSET($H$3,0,0,'Données projet'!$E$9+1,1))</f>
        <v>686.80970545599644</v>
      </c>
      <c r="T8" s="59">
        <f t="shared" si="34"/>
        <v>636.16485232937737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56.943881078974997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3.6388888888888888</v>
      </c>
      <c r="AI8" s="13">
        <f>IF('Données projet'!$A$62&gt;35,AI7+AH8-AQ7,IF(A8&lt;'Données projet'!$A$62,$AF$205^A8,IF(A8='Données projet'!$A$62,'Données projet'!$B$62,AI7+AH8-AQ7)))</f>
        <v>18.194444444444443</v>
      </c>
      <c r="AJ8" s="13">
        <f>AI8*VLOOKUP('Données projet'!$B$10,Paramètres!$A$1:$I$89,3,0)*VLOOKUP('Données projet'!$B$10,Paramètres!$A$1:$I$89,5,0)</f>
        <v>16.46233333333333</v>
      </c>
      <c r="AK8" s="13">
        <f t="shared" si="35"/>
        <v>5.4757531048150545</v>
      </c>
      <c r="AL8" s="20">
        <f t="shared" si="4"/>
        <v>38.208833879775106</v>
      </c>
      <c r="AM8" s="59">
        <f t="shared" si="5"/>
        <v>253.11417561379454</v>
      </c>
      <c r="AN8" s="59">
        <f ca="1">AVERAGE(OFFSET($AM$3,0,0,'Données projet'!$E$10+1,1))-AVERAGE(OFFSET($H$3,0,0,'Données projet'!$E$10+1,1))</f>
        <v>323.67375363913726</v>
      </c>
      <c r="AO8" s="59">
        <f t="shared" si="36"/>
        <v>266.03902815735029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56.943881078974997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12.2</v>
      </c>
      <c r="BD8" s="12">
        <f>IF('Données projet'!$A$88&gt;35,BD7+BC8-BL7,IF(A8&lt;'Données projet'!$A$88,$BA$205^A8,IF(A8='Données projet'!$A$88,'Données projet'!$B$88,BD7+BC8-BL7)))</f>
        <v>5.6774113708454292</v>
      </c>
      <c r="BE8" s="13">
        <f>BD8*VLOOKUP('Données projet'!$B$11,Paramètres!$A$1:$I$89,3,0)*VLOOKUP('Données projet'!$B$11,Paramètres!$A$1:$I$89,5,0)</f>
        <v>3.1736729563025952</v>
      </c>
      <c r="BF8" s="13">
        <f t="shared" si="37"/>
        <v>1.2785932262137403</v>
      </c>
      <c r="BG8" s="20">
        <f t="shared" si="7"/>
        <v>7.7543636012159496</v>
      </c>
      <c r="BH8" s="59">
        <f t="shared" si="8"/>
        <v>222.65970533523537</v>
      </c>
      <c r="BI8" s="59">
        <f ca="1">AVERAGE(OFFSET($BH$3,0,0,'Données projet'!$E$11+1,1))-AVERAGE(OFFSET($H$3,0,0,'Données projet'!$E$11+1,1))</f>
        <v>371.46495716091965</v>
      </c>
      <c r="BJ8" s="59">
        <f t="shared" si="38"/>
        <v>579.95059529269417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56.943881078974997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2.7</v>
      </c>
      <c r="BY8" s="12">
        <f>IF('Données projet'!$A$114&gt;35,BY7+BX8-CG7,IF(A8&lt;'Données projet'!$A$114,$BV$205^A8,IF(A8='Données projet'!$A$114,'Données projet'!$B$114,BY7+BX8-CG7)))</f>
        <v>5.1961524227066302</v>
      </c>
      <c r="BZ8" s="13">
        <f>BY8*VLOOKUP('Données projet'!$B$12,Paramètres!$A$1:$I$89,3,0)*VLOOKUP('Données projet'!$B$12,Paramètres!$A$1:$I$89,5,0)</f>
        <v>3.2423991117689375</v>
      </c>
      <c r="CA8" s="13">
        <f t="shared" si="39"/>
        <v>1.3030277935999417</v>
      </c>
      <c r="CB8" s="20">
        <f t="shared" si="10"/>
        <v>7.9166185268507983</v>
      </c>
      <c r="CC8" s="59">
        <f t="shared" si="11"/>
        <v>222.82196026087024</v>
      </c>
      <c r="CD8" s="59">
        <f ca="1">AVERAGE(OFFSET($CC$3,0,0,'Données projet'!$E$12+1,1))-AVERAGE(OFFSET($H$3,0,0,'Données projet'!$E$12+1,1))</f>
        <v>180.18752244216969</v>
      </c>
      <c r="CE8" s="59">
        <f t="shared" si="40"/>
        <v>350.12096474554676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56.943881078974997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1.9</v>
      </c>
      <c r="CT8" s="12">
        <f>IF('Données projet'!$A$140&gt;35,CT7+CS8-DB7,IF(A8&lt;'Données projet'!$A$140,$CQ$205^A8,IF(A8='Données projet'!$A$140,'Données projet'!$B$140,CT7+CS8-DB7)))</f>
        <v>4.3588989435406749</v>
      </c>
      <c r="CU8" s="17">
        <f>CT8*VLOOKUP('Données projet'!$B$13,Paramètres!$A$1:$I$89,3,0)*VLOOKUP('Données projet'!$B$13,Paramètres!$A$1:$I$89,5,0)</f>
        <v>3.467939999480961</v>
      </c>
      <c r="CV8" s="13">
        <f t="shared" si="41"/>
        <v>1.382799801337496</v>
      </c>
      <c r="CW8" s="20">
        <f t="shared" si="13"/>
        <v>8.4483718197588118</v>
      </c>
      <c r="CX8" s="59">
        <f t="shared" si="14"/>
        <v>223.35371355377825</v>
      </c>
      <c r="CY8" s="59">
        <f ca="1">AVERAGE(OFFSET($CX$3,0,0,'Données projet'!$E$13+1,1))-AVERAGE(OFFSET($H$3,0,0,'Données projet'!$E$13+1,1))</f>
        <v>284.31574332240928</v>
      </c>
      <c r="CZ8" s="59">
        <f t="shared" si="42"/>
        <v>403.96994631683913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56.943881078974997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11.5</v>
      </c>
      <c r="DO8" s="12">
        <f>IF('Données projet'!$A$166&gt;35,DO7+DN8-DW7,IF(A8&lt;'Données projet'!$A$166,$DL$205^A8,IF(A8='Données projet'!$A$166,'Données projet'!$B$166,DO7+DN8-DW7)))</f>
        <v>10.723805294763606</v>
      </c>
      <c r="DP8" s="17">
        <f>DO8*VLOOKUP('Données projet'!$B$14,Paramètres!$A$1:$I$89,3,0)*VLOOKUP('Données projet'!$B$14,Paramètres!$A$1:$I$89,5,0)</f>
        <v>7.8626940421206752</v>
      </c>
      <c r="DQ8" s="13">
        <f t="shared" si="43"/>
        <v>2.8502236090239195</v>
      </c>
      <c r="DR8" s="20">
        <f t="shared" si="16"/>
        <v>18.658331575743503</v>
      </c>
      <c r="DS8" s="59">
        <f t="shared" si="17"/>
        <v>233.56367330976292</v>
      </c>
      <c r="DT8" s="59">
        <f ca="1">AVERAGE(OFFSET($DS$3,0,0,'Données projet'!$E$14+1,1))-AVERAGE(OFFSET($H$3,0,0,'Données projet'!$E$14+1,1))</f>
        <v>190.9519472160006</v>
      </c>
      <c r="DU8" s="59">
        <f t="shared" si="44"/>
        <v>170.61553500287511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56.943881078974997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2.8</v>
      </c>
      <c r="EJ8" s="12">
        <f>IF('Données projet'!$A$192&gt;35,EJ7+EI8-ER7,IF(A8&lt;'Données projet'!$A$192,$EG$205^A8,IF(A8='Données projet'!$A$192,'Données projet'!$B$192,EJ7+EI8-ER7)))</f>
        <v>2.735564799734763</v>
      </c>
      <c r="EK8" s="17">
        <f>EJ8*VLOOKUP('Données projet'!$B$15,Paramètres!$A$1:$I$89,3,0)*VLOOKUP('Données projet'!$B$15,Paramètres!$A$1:$I$89,5,0)</f>
        <v>2.3471145981724271</v>
      </c>
      <c r="EL8" s="13">
        <f t="shared" si="45"/>
        <v>0.97939113254888255</v>
      </c>
      <c r="EM8" s="20">
        <f t="shared" si="19"/>
        <v>5.7936641476729482</v>
      </c>
      <c r="EN8" s="59">
        <f t="shared" si="20"/>
        <v>220.69900588169239</v>
      </c>
      <c r="EO8" s="59">
        <f ca="1">AVERAGE(OFFSET($EN$3,0,0,'Données projet'!$E$15+1,1))-AVERAGE(OFFSET($H$3,0,0,'Données projet'!$E$15+1,1))</f>
        <v>331.94255128154623</v>
      </c>
      <c r="EP8" s="59">
        <f t="shared" si="46"/>
        <v>258.40809812013964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56.943881078974997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2.8</v>
      </c>
      <c r="FE8" s="12">
        <f>IF('Données projet'!$A$218&gt;35,FE7+FD8-FM7,IF(A8&lt;'Données projet'!$A$218,$FB$205^A8,IF(A8='Données projet'!$A$218,'Données projet'!$B$218,FE7+FD8-FM7)))</f>
        <v>2.735564799734763</v>
      </c>
      <c r="FF8" s="17">
        <f>FE8*VLOOKUP('Données projet'!$B$16,Paramètres!$A$1:$I$89,3,0)*VLOOKUP('Données projet'!$B$16,Paramètres!$A$1:$I$89,5,0)</f>
        <v>2.6031634634276002</v>
      </c>
      <c r="FG8" s="13">
        <f t="shared" si="47"/>
        <v>1.0732209390071628</v>
      </c>
      <c r="FH8" s="20">
        <f t="shared" si="22"/>
        <v>6.4030361675738776</v>
      </c>
      <c r="FI8" s="59">
        <f t="shared" si="23"/>
        <v>221.3083779015933</v>
      </c>
      <c r="FJ8" s="59">
        <f ca="1">AVERAGE(OFFSET($FI$3,0,0,'Données projet'!$E$16+1,1))-AVERAGE(OFFSET($H$3,0,0,'Données projet'!$E$16+1,1))</f>
        <v>290.72311302449236</v>
      </c>
      <c r="FK8" s="59">
        <f t="shared" si="48"/>
        <v>352.32552988394434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56.943881078974997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1.4</v>
      </c>
      <c r="FZ8" s="12">
        <f>IF('Données projet'!$A$244&gt;35,FZ7+FY8-GH7,IF(A8&lt;'Données projet'!$A$244,$FW$205^A8,IF(A8='Données projet'!$A$244,'Données projet'!$B$244,FZ7+FY8-GH7)))</f>
        <v>2.7589241763811212</v>
      </c>
      <c r="GA8" s="17">
        <f>FZ8*VLOOKUP('Données projet'!$B$17,Paramètres!$A$1:$I$89,3,0)*VLOOKUP('Données projet'!$B$17,Paramètres!$A$1:$I$89,5,0)</f>
        <v>1.8076471203649105</v>
      </c>
      <c r="GB8" s="13">
        <f t="shared" si="49"/>
        <v>0.77756676442955608</v>
      </c>
      <c r="GC8" s="20">
        <f t="shared" si="25"/>
        <v>4.5025808493503625</v>
      </c>
      <c r="GD8" s="59">
        <f t="shared" si="26"/>
        <v>219.40792258336978</v>
      </c>
      <c r="GE8" s="59">
        <f ca="1">AVERAGE(OFFSET($GD$3,0,0,'Données projet'!$E$17+1,1))-AVERAGE(OFFSET($H$3,0,0,'Données projet'!$E$17+1,1))</f>
        <v>123.03972959251965</v>
      </c>
      <c r="GF8" s="59">
        <f t="shared" si="50"/>
        <v>178.27657680839445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56.943881078974997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13.04</v>
      </c>
      <c r="GU8" s="12">
        <f>IF('Données projet'!$A$270&gt;35,GU7+GT8-HC7,IF(A8&lt;'Données projet'!$A$270,$GR$205^A8,IF(A8='Données projet'!$A$270,'Données projet'!$B$270,GU7+GT8-HC7)))</f>
        <v>65.199999999999989</v>
      </c>
      <c r="GV8" s="17">
        <f>GU8*VLOOKUP('Données projet'!$B$18,Paramètres!$A$1:$I$89,3,0)*VLOOKUP('Données projet'!$B$18,Paramètres!$A$1:$I$89,5,0)</f>
        <v>43.736159999999991</v>
      </c>
      <c r="GW8" s="13">
        <f t="shared" si="51"/>
        <v>12.983711681677823</v>
      </c>
      <c r="GX8" s="20">
        <f t="shared" si="28"/>
        <v>98.787109845588859</v>
      </c>
      <c r="GY8" s="59">
        <f t="shared" si="29"/>
        <v>313.6924515796083</v>
      </c>
      <c r="GZ8" s="59">
        <f ca="1">AVERAGE(OFFSET($GY$3,0,0,'Données projet'!$E$18+1,1))-AVERAGE(OFFSET($H$3,0,0,'Données projet'!$E$18+1,1))</f>
        <v>542.25674729323623</v>
      </c>
      <c r="HA8" s="59">
        <f t="shared" si="52"/>
        <v>614.73906555680685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2.8499999999999996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10.449999999999998</v>
      </c>
      <c r="H9" s="67">
        <f t="shared" si="1"/>
        <v>214.86666666666667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57.170375553145711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10.4</v>
      </c>
      <c r="N9" s="13">
        <f>IF('Données projet'!$A$36&gt;35,N8+M9-V8,IF(A9&lt;'Données projet'!$A$36,$K$205^A9,IF(A9='Données projet'!$A$36,'Données projet'!$B$36,N8+M9-V8)))</f>
        <v>4.9592842401901862</v>
      </c>
      <c r="O9" s="13">
        <f>N9*VLOOKUP('Données projet'!$B$9,Paramètres!$A$1:$I$89,3,0)*VLOOKUP('Données projet'!$B$9,Paramètres!$A$1:$I$89,5,0)</f>
        <v>4.3324307122301473</v>
      </c>
      <c r="P9" s="13">
        <f t="shared" si="33"/>
        <v>1.6833256048465284</v>
      </c>
      <c r="Q9" s="20">
        <f t="shared" si="2"/>
        <v>10.477442252241877</v>
      </c>
      <c r="R9" s="59">
        <f t="shared" si="0"/>
        <v>227.43548594710947</v>
      </c>
      <c r="S9" s="59">
        <f ca="1">AVERAGE(OFFSET($R$3,0,0,'Données projet'!$E$9+1,1))-AVERAGE(OFFSET($H$3,0,0,'Données projet'!$E$9+1,1))</f>
        <v>686.80970545599644</v>
      </c>
      <c r="T9" s="59">
        <f t="shared" si="34"/>
        <v>636.16485232937737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57.170375553145711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3.6388888888888888</v>
      </c>
      <c r="AI9" s="13">
        <f>IF('Données projet'!$A$62&gt;35,AI8+AH9-AQ8,IF(A9&lt;'Données projet'!$A$62,$AF$205^A9,IF(A9='Données projet'!$A$62,'Données projet'!$B$62,AI8+AH9-AQ8)))</f>
        <v>21.833333333333332</v>
      </c>
      <c r="AJ9" s="13">
        <f>AI9*VLOOKUP('Données projet'!$B$10,Paramètres!$A$1:$I$89,3,0)*VLOOKUP('Données projet'!$B$10,Paramètres!$A$1:$I$89,5,0)</f>
        <v>19.754799999999999</v>
      </c>
      <c r="AK9" s="13">
        <f t="shared" si="35"/>
        <v>6.4329238002032598</v>
      </c>
      <c r="AL9" s="20">
        <f t="shared" si="4"/>
        <v>45.610285618687335</v>
      </c>
      <c r="AM9" s="59">
        <f t="shared" si="5"/>
        <v>262.56832931355495</v>
      </c>
      <c r="AN9" s="59">
        <f ca="1">AVERAGE(OFFSET($AM$3,0,0,'Données projet'!$E$10+1,1))-AVERAGE(OFFSET($H$3,0,0,'Données projet'!$E$10+1,1))</f>
        <v>323.67375363913726</v>
      </c>
      <c r="AO9" s="59">
        <f t="shared" si="36"/>
        <v>266.03902815735029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57.170375553145711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12.2</v>
      </c>
      <c r="BD9" s="12">
        <f>IF('Données projet'!$A$88&gt;35,BD8+BC9-BL8,IF(A9&lt;'Données projet'!$A$88,$BA$205^A9,IF(A9='Données projet'!$A$88,'Données projet'!$B$88,BD8+BC9-BL8)))</f>
        <v>8.0348992573764413</v>
      </c>
      <c r="BE9" s="13">
        <f>BD9*VLOOKUP('Données projet'!$B$11,Paramètres!$A$1:$I$89,3,0)*VLOOKUP('Données projet'!$B$11,Paramètres!$A$1:$I$89,5,0)</f>
        <v>4.4915086848734305</v>
      </c>
      <c r="BF9" s="13">
        <f t="shared" si="37"/>
        <v>1.7378242431890476</v>
      </c>
      <c r="BG9" s="20">
        <f t="shared" si="7"/>
        <v>10.849421516375481</v>
      </c>
      <c r="BH9" s="59">
        <f t="shared" si="8"/>
        <v>227.80746521124308</v>
      </c>
      <c r="BI9" s="59">
        <f ca="1">AVERAGE(OFFSET($BH$3,0,0,'Données projet'!$E$11+1,1))-AVERAGE(OFFSET($H$3,0,0,'Données projet'!$E$11+1,1))</f>
        <v>371.46495716091965</v>
      </c>
      <c r="BJ9" s="59">
        <f t="shared" si="38"/>
        <v>579.95059529269417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57.170375553145711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2.7</v>
      </c>
      <c r="BY9" s="12">
        <f>IF('Données projet'!$A$114&gt;35,BY8+BX9-CG8,IF(A9&lt;'Données projet'!$A$114,$BV$205^A9,IF(A9='Données projet'!$A$114,'Données projet'!$B$114,BY8+BX9-CG8)))</f>
        <v>7.2246740558420726</v>
      </c>
      <c r="BZ9" s="13">
        <f>BY9*VLOOKUP('Données projet'!$B$12,Paramètres!$A$1:$I$89,3,0)*VLOOKUP('Données projet'!$B$12,Paramètres!$A$1:$I$89,5,0)</f>
        <v>4.5081966108454532</v>
      </c>
      <c r="CA9" s="13">
        <f t="shared" si="39"/>
        <v>1.7435282217919823</v>
      </c>
      <c r="CB9" s="20">
        <f t="shared" si="10"/>
        <v>10.888420750176865</v>
      </c>
      <c r="CC9" s="59">
        <f t="shared" si="11"/>
        <v>227.84646444504446</v>
      </c>
      <c r="CD9" s="59">
        <f ca="1">AVERAGE(OFFSET($CC$3,0,0,'Données projet'!$E$12+1,1))-AVERAGE(OFFSET($H$3,0,0,'Données projet'!$E$12+1,1))</f>
        <v>180.18752244216969</v>
      </c>
      <c r="CE9" s="59">
        <f t="shared" si="40"/>
        <v>350.12096474554676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57.170375553145711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1.9</v>
      </c>
      <c r="CT9" s="12">
        <f>IF('Données projet'!$A$140&gt;35,CT8+CS9-DB8,IF(A9&lt;'Données projet'!$A$140,$CQ$205^A9,IF(A9='Données projet'!$A$140,'Données projet'!$B$140,CT8+CS9-DB8)))</f>
        <v>5.8512972424092187</v>
      </c>
      <c r="CU9" s="17">
        <f>CT9*VLOOKUP('Données projet'!$B$13,Paramètres!$A$1:$I$89,3,0)*VLOOKUP('Données projet'!$B$13,Paramètres!$A$1:$I$89,5,0)</f>
        <v>4.6552920860607747</v>
      </c>
      <c r="CV9" s="13">
        <f t="shared" si="41"/>
        <v>1.7937006960002178</v>
      </c>
      <c r="CW9" s="20">
        <f t="shared" si="13"/>
        <v>11.231995762089561</v>
      </c>
      <c r="CX9" s="59">
        <f t="shared" si="14"/>
        <v>228.19003945695715</v>
      </c>
      <c r="CY9" s="59">
        <f ca="1">AVERAGE(OFFSET($CX$3,0,0,'Données projet'!$E$13+1,1))-AVERAGE(OFFSET($H$3,0,0,'Données projet'!$E$13+1,1))</f>
        <v>284.31574332240928</v>
      </c>
      <c r="CZ9" s="59">
        <f t="shared" si="42"/>
        <v>403.96994631683913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57.170375553145711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11.5</v>
      </c>
      <c r="DO9" s="12">
        <f>IF('Données projet'!$A$166&gt;35,DO8+DN9-DW8,IF(A9&lt;'Données projet'!$A$166,$DL$205^A9,IF(A9='Données projet'!$A$166,'Données projet'!$B$166,DO8+DN9-DW8)))</f>
        <v>17.235294325454703</v>
      </c>
      <c r="DP9" s="17">
        <f>DO9*VLOOKUP('Données projet'!$B$14,Paramètres!$A$1:$I$89,3,0)*VLOOKUP('Données projet'!$B$14,Paramètres!$A$1:$I$89,5,0)</f>
        <v>12.636917799423388</v>
      </c>
      <c r="DQ9" s="13">
        <f t="shared" si="43"/>
        <v>4.3347314253281013</v>
      </c>
      <c r="DR9" s="20">
        <f t="shared" si="16"/>
        <v>29.558955733108835</v>
      </c>
      <c r="DS9" s="59">
        <f t="shared" si="17"/>
        <v>246.51699942797643</v>
      </c>
      <c r="DT9" s="59">
        <f ca="1">AVERAGE(OFFSET($DS$3,0,0,'Données projet'!$E$14+1,1))-AVERAGE(OFFSET($H$3,0,0,'Données projet'!$E$14+1,1))</f>
        <v>190.9519472160006</v>
      </c>
      <c r="DU9" s="59">
        <f t="shared" si="44"/>
        <v>170.61553500287511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57.170375553145711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2.8</v>
      </c>
      <c r="EJ9" s="12">
        <f>IF('Données projet'!$A$192&gt;35,EJ8+EI9-ER8,IF(A9&lt;'Données projet'!$A$192,$EG$205^A9,IF(A9='Données projet'!$A$192,'Données projet'!$B$192,EJ8+EI9-ER8)))</f>
        <v>3.3454643638562565</v>
      </c>
      <c r="EK9" s="17">
        <f>EJ9*VLOOKUP('Données projet'!$B$15,Paramètres!$A$1:$I$89,3,0)*VLOOKUP('Données projet'!$B$15,Paramètres!$A$1:$I$89,5,0)</f>
        <v>2.8704084241886685</v>
      </c>
      <c r="EL9" s="13">
        <f t="shared" si="45"/>
        <v>1.170014151433729</v>
      </c>
      <c r="EM9" s="20">
        <f t="shared" si="19"/>
        <v>7.0370693192090075</v>
      </c>
      <c r="EN9" s="59">
        <f t="shared" si="20"/>
        <v>223.99511301407659</v>
      </c>
      <c r="EO9" s="59">
        <f ca="1">AVERAGE(OFFSET($EN$3,0,0,'Données projet'!$E$15+1,1))-AVERAGE(OFFSET($H$3,0,0,'Données projet'!$E$15+1,1))</f>
        <v>331.94255128154623</v>
      </c>
      <c r="EP9" s="59">
        <f t="shared" si="46"/>
        <v>258.40809812013964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57.170375553145711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2.8</v>
      </c>
      <c r="FE9" s="12">
        <f>IF('Données projet'!$A$218&gt;35,FE8+FD9-FM8,IF(A9&lt;'Données projet'!$A$218,$FB$205^A9,IF(A9='Données projet'!$A$218,'Données projet'!$B$218,FE8+FD9-FM8)))</f>
        <v>3.3454643638562565</v>
      </c>
      <c r="FF9" s="17">
        <f>FE9*VLOOKUP('Données projet'!$B$16,Paramètres!$A$1:$I$89,3,0)*VLOOKUP('Données projet'!$B$16,Paramètres!$A$1:$I$89,5,0)</f>
        <v>3.1835438886456133</v>
      </c>
      <c r="FG9" s="13">
        <f t="shared" si="47"/>
        <v>1.2821064481005018</v>
      </c>
      <c r="FH9" s="20">
        <f t="shared" si="22"/>
        <v>7.7776743364994845</v>
      </c>
      <c r="FI9" s="59">
        <f t="shared" si="23"/>
        <v>224.73571803136707</v>
      </c>
      <c r="FJ9" s="59">
        <f ca="1">AVERAGE(OFFSET($FI$3,0,0,'Données projet'!$E$16+1,1))-AVERAGE(OFFSET($H$3,0,0,'Données projet'!$E$16+1,1))</f>
        <v>290.72311302449236</v>
      </c>
      <c r="FK9" s="59">
        <f t="shared" si="48"/>
        <v>352.32552988394434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57.170375553145711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1.4</v>
      </c>
      <c r="FZ9" s="12">
        <f>IF('Données projet'!$A$244&gt;35,FZ8+FY9-GH8,IF(A9&lt;'Données projet'!$A$244,$FW$205^A9,IF(A9='Données projet'!$A$244,'Données projet'!$B$244,FZ8+FY9-GH8)))</f>
        <v>3.3797744452354288</v>
      </c>
      <c r="GA9" s="17">
        <f>FZ9*VLOOKUP('Données projet'!$B$17,Paramètres!$A$1:$I$89,3,0)*VLOOKUP('Données projet'!$B$17,Paramètres!$A$1:$I$89,5,0)</f>
        <v>2.2144282165182529</v>
      </c>
      <c r="GB9" s="13">
        <f t="shared" si="49"/>
        <v>0.93030471164588235</v>
      </c>
      <c r="GC9" s="20">
        <f t="shared" si="25"/>
        <v>5.4770765165525352</v>
      </c>
      <c r="GD9" s="59">
        <f t="shared" si="26"/>
        <v>222.43512021142013</v>
      </c>
      <c r="GE9" s="59">
        <f ca="1">AVERAGE(OFFSET($GD$3,0,0,'Données projet'!$E$17+1,1))-AVERAGE(OFFSET($H$3,0,0,'Données projet'!$E$17+1,1))</f>
        <v>123.03972959251965</v>
      </c>
      <c r="GF9" s="59">
        <f t="shared" si="50"/>
        <v>178.27657680839445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57.170375553145711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13.04</v>
      </c>
      <c r="GU9" s="12">
        <f>IF('Données projet'!$A$270&gt;35,GU8+GT9-HC8,IF(A9&lt;'Données projet'!$A$270,$GR$205^A9,IF(A9='Données projet'!$A$270,'Données projet'!$B$270,GU8+GT9-HC8)))</f>
        <v>78.239999999999981</v>
      </c>
      <c r="GV9" s="17">
        <f>GU9*VLOOKUP('Données projet'!$B$18,Paramètres!$A$1:$I$89,3,0)*VLOOKUP('Données projet'!$B$18,Paramètres!$A$1:$I$89,5,0)</f>
        <v>52.483391999999988</v>
      </c>
      <c r="GW9" s="13">
        <f t="shared" si="51"/>
        <v>15.253285948666479</v>
      </c>
      <c r="GX9" s="20">
        <f t="shared" si="28"/>
        <v>117.97471409392745</v>
      </c>
      <c r="GY9" s="59">
        <f t="shared" si="29"/>
        <v>334.93275778879502</v>
      </c>
      <c r="GZ9" s="59">
        <f ca="1">AVERAGE(OFFSET($GY$3,0,0,'Données projet'!$E$18+1,1))-AVERAGE(OFFSET($H$3,0,0,'Données projet'!$E$18+1,1))</f>
        <v>542.25674729323623</v>
      </c>
      <c r="HA9" s="59">
        <f t="shared" si="52"/>
        <v>614.73906555680685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2.8499999999999996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10.449999999999998</v>
      </c>
      <c r="H10" s="67">
        <f t="shared" si="1"/>
        <v>214.86666666666667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57.392940854555356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10.4</v>
      </c>
      <c r="N10" s="13">
        <f>IF('Données projet'!$A$36&gt;35,N9+M10-V9,IF(A10&lt;'Données projet'!$A$36,$K$205^A10,IF(A10='Données projet'!$A$36,'Données projet'!$B$36,N9+M10-V9)))</f>
        <v>6.4762285555436243</v>
      </c>
      <c r="O10" s="13">
        <f>N10*VLOOKUP('Données projet'!$B$9,Paramètres!$A$1:$I$89,3,0)*VLOOKUP('Données projet'!$B$9,Paramètres!$A$1:$I$89,5,0)</f>
        <v>5.657633266122911</v>
      </c>
      <c r="P10" s="13">
        <f t="shared" si="33"/>
        <v>2.1309838953971516</v>
      </c>
      <c r="Q10" s="20">
        <f t="shared" si="2"/>
        <v>13.565174889647443</v>
      </c>
      <c r="R10" s="59">
        <f t="shared" si="0"/>
        <v>232.56151357857263</v>
      </c>
      <c r="S10" s="59">
        <f ca="1">AVERAGE(OFFSET($R$3,0,0,'Données projet'!$E$9+1,1))-AVERAGE(OFFSET($H$3,0,0,'Données projet'!$E$9+1,1))</f>
        <v>686.80970545599644</v>
      </c>
      <c r="T10" s="59">
        <f t="shared" si="34"/>
        <v>636.16485232937737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57.392940854555356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3.6388888888888888</v>
      </c>
      <c r="AI10" s="13">
        <f>IF('Données projet'!$A$62&gt;35,AI9+AH10-AQ9,IF(A10&lt;'Données projet'!$A$62,$AF$205^A10,IF(A10='Données projet'!$A$62,'Données projet'!$B$62,AI9+AH10-AQ9)))</f>
        <v>25.472222222222221</v>
      </c>
      <c r="AJ10" s="13">
        <f>AI10*VLOOKUP('Données projet'!$B$10,Paramètres!$A$1:$I$89,3,0)*VLOOKUP('Données projet'!$B$10,Paramètres!$A$1:$I$89,5,0)</f>
        <v>23.047266666666665</v>
      </c>
      <c r="AK10" s="13">
        <f t="shared" si="35"/>
        <v>7.3716140719304786</v>
      </c>
      <c r="AL10" s="20">
        <f t="shared" si="4"/>
        <v>52.979550619723362</v>
      </c>
      <c r="AM10" s="59">
        <f t="shared" si="5"/>
        <v>271.97588930864856</v>
      </c>
      <c r="AN10" s="59">
        <f ca="1">AVERAGE(OFFSET($AM$3,0,0,'Données projet'!$E$10+1,1))-AVERAGE(OFFSET($H$3,0,0,'Données projet'!$E$10+1,1))</f>
        <v>323.67375363913726</v>
      </c>
      <c r="AO10" s="59">
        <f t="shared" si="36"/>
        <v>266.03902815735029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57.392940854555356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12.2</v>
      </c>
      <c r="BD10" s="12">
        <f>IF('Données projet'!$A$88&gt;35,BD9+BC10-BL9,IF(A10&lt;'Données projet'!$A$88,$BA$205^A10,IF(A10='Données projet'!$A$88,'Données projet'!$B$88,BD9+BC10-BL9)))</f>
        <v>11.371310243205938</v>
      </c>
      <c r="BE10" s="13">
        <f>BD10*VLOOKUP('Données projet'!$B$11,Paramètres!$A$1:$I$89,3,0)*VLOOKUP('Données projet'!$B$11,Paramètres!$A$1:$I$89,5,0)</f>
        <v>6.3565624259521201</v>
      </c>
      <c r="BF10" s="13">
        <f t="shared" si="37"/>
        <v>2.3619967932715555</v>
      </c>
      <c r="BG10" s="20">
        <f t="shared" si="7"/>
        <v>15.184823973481235</v>
      </c>
      <c r="BH10" s="59">
        <f t="shared" si="8"/>
        <v>234.18116266240642</v>
      </c>
      <c r="BI10" s="59">
        <f ca="1">AVERAGE(OFFSET($BH$3,0,0,'Données projet'!$E$11+1,1))-AVERAGE(OFFSET($H$3,0,0,'Données projet'!$E$11+1,1))</f>
        <v>371.46495716091965</v>
      </c>
      <c r="BJ10" s="59">
        <f t="shared" si="38"/>
        <v>579.95059529269417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57.392940854555356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2.7</v>
      </c>
      <c r="BY10" s="12">
        <f>IF('Données projet'!$A$114&gt;35,BY9+BX10-CG9,IF(A10&lt;'Données projet'!$A$114,$BV$205^A10,IF(A10='Données projet'!$A$114,'Données projet'!$B$114,BY9+BX10-CG9)))</f>
        <v>10.045108566305135</v>
      </c>
      <c r="BZ10" s="13">
        <f>BY10*VLOOKUP('Données projet'!$B$12,Paramètres!$A$1:$I$89,3,0)*VLOOKUP('Données projet'!$B$12,Paramètres!$A$1:$I$89,5,0)</f>
        <v>6.2681477453744048</v>
      </c>
      <c r="CA10" s="13">
        <f t="shared" si="39"/>
        <v>2.332943836743997</v>
      </c>
      <c r="CB10" s="20">
        <f t="shared" si="10"/>
        <v>14.980234505522882</v>
      </c>
      <c r="CC10" s="59">
        <f t="shared" si="11"/>
        <v>233.97657319444806</v>
      </c>
      <c r="CD10" s="59">
        <f ca="1">AVERAGE(OFFSET($CC$3,0,0,'Données projet'!$E$12+1,1))-AVERAGE(OFFSET($H$3,0,0,'Données projet'!$E$12+1,1))</f>
        <v>180.18752244216969</v>
      </c>
      <c r="CE10" s="59">
        <f t="shared" si="40"/>
        <v>350.12096474554676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57.392940854555356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1.9</v>
      </c>
      <c r="CT10" s="12">
        <f>IF('Données projet'!$A$140&gt;35,CT9+CS10-DB9,IF(A10&lt;'Données projet'!$A$140,$CQ$205^A10,IF(A10='Données projet'!$A$140,'Données projet'!$B$140,CT9+CS10-DB9)))</f>
        <v>7.8546623499408135</v>
      </c>
      <c r="CU10" s="17">
        <f>CT10*VLOOKUP('Données projet'!$B$13,Paramètres!$A$1:$I$89,3,0)*VLOOKUP('Données projet'!$B$13,Paramètres!$A$1:$I$89,5,0)</f>
        <v>6.2491693656129108</v>
      </c>
      <c r="CV10" s="13">
        <f t="shared" si="41"/>
        <v>2.326701366112224</v>
      </c>
      <c r="CW10" s="20">
        <f t="shared" si="13"/>
        <v>14.936308191087944</v>
      </c>
      <c r="CX10" s="59">
        <f t="shared" si="14"/>
        <v>233.93264688001312</v>
      </c>
      <c r="CY10" s="59">
        <f ca="1">AVERAGE(OFFSET($CX$3,0,0,'Données projet'!$E$13+1,1))-AVERAGE(OFFSET($H$3,0,0,'Données projet'!$E$13+1,1))</f>
        <v>284.31574332240928</v>
      </c>
      <c r="CZ10" s="59">
        <f t="shared" si="42"/>
        <v>403.96994631683913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57.392940854555356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11.5</v>
      </c>
      <c r="DO10" s="12">
        <f>IF('Données projet'!$A$166&gt;35,DO9+DN10-DW9,IF(A10&lt;'Données projet'!$A$166,$DL$205^A10,IF(A10='Données projet'!$A$166,'Données projet'!$B$166,DO9+DN10-DW9)))</f>
        <v>27.700556129091794</v>
      </c>
      <c r="DP10" s="17">
        <f>DO10*VLOOKUP('Données projet'!$B$14,Paramètres!$A$1:$I$89,3,0)*VLOOKUP('Données projet'!$B$14,Paramètres!$A$1:$I$89,5,0)</f>
        <v>20.310047753850103</v>
      </c>
      <c r="DQ10" s="13">
        <f t="shared" si="43"/>
        <v>6.5924289133797958</v>
      </c>
      <c r="DR10" s="20">
        <f t="shared" si="16"/>
        <v>46.855146862092077</v>
      </c>
      <c r="DS10" s="59">
        <f t="shared" si="17"/>
        <v>265.85148555101728</v>
      </c>
      <c r="DT10" s="59">
        <f ca="1">AVERAGE(OFFSET($DS$3,0,0,'Données projet'!$E$14+1,1))-AVERAGE(OFFSET($H$3,0,0,'Données projet'!$E$14+1,1))</f>
        <v>190.9519472160006</v>
      </c>
      <c r="DU10" s="59">
        <f t="shared" si="44"/>
        <v>170.61553500287511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57.392940854555356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2.8</v>
      </c>
      <c r="EJ10" s="12">
        <f>IF('Données projet'!$A$192&gt;35,EJ9+EI10-ER9,IF(A10&lt;'Données projet'!$A$192,$EG$205^A10,IF(A10='Données projet'!$A$192,'Données projet'!$B$192,EJ9+EI10-ER9)))</f>
        <v>4.091342237960264</v>
      </c>
      <c r="EK10" s="17">
        <f>EJ10*VLOOKUP('Données projet'!$B$15,Paramètres!$A$1:$I$89,3,0)*VLOOKUP('Données projet'!$B$15,Paramètres!$A$1:$I$89,5,0)</f>
        <v>3.510371640169907</v>
      </c>
      <c r="EL10" s="13">
        <f t="shared" si="45"/>
        <v>1.3977389309136552</v>
      </c>
      <c r="EM10" s="20">
        <f t="shared" si="19"/>
        <v>8.5482925779705372</v>
      </c>
      <c r="EN10" s="59">
        <f t="shared" si="20"/>
        <v>227.54463126689572</v>
      </c>
      <c r="EO10" s="59">
        <f ca="1">AVERAGE(OFFSET($EN$3,0,0,'Données projet'!$E$15+1,1))-AVERAGE(OFFSET($H$3,0,0,'Données projet'!$E$15+1,1))</f>
        <v>331.94255128154623</v>
      </c>
      <c r="EP10" s="59">
        <f t="shared" si="46"/>
        <v>258.40809812013964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57.392940854555356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2.8</v>
      </c>
      <c r="FE10" s="12">
        <f>IF('Données projet'!$A$218&gt;35,FE9+FD10-FM9,IF(A10&lt;'Données projet'!$A$218,$FB$205^A10,IF(A10='Données projet'!$A$218,'Données projet'!$B$218,FE9+FD10-FM9)))</f>
        <v>4.091342237960264</v>
      </c>
      <c r="FF10" s="17">
        <f>FE10*VLOOKUP('Données projet'!$B$16,Paramètres!$A$1:$I$89,3,0)*VLOOKUP('Données projet'!$B$16,Paramètres!$A$1:$I$89,5,0)</f>
        <v>3.8933212736429872</v>
      </c>
      <c r="FG10" s="13">
        <f t="shared" si="47"/>
        <v>1.531648223134336</v>
      </c>
      <c r="FH10" s="20">
        <f t="shared" si="22"/>
        <v>9.4484885402205041</v>
      </c>
      <c r="FI10" s="59">
        <f t="shared" si="23"/>
        <v>228.44482722914569</v>
      </c>
      <c r="FJ10" s="59">
        <f ca="1">AVERAGE(OFFSET($FI$3,0,0,'Données projet'!$E$16+1,1))-AVERAGE(OFFSET($H$3,0,0,'Données projet'!$E$16+1,1))</f>
        <v>290.72311302449236</v>
      </c>
      <c r="FK10" s="59">
        <f t="shared" si="48"/>
        <v>352.32552988394434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57.392940854555356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1.4</v>
      </c>
      <c r="FZ10" s="12">
        <f>IF('Données projet'!$A$244&gt;35,FZ9+FY10-GH9,IF(A10&lt;'Données projet'!$A$244,$FW$205^A10,IF(A10='Données projet'!$A$244,'Données projet'!$B$244,FZ9+FY10-GH9)))</f>
        <v>4.1403368017347359</v>
      </c>
      <c r="GA10" s="17">
        <f>FZ10*VLOOKUP('Données projet'!$B$17,Paramètres!$A$1:$I$89,3,0)*VLOOKUP('Données projet'!$B$17,Paramètres!$A$1:$I$89,5,0)</f>
        <v>2.7127486724965988</v>
      </c>
      <c r="GB10" s="13">
        <f t="shared" si="49"/>
        <v>1.1130450735577131</v>
      </c>
      <c r="GC10" s="20">
        <f t="shared" si="25"/>
        <v>6.6632574410445926</v>
      </c>
      <c r="GD10" s="59">
        <f t="shared" si="26"/>
        <v>225.65959612996977</v>
      </c>
      <c r="GE10" s="59">
        <f ca="1">AVERAGE(OFFSET($GD$3,0,0,'Données projet'!$E$17+1,1))-AVERAGE(OFFSET($H$3,0,0,'Données projet'!$E$17+1,1))</f>
        <v>123.03972959251965</v>
      </c>
      <c r="GF10" s="59">
        <f t="shared" si="50"/>
        <v>178.27657680839445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57.392940854555356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13.04</v>
      </c>
      <c r="GU10" s="12">
        <f>IF('Données projet'!$A$270&gt;35,GU9+GT10-HC9,IF(A10&lt;'Données projet'!$A$270,$GR$205^A10,IF(A10='Données projet'!$A$270,'Données projet'!$B$270,GU9+GT10-HC9)))</f>
        <v>91.279999999999973</v>
      </c>
      <c r="GV10" s="17">
        <f>GU10*VLOOKUP('Données projet'!$B$18,Paramètres!$A$1:$I$89,3,0)*VLOOKUP('Données projet'!$B$18,Paramètres!$A$1:$I$89,5,0)</f>
        <v>61.230623999999978</v>
      </c>
      <c r="GW10" s="13">
        <f t="shared" si="51"/>
        <v>17.47904076507427</v>
      </c>
      <c r="GX10" s="20">
        <f t="shared" si="28"/>
        <v>137.08599946583766</v>
      </c>
      <c r="GY10" s="59">
        <f t="shared" si="29"/>
        <v>356.08233815476285</v>
      </c>
      <c r="GZ10" s="59">
        <f ca="1">AVERAGE(OFFSET($GY$3,0,0,'Données projet'!$E$18+1,1))-AVERAGE(OFFSET($H$3,0,0,'Données projet'!$E$18+1,1))</f>
        <v>542.25674729323623</v>
      </c>
      <c r="HA10" s="59">
        <f t="shared" si="52"/>
        <v>614.73906555680685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2.8499999999999996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10.449999999999998</v>
      </c>
      <c r="H11" s="67">
        <f t="shared" si="1"/>
        <v>214.86666666666667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57.61164514556701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10.4</v>
      </c>
      <c r="N11" s="13">
        <f>IF('Données projet'!$A$36&gt;35,N10+M11-V10,IF(A11&lt;'Données projet'!$A$36,$K$205^A11,IF(A11='Données projet'!$A$36,'Données projet'!$B$36,N10+M11-V10)))</f>
        <v>8.4571753245646217</v>
      </c>
      <c r="O11" s="13">
        <f>N11*VLOOKUP('Données projet'!$B$9,Paramètres!$A$1:$I$89,3,0)*VLOOKUP('Données projet'!$B$9,Paramètres!$A$1:$I$89,5,0)</f>
        <v>7.3881883635396539</v>
      </c>
      <c r="P11" s="13">
        <f t="shared" si="33"/>
        <v>2.6976910167394719</v>
      </c>
      <c r="Q11" s="20">
        <f t="shared" si="2"/>
        <v>17.566239920652809</v>
      </c>
      <c r="R11" s="59">
        <f t="shared" si="0"/>
        <v>238.58671656550962</v>
      </c>
      <c r="S11" s="59">
        <f ca="1">AVERAGE(OFFSET($R$3,0,0,'Données projet'!$E$9+1,1))-AVERAGE(OFFSET($H$3,0,0,'Données projet'!$E$9+1,1))</f>
        <v>686.80970545599644</v>
      </c>
      <c r="T11" s="59">
        <f t="shared" si="34"/>
        <v>636.16485232937737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57.61164514556701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3.6388888888888888</v>
      </c>
      <c r="AI11" s="13">
        <f>IF('Données projet'!$A$62&gt;35,AI10+AH11-AQ10,IF(A11&lt;'Données projet'!$A$62,$AF$205^A11,IF(A11='Données projet'!$A$62,'Données projet'!$B$62,AI10+AH11-AQ10)))</f>
        <v>29.111111111111111</v>
      </c>
      <c r="AJ11" s="13">
        <f>AI11*VLOOKUP('Données projet'!$B$10,Paramètres!$A$1:$I$89,3,0)*VLOOKUP('Données projet'!$B$10,Paramètres!$A$1:$I$89,5,0)</f>
        <v>26.339733333333335</v>
      </c>
      <c r="AK11" s="13">
        <f t="shared" si="35"/>
        <v>8.2947685958954338</v>
      </c>
      <c r="AL11" s="20">
        <f t="shared" si="4"/>
        <v>60.3217575267401</v>
      </c>
      <c r="AM11" s="59">
        <f t="shared" si="5"/>
        <v>281.34223417159694</v>
      </c>
      <c r="AN11" s="59">
        <f ca="1">AVERAGE(OFFSET($AM$3,0,0,'Données projet'!$E$10+1,1))-AVERAGE(OFFSET($H$3,0,0,'Données projet'!$E$10+1,1))</f>
        <v>323.67375363913726</v>
      </c>
      <c r="AO11" s="59">
        <f t="shared" si="36"/>
        <v>266.03902815735029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57.61164514556701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12.2</v>
      </c>
      <c r="BD11" s="12">
        <f>IF('Données projet'!$A$88&gt;35,BD10+BC11-BL10,IF(A11&lt;'Données projet'!$A$88,$BA$205^A11,IF(A11='Données projet'!$A$88,'Données projet'!$B$88,BD10+BC11-BL10)))</f>
        <v>16.093132285203229</v>
      </c>
      <c r="BE11" s="13">
        <f>BD11*VLOOKUP('Données projet'!$B$11,Paramètres!$A$1:$I$89,3,0)*VLOOKUP('Données projet'!$B$11,Paramètres!$A$1:$I$89,5,0)</f>
        <v>8.9960609474286048</v>
      </c>
      <c r="BF11" s="13">
        <f t="shared" si="37"/>
        <v>3.2103527576454689</v>
      </c>
      <c r="BG11" s="20">
        <f t="shared" si="7"/>
        <v>21.259503869670677</v>
      </c>
      <c r="BH11" s="59">
        <f t="shared" si="8"/>
        <v>242.27998051452749</v>
      </c>
      <c r="BI11" s="59">
        <f ca="1">AVERAGE(OFFSET($BH$3,0,0,'Données projet'!$E$11+1,1))-AVERAGE(OFFSET($H$3,0,0,'Données projet'!$E$11+1,1))</f>
        <v>371.46495716091965</v>
      </c>
      <c r="BJ11" s="59">
        <f t="shared" si="38"/>
        <v>579.95059529269417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57.61164514556701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2.7</v>
      </c>
      <c r="BY11" s="12">
        <f>IF('Données projet'!$A$114&gt;35,BY10+BX11-CG10,IF(A11&lt;'Données projet'!$A$114,$BV$205^A11,IF(A11='Données projet'!$A$114,'Données projet'!$B$114,BY10+BX11-CG10)))</f>
        <v>13.96661016523823</v>
      </c>
      <c r="BZ11" s="13">
        <f>BY11*VLOOKUP('Données projet'!$B$12,Paramètres!$A$1:$I$89,3,0)*VLOOKUP('Données projet'!$B$12,Paramètres!$A$1:$I$89,5,0)</f>
        <v>8.7151647431086552</v>
      </c>
      <c r="CA11" s="13">
        <f t="shared" si="39"/>
        <v>3.1216167753269399</v>
      </c>
      <c r="CB11" s="20">
        <f t="shared" si="10"/>
        <v>20.615727811275324</v>
      </c>
      <c r="CC11" s="59">
        <f t="shared" si="11"/>
        <v>241.63620445613213</v>
      </c>
      <c r="CD11" s="59">
        <f ca="1">AVERAGE(OFFSET($CC$3,0,0,'Données projet'!$E$12+1,1))-AVERAGE(OFFSET($H$3,0,0,'Données projet'!$E$12+1,1))</f>
        <v>180.18752244216969</v>
      </c>
      <c r="CE11" s="59">
        <f t="shared" si="40"/>
        <v>350.12096474554676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57.61164514556701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1.9</v>
      </c>
      <c r="CT11" s="12">
        <f>IF('Données projet'!$A$140&gt;35,CT10+CS11-DB10,IF(A11&lt;'Données projet'!$A$140,$CQ$205^A11,IF(A11='Données projet'!$A$140,'Données projet'!$B$140,CT10+CS11-DB10)))</f>
        <v>10.543938903738736</v>
      </c>
      <c r="CU11" s="17">
        <f>CT11*VLOOKUP('Données projet'!$B$13,Paramètres!$A$1:$I$89,3,0)*VLOOKUP('Données projet'!$B$13,Paramètres!$A$1:$I$89,5,0)</f>
        <v>8.3887577918145393</v>
      </c>
      <c r="CV11" s="13">
        <f t="shared" si="41"/>
        <v>3.0180839306915423</v>
      </c>
      <c r="CW11" s="20">
        <f t="shared" si="13"/>
        <v>19.866916000031427</v>
      </c>
      <c r="CX11" s="59">
        <f t="shared" si="14"/>
        <v>240.88739264488825</v>
      </c>
      <c r="CY11" s="59">
        <f ca="1">AVERAGE(OFFSET($CX$3,0,0,'Données projet'!$E$13+1,1))-AVERAGE(OFFSET($H$3,0,0,'Données projet'!$E$13+1,1))</f>
        <v>284.31574332240928</v>
      </c>
      <c r="CZ11" s="59">
        <f t="shared" si="42"/>
        <v>403.96994631683913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57.61164514556701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11.5</v>
      </c>
      <c r="DO11" s="12">
        <f>IF('Données projet'!$A$166&gt;35,DO10+DN11-DW10,IF(A11&lt;'Données projet'!$A$166,$DL$205^A11,IF(A11='Données projet'!$A$166,'Données projet'!$B$166,DO10+DN11-DW10)))</f>
        <v>44.520319489276915</v>
      </c>
      <c r="DP11" s="17">
        <f>DO11*VLOOKUP('Données projet'!$B$14,Paramètres!$A$1:$I$89,3,0)*VLOOKUP('Données projet'!$B$14,Paramètres!$A$1:$I$89,5,0)</f>
        <v>32.642298249537831</v>
      </c>
      <c r="DQ11" s="13">
        <f t="shared" si="43"/>
        <v>10.026023463420534</v>
      </c>
      <c r="DR11" s="20">
        <f t="shared" si="16"/>
        <v>74.31399365006915</v>
      </c>
      <c r="DS11" s="59">
        <f t="shared" si="17"/>
        <v>295.33447029492595</v>
      </c>
      <c r="DT11" s="59">
        <f ca="1">AVERAGE(OFFSET($DS$3,0,0,'Données projet'!$E$14+1,1))-AVERAGE(OFFSET($H$3,0,0,'Données projet'!$E$14+1,1))</f>
        <v>190.9519472160006</v>
      </c>
      <c r="DU11" s="59">
        <f t="shared" si="44"/>
        <v>170.61553500287511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57.61164514556701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2.8</v>
      </c>
      <c r="EJ11" s="12">
        <f>IF('Données projet'!$A$192&gt;35,EJ10+EI11-ER10,IF(A11&lt;'Données projet'!$A$192,$EG$205^A11,IF(A11='Données projet'!$A$192,'Données projet'!$B$192,EJ10+EI11-ER10)))</f>
        <v>5.0035150542816931</v>
      </c>
      <c r="EK11" s="17">
        <f>EJ11*VLOOKUP('Données projet'!$B$15,Paramètres!$A$1:$I$89,3,0)*VLOOKUP('Données projet'!$B$15,Paramètres!$A$1:$I$89,5,0)</f>
        <v>4.293015916573693</v>
      </c>
      <c r="EL11" s="13">
        <f t="shared" si="45"/>
        <v>1.669786742833518</v>
      </c>
      <c r="EM11" s="20">
        <f t="shared" si="19"/>
        <v>10.385214631800892</v>
      </c>
      <c r="EN11" s="59">
        <f t="shared" si="20"/>
        <v>231.40569127665771</v>
      </c>
      <c r="EO11" s="59">
        <f ca="1">AVERAGE(OFFSET($EN$3,0,0,'Données projet'!$E$15+1,1))-AVERAGE(OFFSET($H$3,0,0,'Données projet'!$E$15+1,1))</f>
        <v>331.94255128154623</v>
      </c>
      <c r="EP11" s="59">
        <f t="shared" si="46"/>
        <v>258.40809812013964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57.61164514556701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2.8</v>
      </c>
      <c r="FE11" s="12">
        <f>IF('Données projet'!$A$218&gt;35,FE10+FD11-FM10,IF(A11&lt;'Données projet'!$A$218,$FB$205^A11,IF(A11='Données projet'!$A$218,'Données projet'!$B$218,FE10+FD11-FM10)))</f>
        <v>5.0035150542816931</v>
      </c>
      <c r="FF11" s="17">
        <f>FE11*VLOOKUP('Données projet'!$B$16,Paramètres!$A$1:$I$89,3,0)*VLOOKUP('Données projet'!$B$16,Paramètres!$A$1:$I$89,5,0)</f>
        <v>4.7613449256544591</v>
      </c>
      <c r="FG11" s="13">
        <f t="shared" si="47"/>
        <v>1.8297593642916268</v>
      </c>
      <c r="FH11" s="20">
        <f t="shared" si="22"/>
        <v>11.479506638322768</v>
      </c>
      <c r="FI11" s="59">
        <f t="shared" si="23"/>
        <v>232.49998328317957</v>
      </c>
      <c r="FJ11" s="59">
        <f ca="1">AVERAGE(OFFSET($FI$3,0,0,'Données projet'!$E$16+1,1))-AVERAGE(OFFSET($H$3,0,0,'Données projet'!$E$16+1,1))</f>
        <v>290.72311302449236</v>
      </c>
      <c r="FK11" s="59">
        <f t="shared" si="48"/>
        <v>352.32552988394434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57.61164514556701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1.4</v>
      </c>
      <c r="FZ11" s="12">
        <f>IF('Données projet'!$A$244&gt;35,FZ10+FY11-GH10,IF(A11&lt;'Données projet'!$A$244,$FW$205^A11,IF(A11='Données projet'!$A$244,'Données projet'!$B$244,FZ10+FY11-GH10)))</f>
        <v>5.0720511411538638</v>
      </c>
      <c r="GA11" s="17">
        <f>FZ11*VLOOKUP('Données projet'!$B$17,Paramètres!$A$1:$I$89,3,0)*VLOOKUP('Données projet'!$B$17,Paramètres!$A$1:$I$89,5,0)</f>
        <v>3.3232079076840115</v>
      </c>
      <c r="GB11" s="13">
        <f t="shared" si="49"/>
        <v>1.3316812440724981</v>
      </c>
      <c r="GC11" s="20">
        <f t="shared" si="25"/>
        <v>8.1072652726425876</v>
      </c>
      <c r="GD11" s="59">
        <f t="shared" si="26"/>
        <v>229.12774191749941</v>
      </c>
      <c r="GE11" s="59">
        <f ca="1">AVERAGE(OFFSET($GD$3,0,0,'Données projet'!$E$17+1,1))-AVERAGE(OFFSET($H$3,0,0,'Données projet'!$E$17+1,1))</f>
        <v>123.03972959251965</v>
      </c>
      <c r="GF11" s="59">
        <f t="shared" si="50"/>
        <v>178.27657680839445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57.61164514556701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13.04</v>
      </c>
      <c r="GU11" s="12">
        <f>IF('Données projet'!$A$270&gt;35,GU10+GT11-HC10,IF(A11&lt;'Données projet'!$A$270,$GR$205^A11,IF(A11='Données projet'!$A$270,'Données projet'!$B$270,GU10+GT11-HC10)))</f>
        <v>104.31999999999996</v>
      </c>
      <c r="GV11" s="17">
        <f>GU11*VLOOKUP('Données projet'!$B$18,Paramètres!$A$1:$I$89,3,0)*VLOOKUP('Données projet'!$B$18,Paramètres!$A$1:$I$89,5,0)</f>
        <v>69.977855999999974</v>
      </c>
      <c r="GW11" s="13">
        <f t="shared" si="51"/>
        <v>19.66795833446902</v>
      </c>
      <c r="GX11" s="20">
        <f t="shared" si="28"/>
        <v>156.13312663253348</v>
      </c>
      <c r="GY11" s="59">
        <f t="shared" si="29"/>
        <v>377.15360327739029</v>
      </c>
      <c r="GZ11" s="59">
        <f ca="1">AVERAGE(OFFSET($GY$3,0,0,'Données projet'!$E$18+1,1))-AVERAGE(OFFSET($H$3,0,0,'Données projet'!$E$18+1,1))</f>
        <v>542.25674729323623</v>
      </c>
      <c r="HA11" s="59">
        <f t="shared" si="52"/>
        <v>614.73906555680685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2.8499999999999996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10.449999999999998</v>
      </c>
      <c r="H12" s="67">
        <f t="shared" si="1"/>
        <v>214.86666666666667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57.826555406079166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10.4</v>
      </c>
      <c r="N12" s="13">
        <f>IF('Données projet'!$A$36&gt;35,N11+M12-V11,IF(A12&lt;'Données projet'!$A$36,$K$205^A12,IF(A12='Données projet'!$A$36,'Données projet'!$B$36,N11+M12-V11)))</f>
        <v>11.04405347294308</v>
      </c>
      <c r="O12" s="13">
        <f>N12*VLOOKUP('Données projet'!$B$9,Paramètres!$A$1:$I$89,3,0)*VLOOKUP('Données projet'!$B$9,Paramètres!$A$1:$I$89,5,0)</f>
        <v>9.6480851139630754</v>
      </c>
      <c r="P12" s="13">
        <f t="shared" si="33"/>
        <v>3.4151064386343157</v>
      </c>
      <c r="Q12" s="20">
        <f t="shared" si="2"/>
        <v>22.751725287440454</v>
      </c>
      <c r="R12" s="59">
        <f t="shared" si="0"/>
        <v>245.78242844306408</v>
      </c>
      <c r="S12" s="59">
        <f ca="1">AVERAGE(OFFSET($R$3,0,0,'Données projet'!$E$9+1,1))-AVERAGE(OFFSET($H$3,0,0,'Données projet'!$E$9+1,1))</f>
        <v>686.80970545599644</v>
      </c>
      <c r="T12" s="59">
        <f t="shared" si="34"/>
        <v>636.16485232937737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57.826555406079166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3.6388888888888888</v>
      </c>
      <c r="AI12" s="13">
        <f>IF('Données projet'!$A$62&gt;35,AI11+AH12-AQ11,IF(A12&lt;'Données projet'!$A$62,$AF$205^A12,IF(A12='Données projet'!$A$62,'Données projet'!$B$62,AI11+AH12-AQ11)))</f>
        <v>32.75</v>
      </c>
      <c r="AJ12" s="13">
        <f>AI12*VLOOKUP('Données projet'!$B$10,Paramètres!$A$1:$I$89,3,0)*VLOOKUP('Données projet'!$B$10,Paramètres!$A$1:$I$89,5,0)</f>
        <v>29.632199999999997</v>
      </c>
      <c r="AK12" s="13">
        <f t="shared" si="35"/>
        <v>9.2045517463429647</v>
      </c>
      <c r="AL12" s="20">
        <f t="shared" si="4"/>
        <v>67.640675958213976</v>
      </c>
      <c r="AM12" s="59">
        <f t="shared" si="5"/>
        <v>290.67137911383759</v>
      </c>
      <c r="AN12" s="59">
        <f ca="1">AVERAGE(OFFSET($AM$3,0,0,'Données projet'!$E$10+1,1))-AVERAGE(OFFSET($H$3,0,0,'Données projet'!$E$10+1,1))</f>
        <v>323.67375363913726</v>
      </c>
      <c r="AO12" s="59">
        <f t="shared" si="36"/>
        <v>266.03902815735029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57.826555406079166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12.2</v>
      </c>
      <c r="BD12" s="12">
        <f>IF('Données projet'!$A$88&gt;35,BD11+BC12-BL11,IF(A12&lt;'Données projet'!$A$88,$BA$205^A12,IF(A12='Données projet'!$A$88,'Données projet'!$B$88,BD11+BC12-BL11)))</f>
        <v>22.775643370014436</v>
      </c>
      <c r="BE12" s="13">
        <f>BD12*VLOOKUP('Données projet'!$B$11,Paramètres!$A$1:$I$89,3,0)*VLOOKUP('Données projet'!$B$11,Paramètres!$A$1:$I$89,5,0)</f>
        <v>12.731584643838069</v>
      </c>
      <c r="BF12" s="13">
        <f t="shared" si="37"/>
        <v>4.363411863166303</v>
      </c>
      <c r="BG12" s="20">
        <f t="shared" si="7"/>
        <v>29.773785583032616</v>
      </c>
      <c r="BH12" s="59">
        <f t="shared" si="8"/>
        <v>252.80448873865623</v>
      </c>
      <c r="BI12" s="59">
        <f ca="1">AVERAGE(OFFSET($BH$3,0,0,'Données projet'!$E$11+1,1))-AVERAGE(OFFSET($H$3,0,0,'Données projet'!$E$11+1,1))</f>
        <v>371.46495716091965</v>
      </c>
      <c r="BJ12" s="59">
        <f t="shared" si="38"/>
        <v>579.95059529269417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57.826555406079166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2.7</v>
      </c>
      <c r="BY12" s="12">
        <f>IF('Données projet'!$A$114&gt;35,BY11+BX12-CG11,IF(A12&lt;'Données projet'!$A$114,$BV$205^A12,IF(A12='Données projet'!$A$114,'Données projet'!$B$114,BY11+BX12-CG11)))</f>
        <v>19.419023519771326</v>
      </c>
      <c r="BZ12" s="13">
        <f>BY12*VLOOKUP('Données projet'!$B$12,Paramètres!$A$1:$I$89,3,0)*VLOOKUP('Données projet'!$B$12,Paramètres!$A$1:$I$89,5,0)</f>
        <v>12.117470676337307</v>
      </c>
      <c r="CA12" s="13">
        <f t="shared" si="39"/>
        <v>4.1769077928607921</v>
      </c>
      <c r="CB12" s="20">
        <f t="shared" si="10"/>
        <v>28.379375833853359</v>
      </c>
      <c r="CC12" s="59">
        <f t="shared" si="11"/>
        <v>251.41007898947697</v>
      </c>
      <c r="CD12" s="59">
        <f ca="1">AVERAGE(OFFSET($CC$3,0,0,'Données projet'!$E$12+1,1))-AVERAGE(OFFSET($H$3,0,0,'Données projet'!$E$12+1,1))</f>
        <v>180.18752244216969</v>
      </c>
      <c r="CE12" s="59">
        <f t="shared" si="40"/>
        <v>350.12096474554676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57.826555406079166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1.9</v>
      </c>
      <c r="CT12" s="12">
        <f>IF('Données projet'!$A$140&gt;35,CT11+CS12-DB11,IF(A12&lt;'Données projet'!$A$140,$CQ$205^A12,IF(A12='Données projet'!$A$140,'Données projet'!$B$140,CT11+CS12-DB11)))</f>
        <v>14.153969025366564</v>
      </c>
      <c r="CU12" s="17">
        <f>CT12*VLOOKUP('Données projet'!$B$13,Paramètres!$A$1:$I$89,3,0)*VLOOKUP('Données projet'!$B$13,Paramètres!$A$1:$I$89,5,0)</f>
        <v>11.260897756581638</v>
      </c>
      <c r="CV12" s="13">
        <f t="shared" si="41"/>
        <v>3.9149117911590028</v>
      </c>
      <c r="CW12" s="20">
        <f t="shared" si="13"/>
        <v>26.431201628981615</v>
      </c>
      <c r="CX12" s="59">
        <f t="shared" si="14"/>
        <v>249.46190478460525</v>
      </c>
      <c r="CY12" s="59">
        <f ca="1">AVERAGE(OFFSET($CX$3,0,0,'Données projet'!$E$13+1,1))-AVERAGE(OFFSET($H$3,0,0,'Données projet'!$E$13+1,1))</f>
        <v>284.31574332240928</v>
      </c>
      <c r="CZ12" s="59">
        <f t="shared" si="42"/>
        <v>403.96994631683913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57.826555406079166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11.5</v>
      </c>
      <c r="DO12" s="12">
        <f>IF('Données projet'!$A$166&gt;35,DO11+DN12-DW11,IF(A12&lt;'Données projet'!$A$166,$DL$205^A12,IF(A12='Données projet'!$A$166,'Données projet'!$B$166,DO11+DN12-DW11)))</f>
        <v>71.553034465820133</v>
      </c>
      <c r="DP12" s="17">
        <f>DO12*VLOOKUP('Données projet'!$B$14,Paramètres!$A$1:$I$89,3,0)*VLOOKUP('Données projet'!$B$14,Paramètres!$A$1:$I$89,5,0)</f>
        <v>52.462684870339316</v>
      </c>
      <c r="DQ12" s="13">
        <f t="shared" si="43"/>
        <v>15.247968208658939</v>
      </c>
      <c r="DR12" s="20">
        <f t="shared" si="16"/>
        <v>117.92938744592196</v>
      </c>
      <c r="DS12" s="59">
        <f t="shared" si="17"/>
        <v>340.96009060154557</v>
      </c>
      <c r="DT12" s="59">
        <f ca="1">AVERAGE(OFFSET($DS$3,0,0,'Données projet'!$E$14+1,1))-AVERAGE(OFFSET($H$3,0,0,'Données projet'!$E$14+1,1))</f>
        <v>190.9519472160006</v>
      </c>
      <c r="DU12" s="59">
        <f t="shared" si="44"/>
        <v>170.61553500287511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57.826555406079166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2.8</v>
      </c>
      <c r="EJ12" s="12">
        <f>IF('Données projet'!$A$192&gt;35,EJ11+EI12-ER11,IF(A12&lt;'Données projet'!$A$192,$EG$205^A12,IF(A12='Données projet'!$A$192,'Données projet'!$B$192,EJ11+EI12-ER11)))</f>
        <v>6.1190585979687659</v>
      </c>
      <c r="EK12" s="17">
        <f>EJ12*VLOOKUP('Données projet'!$B$15,Paramètres!$A$1:$I$89,3,0)*VLOOKUP('Données projet'!$B$15,Paramètres!$A$1:$I$89,5,0)</f>
        <v>5.250152277057202</v>
      </c>
      <c r="EL12" s="13">
        <f t="shared" si="45"/>
        <v>1.9947843655753528</v>
      </c>
      <c r="EM12" s="20">
        <f t="shared" si="19"/>
        <v>12.618264652585031</v>
      </c>
      <c r="EN12" s="59">
        <f t="shared" si="20"/>
        <v>235.64896780820865</v>
      </c>
      <c r="EO12" s="59">
        <f ca="1">AVERAGE(OFFSET($EN$3,0,0,'Données projet'!$E$15+1,1))-AVERAGE(OFFSET($H$3,0,0,'Données projet'!$E$15+1,1))</f>
        <v>331.94255128154623</v>
      </c>
      <c r="EP12" s="59">
        <f t="shared" si="46"/>
        <v>258.40809812013964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57.826555406079166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2.8</v>
      </c>
      <c r="FE12" s="12">
        <f>IF('Données projet'!$A$218&gt;35,FE11+FD12-FM11,IF(A12&lt;'Données projet'!$A$218,$FB$205^A12,IF(A12='Données projet'!$A$218,'Données projet'!$B$218,FE11+FD12-FM11)))</f>
        <v>6.1190585979687659</v>
      </c>
      <c r="FF12" s="17">
        <f>FE12*VLOOKUP('Données projet'!$B$16,Paramètres!$A$1:$I$89,3,0)*VLOOKUP('Données projet'!$B$16,Paramètres!$A$1:$I$89,5,0)</f>
        <v>5.822896161827078</v>
      </c>
      <c r="FG12" s="13">
        <f t="shared" si="47"/>
        <v>2.1858931317542183</v>
      </c>
      <c r="FH12" s="20">
        <f t="shared" si="22"/>
        <v>13.948641352987423</v>
      </c>
      <c r="FI12" s="59">
        <f t="shared" si="23"/>
        <v>236.97934450861106</v>
      </c>
      <c r="FJ12" s="59">
        <f ca="1">AVERAGE(OFFSET($FI$3,0,0,'Données projet'!$E$16+1,1))-AVERAGE(OFFSET($H$3,0,0,'Données projet'!$E$16+1,1))</f>
        <v>290.72311302449236</v>
      </c>
      <c r="FK12" s="59">
        <f t="shared" si="48"/>
        <v>352.32552988394434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57.826555406079166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1.4</v>
      </c>
      <c r="FZ12" s="12">
        <f>IF('Données projet'!$A$244&gt;35,FZ11+FY12-GH11,IF(A12&lt;'Données projet'!$A$244,$FW$205^A12,IF(A12='Données projet'!$A$244,'Données projet'!$B$244,FZ11+FY12-GH11)))</f>
        <v>6.2134323873607444</v>
      </c>
      <c r="GA12" s="17">
        <f>FZ12*VLOOKUP('Données projet'!$B$17,Paramètres!$A$1:$I$89,3,0)*VLOOKUP('Données projet'!$B$17,Paramètres!$A$1:$I$89,5,0)</f>
        <v>4.07104090019876</v>
      </c>
      <c r="GB12" s="13">
        <f t="shared" si="49"/>
        <v>1.5932642603107703</v>
      </c>
      <c r="GC12" s="20">
        <f t="shared" si="25"/>
        <v>9.8653314878874312</v>
      </c>
      <c r="GD12" s="59">
        <f t="shared" si="26"/>
        <v>232.89603464351106</v>
      </c>
      <c r="GE12" s="59">
        <f ca="1">AVERAGE(OFFSET($GD$3,0,0,'Données projet'!$E$17+1,1))-AVERAGE(OFFSET($H$3,0,0,'Données projet'!$E$17+1,1))</f>
        <v>123.03972959251965</v>
      </c>
      <c r="GF12" s="59">
        <f t="shared" si="50"/>
        <v>178.27657680839445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57.826555406079166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13.04</v>
      </c>
      <c r="GU12" s="12">
        <f>IF('Données projet'!$A$270&gt;35,GU11+GT12-HC11,IF(A12&lt;'Données projet'!$A$270,$GR$205^A12,IF(A12='Données projet'!$A$270,'Données projet'!$B$270,GU11+GT12-HC11)))</f>
        <v>117.35999999999996</v>
      </c>
      <c r="GV12" s="17">
        <f>GU12*VLOOKUP('Données projet'!$B$18,Paramètres!$A$1:$I$89,3,0)*VLOOKUP('Données projet'!$B$18,Paramètres!$A$1:$I$89,5,0)</f>
        <v>78.725087999999971</v>
      </c>
      <c r="GW12" s="13">
        <f t="shared" si="51"/>
        <v>21.825170665293836</v>
      </c>
      <c r="GX12" s="20">
        <f t="shared" si="28"/>
        <v>175.1250338420534</v>
      </c>
      <c r="GY12" s="59">
        <f t="shared" si="29"/>
        <v>398.15573699767702</v>
      </c>
      <c r="GZ12" s="59">
        <f ca="1">AVERAGE(OFFSET($GY$3,0,0,'Données projet'!$E$18+1,1))-AVERAGE(OFFSET($H$3,0,0,'Données projet'!$E$18+1,1))</f>
        <v>542.25674729323623</v>
      </c>
      <c r="HA12" s="59">
        <f t="shared" si="52"/>
        <v>614.73906555680685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2.8499999999999996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10.449999999999998</v>
      </c>
      <c r="H13" s="67">
        <f t="shared" si="1"/>
        <v>214.86666666666667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58.03773745403879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10.4</v>
      </c>
      <c r="N13" s="13">
        <f>IF('Données projet'!$A$36&gt;35,N12+M13-V12,IF(A13&lt;'Données projet'!$A$36,$K$205^A13,IF(A13='Données projet'!$A$36,'Données projet'!$B$36,N12+M13-V12)))</f>
        <v>14.422205101855949</v>
      </c>
      <c r="O13" s="13">
        <f>N13*VLOOKUP('Données projet'!$B$9,Paramètres!$A$1:$I$89,3,0)*VLOOKUP('Données projet'!$B$9,Paramètres!$A$1:$I$89,5,0)</f>
        <v>12.59923837698136</v>
      </c>
      <c r="P13" s="13">
        <f t="shared" si="33"/>
        <v>4.3233090501586906</v>
      </c>
      <c r="Q13" s="20">
        <f t="shared" si="2"/>
        <v>29.473436768935585</v>
      </c>
      <c r="R13" s="59">
        <f t="shared" si="0"/>
        <v>254.50069632263339</v>
      </c>
      <c r="S13" s="59">
        <f ca="1">AVERAGE(OFFSET($R$3,0,0,'Données projet'!$E$9+1,1))-AVERAGE(OFFSET($H$3,0,0,'Données projet'!$E$9+1,1))</f>
        <v>686.80970545599644</v>
      </c>
      <c r="T13" s="59">
        <f t="shared" si="34"/>
        <v>636.16485232937737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58.03773745403879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3.6388888888888888</v>
      </c>
      <c r="AI13" s="13">
        <f>IF('Données projet'!$A$62&gt;35,AI12+AH13-AQ12,IF(A13&lt;'Données projet'!$A$62,$AF$205^A13,IF(A13='Données projet'!$A$62,'Données projet'!$B$62,AI12+AH13-AQ12)))</f>
        <v>36.388888888888886</v>
      </c>
      <c r="AJ13" s="13">
        <f>AI13*VLOOKUP('Données projet'!$B$10,Paramètres!$A$1:$I$89,3,0)*VLOOKUP('Données projet'!$B$10,Paramètres!$A$1:$I$89,5,0)</f>
        <v>32.92466666666666</v>
      </c>
      <c r="AK13" s="13">
        <f t="shared" si="35"/>
        <v>10.102618709175243</v>
      </c>
      <c r="AL13" s="20">
        <f t="shared" si="4"/>
        <v>74.939188696257972</v>
      </c>
      <c r="AM13" s="59">
        <f t="shared" si="5"/>
        <v>299.96644824995576</v>
      </c>
      <c r="AN13" s="59">
        <f ca="1">AVERAGE(OFFSET($AM$3,0,0,'Données projet'!$E$10+1,1))-AVERAGE(OFFSET($H$3,0,0,'Données projet'!$E$10+1,1))</f>
        <v>323.67375363913726</v>
      </c>
      <c r="AO13" s="59">
        <f t="shared" si="36"/>
        <v>266.03902815735029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58.03773745403879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12.2</v>
      </c>
      <c r="BD13" s="12">
        <f>IF('Données projet'!$A$88&gt;35,BD12+BC13-BL12,IF(A13&lt;'Données projet'!$A$88,$BA$205^A13,IF(A13='Données projet'!$A$88,'Données projet'!$B$88,BD12+BC13-BL12)))</f>
        <v>32.232999873804978</v>
      </c>
      <c r="BE13" s="13">
        <f>BD13*VLOOKUP('Données projet'!$B$11,Paramètres!$A$1:$I$89,3,0)*VLOOKUP('Données projet'!$B$11,Paramètres!$A$1:$I$89,5,0)</f>
        <v>18.018246929456982</v>
      </c>
      <c r="BF13" s="13">
        <f t="shared" si="37"/>
        <v>5.9306140243554522</v>
      </c>
      <c r="BG13" s="20">
        <f t="shared" si="7"/>
        <v>41.710932827889991</v>
      </c>
      <c r="BH13" s="59">
        <f t="shared" si="8"/>
        <v>266.73819238158779</v>
      </c>
      <c r="BI13" s="59">
        <f ca="1">AVERAGE(OFFSET($BH$3,0,0,'Données projet'!$E$11+1,1))-AVERAGE(OFFSET($H$3,0,0,'Données projet'!$E$11+1,1))</f>
        <v>371.46495716091965</v>
      </c>
      <c r="BJ13" s="59">
        <f t="shared" si="38"/>
        <v>579.95059529269417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58.03773745403879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27</v>
      </c>
      <c r="BW13" s="12">
        <f>VLOOKUP(A13,'Données projet'!$A$113:$I$133,9,0)</f>
        <v>2.7</v>
      </c>
      <c r="BX13" s="12">
        <f t="array" ref="BX13">INDEX(BW:BW,MIN(IF(ISNUMBER(BW13:BW209),ROW(BW13:BW209),"")))</f>
        <v>2.7</v>
      </c>
      <c r="BY13" s="12">
        <f>IF('Données projet'!$A$114&gt;35,BY12+BX13-CG12,IF(A13&lt;'Données projet'!$A$114,$BV$205^A13,IF(A13='Données projet'!$A$114,'Données projet'!$B$114,BY12+BX13-CG12)))</f>
        <v>27</v>
      </c>
      <c r="BZ13" s="13">
        <f>BY13*VLOOKUP('Données projet'!$B$12,Paramètres!$A$1:$I$89,3,0)*VLOOKUP('Données projet'!$B$12,Paramètres!$A$1:$I$89,5,0)</f>
        <v>16.847999999999999</v>
      </c>
      <c r="CA13" s="13">
        <f t="shared" si="39"/>
        <v>5.5889495622773833</v>
      </c>
      <c r="CB13" s="20">
        <f t="shared" si="10"/>
        <v>39.077687154299774</v>
      </c>
      <c r="CC13" s="59">
        <f t="shared" si="11"/>
        <v>264.10494670799756</v>
      </c>
      <c r="CD13" s="59">
        <f ca="1">AVERAGE(OFFSET($CC$3,0,0,'Données projet'!$E$12+1,1))-AVERAGE(OFFSET($H$3,0,0,'Données projet'!$E$12+1,1))</f>
        <v>180.18752244216969</v>
      </c>
      <c r="CE13" s="59">
        <f t="shared" si="40"/>
        <v>350.12096474554676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27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0.3</v>
      </c>
      <c r="CJ13" s="16">
        <f>IF(ISNA(VLOOKUP(A13,'Données projet'!$A$113:$I$133,7,0)),0%,VLOOKUP(A13,'Données projet'!$A$113:$I$133,7,0))</f>
        <v>0.5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6.6785872934439956</v>
      </c>
      <c r="CM13" s="21">
        <f>EXP(-LN(2)/2)*CM12+(1-EXP(-LN(2)/2))/(LN(2)/2)*CG13*CJ13*VLOOKUP('Données projet'!$B$12,Paramètres!$A$1:$I$89,3,0)*0.475*44/12</f>
        <v>9.5379248743629486</v>
      </c>
      <c r="CN13" s="22">
        <f t="shared" si="12"/>
        <v>16.216512167806943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58.03773745403879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19</v>
      </c>
      <c r="CR13" s="12">
        <f>VLOOKUP(A13,'Données projet'!$A$139:$I$159,9,0)</f>
        <v>1.9</v>
      </c>
      <c r="CS13" s="12">
        <f t="array" ref="CS13">INDEX(CR:CR,MIN(IF(ISNUMBER(CR13:CR209),ROW(CR13:CR209),"")))</f>
        <v>1.9</v>
      </c>
      <c r="CT13" s="12">
        <f>IF('Données projet'!$A$140&gt;35,CT12+CS13-DB12,IF(A13&lt;'Données projet'!$A$140,$CQ$205^A13,IF(A13='Données projet'!$A$140,'Données projet'!$B$140,CT12+CS13-DB12)))</f>
        <v>19</v>
      </c>
      <c r="CU13" s="17">
        <f>CT13*VLOOKUP('Données projet'!$B$13,Paramètres!$A$1:$I$89,3,0)*VLOOKUP('Données projet'!$B$13,Paramètres!$A$1:$I$89,5,0)</f>
        <v>15.116400000000001</v>
      </c>
      <c r="CV13" s="13">
        <f t="shared" si="41"/>
        <v>5.0782333044806913</v>
      </c>
      <c r="CW13" s="20">
        <f t="shared" si="13"/>
        <v>35.172319671970541</v>
      </c>
      <c r="CX13" s="59">
        <f t="shared" si="14"/>
        <v>260.19957922566834</v>
      </c>
      <c r="CY13" s="59">
        <f ca="1">AVERAGE(OFFSET($CX$3,0,0,'Données projet'!$E$13+1,1))-AVERAGE(OFFSET($H$3,0,0,'Données projet'!$E$13+1,1))</f>
        <v>284.31574332240928</v>
      </c>
      <c r="CZ13" s="59">
        <f t="shared" si="42"/>
        <v>403.96994631683913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12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58.03773745403879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115</v>
      </c>
      <c r="DM13" s="12">
        <f>VLOOKUP(A13,'Données projet'!$A$165:$I$185,9,0)</f>
        <v>11.5</v>
      </c>
      <c r="DN13" s="12">
        <f t="array" ref="DN13">INDEX(DM:DM,MIN(IF(ISNUMBER(DM13:DM209),ROW(DM13:DM209),"")))</f>
        <v>11.5</v>
      </c>
      <c r="DO13" s="12">
        <f>IF('Données projet'!$A$166&gt;35,DO12+DN13-DW12,IF(A13&lt;'Données projet'!$A$166,$DL$205^A13,IF(A13='Données projet'!$A$166,'Données projet'!$B$166,DO12+DN13-DW12)))</f>
        <v>115</v>
      </c>
      <c r="DP13" s="17">
        <f>DO13*VLOOKUP('Données projet'!$B$14,Paramètres!$A$1:$I$89,3,0)*VLOOKUP('Données projet'!$B$14,Paramètres!$A$1:$I$89,5,0)</f>
        <v>84.317999999999998</v>
      </c>
      <c r="DQ13" s="13">
        <f t="shared" si="43"/>
        <v>23.189705803157239</v>
      </c>
      <c r="DR13" s="20">
        <f t="shared" si="16"/>
        <v>187.24258760716552</v>
      </c>
      <c r="DS13" s="59">
        <f t="shared" si="17"/>
        <v>412.26984716086332</v>
      </c>
      <c r="DT13" s="59">
        <f ca="1">AVERAGE(OFFSET($DS$3,0,0,'Données projet'!$E$14+1,1))-AVERAGE(OFFSET($H$3,0,0,'Données projet'!$E$14+1,1))</f>
        <v>190.9519472160006</v>
      </c>
      <c r="DU13" s="59">
        <f t="shared" si="44"/>
        <v>170.61553500287511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115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58.03773745403879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2.8</v>
      </c>
      <c r="EJ13" s="12">
        <f>IF('Données projet'!$A$192&gt;35,EJ12+EI13-ER12,IF(A13&lt;'Données projet'!$A$192,$EG$205^A13,IF(A13='Données projet'!$A$192,'Données projet'!$B$192,EJ12+EI13-ER12)))</f>
        <v>7.4833147735478933</v>
      </c>
      <c r="EK13" s="17">
        <f>EJ13*VLOOKUP('Données projet'!$B$15,Paramètres!$A$1:$I$89,3,0)*VLOOKUP('Données projet'!$B$15,Paramètres!$A$1:$I$89,5,0)</f>
        <v>6.4206840757040933</v>
      </c>
      <c r="EL13" s="13">
        <f t="shared" si="45"/>
        <v>2.3830376437122043</v>
      </c>
      <c r="EM13" s="20">
        <f t="shared" si="19"/>
        <v>15.33314866131672</v>
      </c>
      <c r="EN13" s="59">
        <f t="shared" si="20"/>
        <v>240.36040821501453</v>
      </c>
      <c r="EO13" s="59">
        <f ca="1">AVERAGE(OFFSET($EN$3,0,0,'Données projet'!$E$15+1,1))-AVERAGE(OFFSET($H$3,0,0,'Données projet'!$E$15+1,1))</f>
        <v>331.94255128154623</v>
      </c>
      <c r="EP13" s="59">
        <f t="shared" si="46"/>
        <v>258.40809812013964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58.03773745403879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2.8</v>
      </c>
      <c r="FE13" s="12">
        <f>IF('Données projet'!$A$218&gt;35,FE12+FD13-FM12,IF(A13&lt;'Données projet'!$A$218,$FB$205^A13,IF(A13='Données projet'!$A$218,'Données projet'!$B$218,FE12+FD13-FM12)))</f>
        <v>7.4833147735478933</v>
      </c>
      <c r="FF13" s="17">
        <f>FE13*VLOOKUP('Données projet'!$B$16,Paramètres!$A$1:$I$89,3,0)*VLOOKUP('Données projet'!$B$16,Paramètres!$A$1:$I$89,5,0)</f>
        <v>7.1211223385081759</v>
      </c>
      <c r="FG13" s="13">
        <f t="shared" si="47"/>
        <v>2.6113427135267431</v>
      </c>
      <c r="FH13" s="20">
        <f t="shared" si="22"/>
        <v>16.950709965627482</v>
      </c>
      <c r="FI13" s="59">
        <f t="shared" si="23"/>
        <v>241.97796951932528</v>
      </c>
      <c r="FJ13" s="59">
        <f ca="1">AVERAGE(OFFSET($FI$3,0,0,'Données projet'!$E$16+1,1))-AVERAGE(OFFSET($H$3,0,0,'Données projet'!$E$16+1,1))</f>
        <v>290.72311302449236</v>
      </c>
      <c r="FK13" s="59">
        <f t="shared" si="48"/>
        <v>352.32552988394434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58.03773745403879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1.4</v>
      </c>
      <c r="FZ13" s="12">
        <f>IF('Données projet'!$A$244&gt;35,FZ12+FY13-GH12,IF(A13&lt;'Données projet'!$A$244,$FW$205^A13,IF(A13='Données projet'!$A$244,'Données projet'!$B$244,FZ12+FY13-GH12)))</f>
        <v>7.6116626110202468</v>
      </c>
      <c r="GA13" s="17">
        <f>FZ13*VLOOKUP('Données projet'!$B$17,Paramètres!$A$1:$I$89,3,0)*VLOOKUP('Données projet'!$B$17,Paramètres!$A$1:$I$89,5,0)</f>
        <v>4.9871613427404657</v>
      </c>
      <c r="GB13" s="13">
        <f t="shared" si="49"/>
        <v>1.9062301992183248</v>
      </c>
      <c r="GC13" s="20">
        <f t="shared" si="25"/>
        <v>12.005990268911559</v>
      </c>
      <c r="GD13" s="59">
        <f t="shared" si="26"/>
        <v>237.03324982260935</v>
      </c>
      <c r="GE13" s="59">
        <f ca="1">AVERAGE(OFFSET($GD$3,0,0,'Données projet'!$E$17+1,1))-AVERAGE(OFFSET($H$3,0,0,'Données projet'!$E$17+1,1))</f>
        <v>123.03972959251965</v>
      </c>
      <c r="GF13" s="59">
        <f t="shared" si="50"/>
        <v>178.27657680839445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58.03773745403879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13.04</v>
      </c>
      <c r="GU13" s="12">
        <f>IF('Données projet'!$A$270&gt;35,GU12+GT13-HC12,IF(A13&lt;'Données projet'!$A$270,$GR$205^A13,IF(A13='Données projet'!$A$270,'Données projet'!$B$270,GU12+GT13-HC12)))</f>
        <v>130.39999999999995</v>
      </c>
      <c r="GV13" s="17">
        <f>GU13*VLOOKUP('Données projet'!$B$18,Paramètres!$A$1:$I$89,3,0)*VLOOKUP('Données projet'!$B$18,Paramètres!$A$1:$I$89,5,0)</f>
        <v>87.472319999999968</v>
      </c>
      <c r="GW13" s="13">
        <f t="shared" si="51"/>
        <v>23.954602415239062</v>
      </c>
      <c r="GX13" s="20">
        <f t="shared" si="28"/>
        <v>194.06855653987463</v>
      </c>
      <c r="GY13" s="59">
        <f t="shared" si="29"/>
        <v>419.09581609357247</v>
      </c>
      <c r="GZ13" s="59">
        <f ca="1">AVERAGE(OFFSET($GY$3,0,0,'Données projet'!$E$18+1,1))-AVERAGE(OFFSET($H$3,0,0,'Données projet'!$E$18+1,1))</f>
        <v>542.25674729323623</v>
      </c>
      <c r="HA13" s="59">
        <f t="shared" si="52"/>
        <v>614.73906555680685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2.8499999999999996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10.449999999999998</v>
      </c>
      <c r="H14" s="67">
        <f t="shared" si="1"/>
        <v>214.86666666666667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58.245255965598645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10.4</v>
      </c>
      <c r="N14" s="13">
        <f>IF('Données projet'!$A$36&gt;35,N13+M14-V13,IF(A14&lt;'Données projet'!$A$36,$K$205^A14,IF(A14='Données projet'!$A$36,'Données projet'!$B$36,N13+M14-V13)))</f>
        <v>18.833664696533816</v>
      </c>
      <c r="O14" s="13">
        <f>N14*VLOOKUP('Données projet'!$B$9,Paramètres!$A$1:$I$89,3,0)*VLOOKUP('Données projet'!$B$9,Paramètres!$A$1:$I$89,5,0)</f>
        <v>16.453089478891943</v>
      </c>
      <c r="P14" s="13">
        <f t="shared" si="33"/>
        <v>5.4730361934658998</v>
      </c>
      <c r="Q14" s="20">
        <f t="shared" si="2"/>
        <v>38.188002212689902</v>
      </c>
      <c r="R14" s="59">
        <f t="shared" si="0"/>
        <v>265.19838519766273</v>
      </c>
      <c r="S14" s="59">
        <f ca="1">AVERAGE(OFFSET($R$3,0,0,'Données projet'!$E$9+1,1))-AVERAGE(OFFSET($H$3,0,0,'Données projet'!$E$9+1,1))</f>
        <v>686.80970545599644</v>
      </c>
      <c r="T14" s="59">
        <f t="shared" si="34"/>
        <v>636.16485232937737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58.245255965598645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3.6388888888888888</v>
      </c>
      <c r="AI14" s="13">
        <f>IF('Données projet'!$A$62&gt;35,AI13+AH14-AQ13,IF(A14&lt;'Données projet'!$A$62,$AF$205^A14,IF(A14='Données projet'!$A$62,'Données projet'!$B$62,AI13+AH14-AQ13)))</f>
        <v>40.027777777777771</v>
      </c>
      <c r="AJ14" s="13">
        <f>AI14*VLOOKUP('Données projet'!$B$10,Paramètres!$A$1:$I$89,3,0)*VLOOKUP('Données projet'!$B$10,Paramètres!$A$1:$I$89,5,0)</f>
        <v>36.217133333333329</v>
      </c>
      <c r="AK14" s="13">
        <f t="shared" si="35"/>
        <v>10.990274476877119</v>
      </c>
      <c r="AL14" s="20">
        <f t="shared" si="4"/>
        <v>82.219568602783184</v>
      </c>
      <c r="AM14" s="59">
        <f t="shared" si="5"/>
        <v>309.22995158775598</v>
      </c>
      <c r="AN14" s="59">
        <f ca="1">AVERAGE(OFFSET($AM$3,0,0,'Données projet'!$E$10+1,1))-AVERAGE(OFFSET($H$3,0,0,'Données projet'!$E$10+1,1))</f>
        <v>323.67375363913726</v>
      </c>
      <c r="AO14" s="59">
        <f t="shared" si="36"/>
        <v>266.03902815735029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58.245255965598645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12.2</v>
      </c>
      <c r="BD14" s="12">
        <f>IF('Données projet'!$A$88&gt;35,BD13+BC14-BL13,IF(A14&lt;'Données projet'!$A$88,$BA$205^A14,IF(A14='Données projet'!$A$88,'Données projet'!$B$88,BD13+BC14-BL13)))</f>
        <v>45.617428407426502</v>
      </c>
      <c r="BE14" s="13">
        <f>BD14*VLOOKUP('Données projet'!$B$11,Paramètres!$A$1:$I$89,3,0)*VLOOKUP('Données projet'!$B$11,Paramètres!$A$1:$I$89,5,0)</f>
        <v>25.500142479751414</v>
      </c>
      <c r="BF14" s="13">
        <f t="shared" si="37"/>
        <v>8.0607065775264513</v>
      </c>
      <c r="BG14" s="20">
        <f t="shared" si="7"/>
        <v>58.451812108092277</v>
      </c>
      <c r="BH14" s="59">
        <f t="shared" si="8"/>
        <v>285.46219509306508</v>
      </c>
      <c r="BI14" s="59">
        <f ca="1">AVERAGE(OFFSET($BH$3,0,0,'Données projet'!$E$11+1,1))-AVERAGE(OFFSET($H$3,0,0,'Données projet'!$E$11+1,1))</f>
        <v>371.46495716091965</v>
      </c>
      <c r="BJ14" s="59">
        <f t="shared" si="38"/>
        <v>579.95059529269417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58.245255965598645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17.2</v>
      </c>
      <c r="BY14" s="12">
        <f>IF('Données projet'!$A$114&gt;35,BY13+BX14-CG13,IF(A14&lt;'Données projet'!$A$114,$BV$205^A14,IF(A14='Données projet'!$A$114,'Données projet'!$B$114,BY13+BX14-CG13)))</f>
        <v>17.200000000000003</v>
      </c>
      <c r="BZ14" s="13">
        <f>BY14*VLOOKUP('Données projet'!$B$12,Paramètres!$A$1:$I$89,3,0)*VLOOKUP('Données projet'!$B$12,Paramètres!$A$1:$I$89,5,0)</f>
        <v>10.732800000000001</v>
      </c>
      <c r="CA14" s="13">
        <f t="shared" si="39"/>
        <v>3.7522356381823627</v>
      </c>
      <c r="CB14" s="20">
        <f t="shared" si="10"/>
        <v>25.228103736500945</v>
      </c>
      <c r="CC14" s="59">
        <f t="shared" si="11"/>
        <v>252.23848672147375</v>
      </c>
      <c r="CD14" s="59">
        <f ca="1">AVERAGE(OFFSET($CC$3,0,0,'Données projet'!$E$12+1,1))-AVERAGE(OFFSET($H$3,0,0,'Données projet'!$E$12+1,1))</f>
        <v>180.18752244216969</v>
      </c>
      <c r="CE14" s="59">
        <f t="shared" si="40"/>
        <v>350.12096474554676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6.495960972693128</v>
      </c>
      <c r="CM14" s="21">
        <f>EXP(-LN(2)/2)*CM13+(1-EXP(-LN(2)/2))/(LN(2)/2)*CG14*CJ14*VLOOKUP('Données projet'!$B$12,Paramètres!$A$1:$I$89,3,0)*0.475*44/12</f>
        <v>6.7443313571098908</v>
      </c>
      <c r="CN14" s="22">
        <f t="shared" si="12"/>
        <v>13.240292329803019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58.245255965598645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15.6</v>
      </c>
      <c r="CT14" s="12">
        <f>IF('Données projet'!$A$140&gt;35,CT13+CS14-DB13,IF(A14&lt;'Données projet'!$A$140,$CQ$205^A14,IF(A14='Données projet'!$A$140,'Données projet'!$B$140,CT13+CS14-DB13)))</f>
        <v>22.6</v>
      </c>
      <c r="CU14" s="17">
        <f>CT14*VLOOKUP('Données projet'!$B$13,Paramètres!$A$1:$I$89,3,0)*VLOOKUP('Données projet'!$B$13,Paramètres!$A$1:$I$89,5,0)</f>
        <v>17.980560000000004</v>
      </c>
      <c r="CV14" s="13">
        <f t="shared" si="41"/>
        <v>5.9196521077726354</v>
      </c>
      <c r="CW14" s="20">
        <f t="shared" si="13"/>
        <v>41.626202754370681</v>
      </c>
      <c r="CX14" s="59">
        <f t="shared" si="14"/>
        <v>268.6365857393435</v>
      </c>
      <c r="CY14" s="59">
        <f ca="1">AVERAGE(OFFSET($CX$3,0,0,'Données projet'!$E$13+1,1))-AVERAGE(OFFSET($H$3,0,0,'Données projet'!$E$13+1,1))</f>
        <v>284.31574332240928</v>
      </c>
      <c r="CZ14" s="59">
        <f t="shared" si="42"/>
        <v>403.96994631683913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58.245255965598645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36.799999999999997</v>
      </c>
      <c r="DO14" s="12">
        <f>IF('Données projet'!$A$166&gt;35,DO13+DN14-DW13,IF(A14&lt;'Données projet'!$A$166,$DL$205^A14,IF(A14='Données projet'!$A$166,'Données projet'!$B$166,DO13+DN14-DW13)))</f>
        <v>36.800000000000011</v>
      </c>
      <c r="DP14" s="17">
        <f>DO14*VLOOKUP('Données projet'!$B$14,Paramètres!$A$1:$I$89,3,0)*VLOOKUP('Données projet'!$B$14,Paramètres!$A$1:$I$89,5,0)</f>
        <v>26.981760000000005</v>
      </c>
      <c r="DQ14" s="13">
        <f t="shared" si="43"/>
        <v>8.4731668771982243</v>
      </c>
      <c r="DR14" s="20">
        <f t="shared" si="16"/>
        <v>61.750664311120254</v>
      </c>
      <c r="DS14" s="59">
        <f t="shared" si="17"/>
        <v>288.76104729609307</v>
      </c>
      <c r="DT14" s="59">
        <f ca="1">AVERAGE(OFFSET($DS$3,0,0,'Données projet'!$E$14+1,1))-AVERAGE(OFFSET($H$3,0,0,'Données projet'!$E$14+1,1))</f>
        <v>190.9519472160006</v>
      </c>
      <c r="DU14" s="59">
        <f t="shared" si="44"/>
        <v>170.61553500287511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58.245255965598645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2.8</v>
      </c>
      <c r="EJ14" s="12">
        <f>IF('Données projet'!$A$192&gt;35,EJ13+EI14-ER13,IF(A14&lt;'Données projet'!$A$192,$EG$205^A14,IF(A14='Données projet'!$A$192,'Données projet'!$B$192,EJ13+EI14-ER13)))</f>
        <v>9.1517345525322273</v>
      </c>
      <c r="EK14" s="17">
        <f>EJ14*VLOOKUP('Données projet'!$B$15,Paramètres!$A$1:$I$89,3,0)*VLOOKUP('Données projet'!$B$15,Paramètres!$A$1:$I$89,5,0)</f>
        <v>7.8521882460726511</v>
      </c>
      <c r="EL14" s="13">
        <f t="shared" si="45"/>
        <v>2.8468582917289242</v>
      </c>
      <c r="EM14" s="20">
        <f t="shared" si="19"/>
        <v>18.634172720004408</v>
      </c>
      <c r="EN14" s="59">
        <f t="shared" si="20"/>
        <v>245.64455570497722</v>
      </c>
      <c r="EO14" s="59">
        <f ca="1">AVERAGE(OFFSET($EN$3,0,0,'Données projet'!$E$15+1,1))-AVERAGE(OFFSET($H$3,0,0,'Données projet'!$E$15+1,1))</f>
        <v>331.94255128154623</v>
      </c>
      <c r="EP14" s="59">
        <f t="shared" si="46"/>
        <v>258.40809812013964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58.245255965598645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2.8</v>
      </c>
      <c r="FE14" s="12">
        <f>IF('Données projet'!$A$218&gt;35,FE13+FD14-FM13,IF(A14&lt;'Données projet'!$A$218,$FB$205^A14,IF(A14='Données projet'!$A$218,'Données projet'!$B$218,FE13+FD14-FM13)))</f>
        <v>9.1517345525322273</v>
      </c>
      <c r="FF14" s="17">
        <f>FE14*VLOOKUP('Données projet'!$B$16,Paramètres!$A$1:$I$89,3,0)*VLOOKUP('Données projet'!$B$16,Paramètres!$A$1:$I$89,5,0)</f>
        <v>8.7087906001896673</v>
      </c>
      <c r="FG14" s="13">
        <f t="shared" si="47"/>
        <v>3.1195993383339617</v>
      </c>
      <c r="FH14" s="20">
        <f t="shared" si="22"/>
        <v>20.601112476261985</v>
      </c>
      <c r="FI14" s="59">
        <f t="shared" si="23"/>
        <v>247.6114954612348</v>
      </c>
      <c r="FJ14" s="59">
        <f ca="1">AVERAGE(OFFSET($FI$3,0,0,'Données projet'!$E$16+1,1))-AVERAGE(OFFSET($H$3,0,0,'Données projet'!$E$16+1,1))</f>
        <v>290.72311302449236</v>
      </c>
      <c r="FK14" s="59">
        <f t="shared" si="48"/>
        <v>352.32552988394434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58.245255965598645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1.4</v>
      </c>
      <c r="FZ14" s="12">
        <f>IF('Données projet'!$A$244&gt;35,FZ13+FY14-GH13,IF(A14&lt;'Données projet'!$A$244,$FW$205^A14,IF(A14='Données projet'!$A$244,'Données projet'!$B$244,FZ13+FY14-GH13)))</f>
        <v>9.3245414276751148</v>
      </c>
      <c r="GA14" s="17">
        <f>FZ14*VLOOKUP('Données projet'!$B$17,Paramètres!$A$1:$I$89,3,0)*VLOOKUP('Données projet'!$B$17,Paramètres!$A$1:$I$89,5,0)</f>
        <v>6.1094395434127353</v>
      </c>
      <c r="GB14" s="13">
        <f t="shared" si="49"/>
        <v>2.2806722418434027</v>
      </c>
      <c r="GC14" s="20">
        <f t="shared" si="25"/>
        <v>14.612778025987772</v>
      </c>
      <c r="GD14" s="59">
        <f t="shared" si="26"/>
        <v>241.62316101096059</v>
      </c>
      <c r="GE14" s="59">
        <f ca="1">AVERAGE(OFFSET($GD$3,0,0,'Données projet'!$E$17+1,1))-AVERAGE(OFFSET($H$3,0,0,'Données projet'!$E$17+1,1))</f>
        <v>123.03972959251965</v>
      </c>
      <c r="GF14" s="59">
        <f t="shared" si="50"/>
        <v>178.27657680839445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58.245255965598645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13.04</v>
      </c>
      <c r="GU14" s="12">
        <f>IF('Données projet'!$A$270&gt;35,GU13+GT14-HC13,IF(A14&lt;'Données projet'!$A$270,$GR$205^A14,IF(A14='Données projet'!$A$270,'Données projet'!$B$270,GU13+GT14-HC13)))</f>
        <v>143.43999999999994</v>
      </c>
      <c r="GV14" s="17">
        <f>GU14*VLOOKUP('Données projet'!$B$18,Paramètres!$A$1:$I$89,3,0)*VLOOKUP('Données projet'!$B$18,Paramètres!$A$1:$I$89,5,0)</f>
        <v>96.219551999999965</v>
      </c>
      <c r="GW14" s="13">
        <f t="shared" si="51"/>
        <v>26.059347888566755</v>
      </c>
      <c r="GX14" s="20">
        <f t="shared" si="28"/>
        <v>212.96908397258701</v>
      </c>
      <c r="GY14" s="59">
        <f t="shared" si="29"/>
        <v>439.97946695755979</v>
      </c>
      <c r="GZ14" s="59">
        <f ca="1">AVERAGE(OFFSET($GY$3,0,0,'Données projet'!$E$18+1,1))-AVERAGE(OFFSET($H$3,0,0,'Données projet'!$E$18+1,1))</f>
        <v>542.25674729323623</v>
      </c>
      <c r="HA14" s="59">
        <f t="shared" si="52"/>
        <v>614.73906555680685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2.8499999999999996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10.449999999999998</v>
      </c>
      <c r="H15" s="67">
        <f t="shared" si="1"/>
        <v>214.86666666666667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58.449174494924833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10.4</v>
      </c>
      <c r="N15" s="13">
        <f>IF('Données projet'!$A$36&gt;35,N14+M15-V14,IF(A15&lt;'Données projet'!$A$36,$K$205^A15,IF(A15='Données projet'!$A$36,'Données projet'!$B$36,N14+M15-V14)))</f>
        <v>24.594500174998757</v>
      </c>
      <c r="O15" s="13">
        <f>N15*VLOOKUP('Données projet'!$B$9,Paramètres!$A$1:$I$89,3,0)*VLOOKUP('Données projet'!$B$9,Paramètres!$A$1:$I$89,5,0)</f>
        <v>21.485755352878918</v>
      </c>
      <c r="P15" s="13">
        <f t="shared" si="33"/>
        <v>6.9285181391064796</v>
      </c>
      <c r="Q15" s="20">
        <f t="shared" si="2"/>
        <v>49.48819299854123</v>
      </c>
      <c r="R15" s="59">
        <f t="shared" si="0"/>
        <v>278.46849947993229</v>
      </c>
      <c r="S15" s="59">
        <f ca="1">AVERAGE(OFFSET($R$3,0,0,'Données projet'!$E$9+1,1))-AVERAGE(OFFSET($H$3,0,0,'Données projet'!$E$9+1,1))</f>
        <v>686.80970545599644</v>
      </c>
      <c r="T15" s="59">
        <f t="shared" si="34"/>
        <v>636.16485232937737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58.449174494924833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3.6388888888888888</v>
      </c>
      <c r="AI15" s="13">
        <f>IF('Données projet'!$A$62&gt;35,AI14+AH15-AQ14,IF(A15&lt;'Données projet'!$A$62,$AF$205^A15,IF(A15='Données projet'!$A$62,'Données projet'!$B$62,AI14+AH15-AQ14)))</f>
        <v>43.666666666666657</v>
      </c>
      <c r="AJ15" s="13">
        <f>AI15*VLOOKUP('Données projet'!$B$10,Paramètres!$A$1:$I$89,3,0)*VLOOKUP('Données projet'!$B$10,Paramètres!$A$1:$I$89,5,0)</f>
        <v>39.509599999999992</v>
      </c>
      <c r="AK15" s="13">
        <f t="shared" si="35"/>
        <v>11.868573161467834</v>
      </c>
      <c r="AL15" s="20">
        <f t="shared" si="4"/>
        <v>89.483651589556459</v>
      </c>
      <c r="AM15" s="59">
        <f t="shared" si="5"/>
        <v>318.46395807094751</v>
      </c>
      <c r="AN15" s="59">
        <f ca="1">AVERAGE(OFFSET($AM$3,0,0,'Données projet'!$E$10+1,1))-AVERAGE(OFFSET($H$3,0,0,'Données projet'!$E$10+1,1))</f>
        <v>323.67375363913726</v>
      </c>
      <c r="AO15" s="59">
        <f t="shared" si="36"/>
        <v>266.03902815735029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58.449174494924833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12.2</v>
      </c>
      <c r="BD15" s="12">
        <f>IF('Données projet'!$A$88&gt;35,BD14+BC15-BL14,IF(A15&lt;'Données projet'!$A$88,$BA$205^A15,IF(A15='Données projet'!$A$88,'Données projet'!$B$88,BD14+BC15-BL14)))</f>
        <v>64.559606076188487</v>
      </c>
      <c r="BE15" s="13">
        <f>BD15*VLOOKUP('Données projet'!$B$11,Paramètres!$A$1:$I$89,3,0)*VLOOKUP('Données projet'!$B$11,Paramètres!$A$1:$I$89,5,0)</f>
        <v>36.088819796589362</v>
      </c>
      <c r="BF15" s="13">
        <f t="shared" si="37"/>
        <v>10.955862287133046</v>
      </c>
      <c r="BG15" s="20">
        <f t="shared" si="7"/>
        <v>81.936154629149854</v>
      </c>
      <c r="BH15" s="59">
        <f t="shared" si="8"/>
        <v>310.91646111054092</v>
      </c>
      <c r="BI15" s="59">
        <f ca="1">AVERAGE(OFFSET($BH$3,0,0,'Données projet'!$E$11+1,1))-AVERAGE(OFFSET($H$3,0,0,'Données projet'!$E$11+1,1))</f>
        <v>371.46495716091965</v>
      </c>
      <c r="BJ15" s="59">
        <f t="shared" si="38"/>
        <v>579.95059529269417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58.449174494924833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17.2</v>
      </c>
      <c r="BY15" s="12">
        <f>IF('Données projet'!$A$114&gt;35,BY14+BX15-CG14,IF(A15&lt;'Données projet'!$A$114,$BV$205^A15,IF(A15='Données projet'!$A$114,'Données projet'!$B$114,BY14+BX15-CG14)))</f>
        <v>34.400000000000006</v>
      </c>
      <c r="BZ15" s="13">
        <f>BY15*VLOOKUP('Données projet'!$B$12,Paramètres!$A$1:$I$89,3,0)*VLOOKUP('Données projet'!$B$12,Paramètres!$A$1:$I$89,5,0)</f>
        <v>21.465600000000002</v>
      </c>
      <c r="CA15" s="13">
        <f t="shared" si="39"/>
        <v>6.9227748647399237</v>
      </c>
      <c r="CB15" s="20">
        <f t="shared" si="10"/>
        <v>49.443086222755369</v>
      </c>
      <c r="CC15" s="59">
        <f t="shared" si="11"/>
        <v>278.42339270414641</v>
      </c>
      <c r="CD15" s="59">
        <f ca="1">AVERAGE(OFFSET($CC$3,0,0,'Données projet'!$E$12+1,1))-AVERAGE(OFFSET($H$3,0,0,'Données projet'!$E$12+1,1))</f>
        <v>180.18752244216969</v>
      </c>
      <c r="CE15" s="59">
        <f t="shared" si="40"/>
        <v>350.12096474554676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6.3183285782870939</v>
      </c>
      <c r="CM15" s="21">
        <f>EXP(-LN(2)/2)*CM14+(1-EXP(-LN(2)/2))/(LN(2)/2)*CG15*CJ15*VLOOKUP('Données projet'!$B$12,Paramètres!$A$1:$I$89,3,0)*0.475*44/12</f>
        <v>4.7689624371814752</v>
      </c>
      <c r="CN15" s="22">
        <f t="shared" si="12"/>
        <v>11.087291015468569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58.449174494924833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15.6</v>
      </c>
      <c r="CT15" s="12">
        <f>IF('Données projet'!$A$140&gt;35,CT14+CS15-DB14,IF(A15&lt;'Données projet'!$A$140,$CQ$205^A15,IF(A15='Données projet'!$A$140,'Données projet'!$B$140,CT14+CS15-DB14)))</f>
        <v>38.200000000000003</v>
      </c>
      <c r="CU15" s="17">
        <f>CT15*VLOOKUP('Données projet'!$B$13,Paramètres!$A$1:$I$89,3,0)*VLOOKUP('Données projet'!$B$13,Paramètres!$A$1:$I$89,5,0)</f>
        <v>30.391920000000006</v>
      </c>
      <c r="CV15" s="13">
        <f t="shared" si="41"/>
        <v>9.4127636748505399</v>
      </c>
      <c r="CW15" s="20">
        <f t="shared" si="13"/>
        <v>69.326490733698023</v>
      </c>
      <c r="CX15" s="59">
        <f t="shared" si="14"/>
        <v>298.30679721508909</v>
      </c>
      <c r="CY15" s="59">
        <f ca="1">AVERAGE(OFFSET($CX$3,0,0,'Données projet'!$E$13+1,1))-AVERAGE(OFFSET($H$3,0,0,'Données projet'!$E$13+1,1))</f>
        <v>284.31574332240928</v>
      </c>
      <c r="CZ15" s="59">
        <f t="shared" si="42"/>
        <v>403.96994631683913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58.449174494924833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36.799999999999997</v>
      </c>
      <c r="DO15" s="12">
        <f>IF('Données projet'!$A$166&gt;35,DO14+DN15-DW14,IF(A15&lt;'Données projet'!$A$166,$DL$205^A15,IF(A15='Données projet'!$A$166,'Données projet'!$B$166,DO14+DN15-DW14)))</f>
        <v>73.600000000000009</v>
      </c>
      <c r="DP15" s="17">
        <f>DO15*VLOOKUP('Données projet'!$B$14,Paramètres!$A$1:$I$89,3,0)*VLOOKUP('Données projet'!$B$14,Paramètres!$A$1:$I$89,5,0)</f>
        <v>53.963520000000003</v>
      </c>
      <c r="DQ15" s="13">
        <f t="shared" si="43"/>
        <v>15.632767325516218</v>
      </c>
      <c r="DR15" s="20">
        <f t="shared" si="16"/>
        <v>121.2135337586074</v>
      </c>
      <c r="DS15" s="59">
        <f t="shared" si="17"/>
        <v>350.19384023999845</v>
      </c>
      <c r="DT15" s="59">
        <f ca="1">AVERAGE(OFFSET($DS$3,0,0,'Données projet'!$E$14+1,1))-AVERAGE(OFFSET($H$3,0,0,'Données projet'!$E$14+1,1))</f>
        <v>190.9519472160006</v>
      </c>
      <c r="DU15" s="59">
        <f t="shared" si="44"/>
        <v>170.61553500287511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58.449174494924833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2.8</v>
      </c>
      <c r="EJ15" s="12">
        <f>IF('Données projet'!$A$192&gt;35,EJ14+EI15-ER14,IF(A15&lt;'Données projet'!$A$192,$EG$205^A15,IF(A15='Données projet'!$A$192,'Données projet'!$B$192,EJ14+EI15-ER14)))</f>
        <v>11.19213180983215</v>
      </c>
      <c r="EK15" s="17">
        <f>EJ15*VLOOKUP('Données projet'!$B$15,Paramètres!$A$1:$I$89,3,0)*VLOOKUP('Données projet'!$B$15,Paramètres!$A$1:$I$89,5,0)</f>
        <v>9.6028490928359851</v>
      </c>
      <c r="EL15" s="13">
        <f t="shared" si="45"/>
        <v>3.4009543049268385</v>
      </c>
      <c r="EM15" s="20">
        <f t="shared" si="19"/>
        <v>22.64829091777025</v>
      </c>
      <c r="EN15" s="59">
        <f t="shared" si="20"/>
        <v>251.62859739916129</v>
      </c>
      <c r="EO15" s="59">
        <f ca="1">AVERAGE(OFFSET($EN$3,0,0,'Données projet'!$E$15+1,1))-AVERAGE(OFFSET($H$3,0,0,'Données projet'!$E$15+1,1))</f>
        <v>331.94255128154623</v>
      </c>
      <c r="EP15" s="59">
        <f t="shared" si="46"/>
        <v>258.40809812013964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58.449174494924833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2.8</v>
      </c>
      <c r="FE15" s="12">
        <f>IF('Données projet'!$A$218&gt;35,FE14+FD15-FM14,IF(A15&lt;'Données projet'!$A$218,$FB$205^A15,IF(A15='Données projet'!$A$218,'Données projet'!$B$218,FE14+FD15-FM14)))</f>
        <v>11.19213180983215</v>
      </c>
      <c r="FF15" s="17">
        <f>FE15*VLOOKUP('Données projet'!$B$16,Paramètres!$A$1:$I$89,3,0)*VLOOKUP('Données projet'!$B$16,Paramètres!$A$1:$I$89,5,0)</f>
        <v>10.650432630236274</v>
      </c>
      <c r="FG15" s="13">
        <f t="shared" si="47"/>
        <v>3.7267800895388024</v>
      </c>
      <c r="FH15" s="20">
        <f t="shared" si="22"/>
        <v>25.040312153608259</v>
      </c>
      <c r="FI15" s="59">
        <f t="shared" si="23"/>
        <v>254.02061863499929</v>
      </c>
      <c r="FJ15" s="59">
        <f ca="1">AVERAGE(OFFSET($FI$3,0,0,'Données projet'!$E$16+1,1))-AVERAGE(OFFSET($H$3,0,0,'Données projet'!$E$16+1,1))</f>
        <v>290.72311302449236</v>
      </c>
      <c r="FK15" s="59">
        <f t="shared" si="48"/>
        <v>352.32552988394434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58.449174494924833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1.4</v>
      </c>
      <c r="FZ15" s="12">
        <f>IF('Données projet'!$A$244&gt;35,FZ14+FY15-GH14,IF(A15&lt;'Données projet'!$A$244,$FW$205^A15,IF(A15='Données projet'!$A$244,'Données projet'!$B$244,FZ14+FY15-GH14)))</f>
        <v>11.422875300666451</v>
      </c>
      <c r="GA15" s="17">
        <f>FZ15*VLOOKUP('Données projet'!$B$17,Paramètres!$A$1:$I$89,3,0)*VLOOKUP('Données projet'!$B$17,Paramètres!$A$1:$I$89,5,0)</f>
        <v>7.4842678969966583</v>
      </c>
      <c r="GB15" s="13">
        <f t="shared" si="49"/>
        <v>2.7286661793774662</v>
      </c>
      <c r="GC15" s="20">
        <f t="shared" si="25"/>
        <v>17.787526849684934</v>
      </c>
      <c r="GD15" s="59">
        <f t="shared" si="26"/>
        <v>246.76783333107596</v>
      </c>
      <c r="GE15" s="59">
        <f ca="1">AVERAGE(OFFSET($GD$3,0,0,'Données projet'!$E$17+1,1))-AVERAGE(OFFSET($H$3,0,0,'Données projet'!$E$17+1,1))</f>
        <v>123.03972959251965</v>
      </c>
      <c r="GF15" s="59">
        <f t="shared" si="50"/>
        <v>178.27657680839445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58.449174494924833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13.04</v>
      </c>
      <c r="GU15" s="12">
        <f>IF('Données projet'!$A$270&gt;35,GU14+GT15-HC14,IF(A15&lt;'Données projet'!$A$270,$GR$205^A15,IF(A15='Données projet'!$A$270,'Données projet'!$B$270,GU14+GT15-HC14)))</f>
        <v>156.47999999999993</v>
      </c>
      <c r="GV15" s="17">
        <f>GU15*VLOOKUP('Données projet'!$B$18,Paramètres!$A$1:$I$89,3,0)*VLOOKUP('Données projet'!$B$18,Paramètres!$A$1:$I$89,5,0)</f>
        <v>104.96678399999996</v>
      </c>
      <c r="GW15" s="13">
        <f t="shared" si="51"/>
        <v>28.141906519834329</v>
      </c>
      <c r="GX15" s="20">
        <f t="shared" si="28"/>
        <v>231.83096932204469</v>
      </c>
      <c r="GY15" s="59">
        <f t="shared" si="29"/>
        <v>460.81127580343571</v>
      </c>
      <c r="GZ15" s="59">
        <f ca="1">AVERAGE(OFFSET($GY$3,0,0,'Données projet'!$E$18+1,1))-AVERAGE(OFFSET($H$3,0,0,'Données projet'!$E$18+1,1))</f>
        <v>542.25674729323623</v>
      </c>
      <c r="HA15" s="59">
        <f t="shared" si="52"/>
        <v>614.73906555680685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2.8499999999999996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10.449999999999998</v>
      </c>
      <c r="H16" s="67">
        <f t="shared" si="1"/>
        <v>214.86666666666667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58.649555493660735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10.4</v>
      </c>
      <c r="N16" s="13">
        <f>IF('Données projet'!$A$36&gt;35,N15+M16-V15,IF(A16&lt;'Données projet'!$A$36,$K$205^A16,IF(A16='Données projet'!$A$36,'Données projet'!$B$36,N15+M16-V15)))</f>
        <v>32.117458211377148</v>
      </c>
      <c r="O16" s="13">
        <f>N16*VLOOKUP('Données projet'!$B$9,Paramètres!$A$1:$I$89,3,0)*VLOOKUP('Données projet'!$B$9,Paramètres!$A$1:$I$89,5,0)</f>
        <v>28.057811493459077</v>
      </c>
      <c r="P16" s="13">
        <f t="shared" si="33"/>
        <v>8.7710663527565469</v>
      </c>
      <c r="Q16" s="20">
        <f t="shared" si="2"/>
        <v>64.143628915492215</v>
      </c>
      <c r="R16" s="59">
        <f t="shared" si="0"/>
        <v>295.08088794780377</v>
      </c>
      <c r="S16" s="59">
        <f ca="1">AVERAGE(OFFSET($R$3,0,0,'Données projet'!$E$9+1,1))-AVERAGE(OFFSET($H$3,0,0,'Données projet'!$E$9+1,1))</f>
        <v>686.80970545599644</v>
      </c>
      <c r="T16" s="59">
        <f t="shared" si="34"/>
        <v>636.16485232937737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58.649555493660735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3.6388888888888888</v>
      </c>
      <c r="AI16" s="13">
        <f>IF('Données projet'!$A$62&gt;35,AI15+AH16-AQ15,IF(A16&lt;'Données projet'!$A$62,$AF$205^A16,IF(A16='Données projet'!$A$62,'Données projet'!$B$62,AI15+AH16-AQ15)))</f>
        <v>47.305555555555543</v>
      </c>
      <c r="AJ16" s="13">
        <f>AI16*VLOOKUP('Données projet'!$B$10,Paramètres!$A$1:$I$89,3,0)*VLOOKUP('Données projet'!$B$10,Paramètres!$A$1:$I$89,5,0)</f>
        <v>42.802066666666654</v>
      </c>
      <c r="AK16" s="13">
        <f t="shared" si="35"/>
        <v>12.738383171310938</v>
      </c>
      <c r="AL16" s="20">
        <f t="shared" si="4"/>
        <v>96.732950134477633</v>
      </c>
      <c r="AM16" s="59">
        <f t="shared" si="5"/>
        <v>327.67020916678922</v>
      </c>
      <c r="AN16" s="59">
        <f ca="1">AVERAGE(OFFSET($AM$3,0,0,'Données projet'!$E$10+1,1))-AVERAGE(OFFSET($H$3,0,0,'Données projet'!$E$10+1,1))</f>
        <v>323.67375363913726</v>
      </c>
      <c r="AO16" s="59">
        <f t="shared" si="36"/>
        <v>266.03902815735029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58.649555493660735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12.2</v>
      </c>
      <c r="BD16" s="12">
        <f>IF('Données projet'!$A$88&gt;35,BD15+BC16-BL15,IF(A16&lt;'Données projet'!$A$88,$BA$205^A16,IF(A16='Données projet'!$A$88,'Données projet'!$B$88,BD15+BC16-BL15)))</f>
        <v>91.367332228532504</v>
      </c>
      <c r="BE16" s="13">
        <f>BD16*VLOOKUP('Données projet'!$B$11,Paramètres!$A$1:$I$89,3,0)*VLOOKUP('Données projet'!$B$11,Paramètres!$A$1:$I$89,5,0)</f>
        <v>51.074338715749668</v>
      </c>
      <c r="BF16" s="13">
        <f t="shared" si="37"/>
        <v>14.890868101969463</v>
      </c>
      <c r="BG16" s="20">
        <f t="shared" si="7"/>
        <v>114.88940187419416</v>
      </c>
      <c r="BH16" s="59">
        <f t="shared" si="8"/>
        <v>345.82666090650571</v>
      </c>
      <c r="BI16" s="59">
        <f ca="1">AVERAGE(OFFSET($BH$3,0,0,'Données projet'!$E$11+1,1))-AVERAGE(OFFSET($H$3,0,0,'Données projet'!$E$11+1,1))</f>
        <v>371.46495716091965</v>
      </c>
      <c r="BJ16" s="59">
        <f t="shared" si="38"/>
        <v>579.95059529269417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58.649555493660735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17.2</v>
      </c>
      <c r="BY16" s="12">
        <f>IF('Données projet'!$A$114&gt;35,BY15+BX16-CG15,IF(A16&lt;'Données projet'!$A$114,$BV$205^A16,IF(A16='Données projet'!$A$114,'Données projet'!$B$114,BY15+BX16-CG15)))</f>
        <v>51.600000000000009</v>
      </c>
      <c r="BZ16" s="13">
        <f>BY16*VLOOKUP('Données projet'!$B$12,Paramètres!$A$1:$I$89,3,0)*VLOOKUP('Données projet'!$B$12,Paramètres!$A$1:$I$89,5,0)</f>
        <v>32.198400000000007</v>
      </c>
      <c r="CA16" s="13">
        <f t="shared" si="39"/>
        <v>9.9054553496759432</v>
      </c>
      <c r="CB16" s="20">
        <f t="shared" si="10"/>
        <v>73.330881400685612</v>
      </c>
      <c r="CC16" s="59">
        <f t="shared" si="11"/>
        <v>304.2681404329972</v>
      </c>
      <c r="CD16" s="59">
        <f ca="1">AVERAGE(OFFSET($CC$3,0,0,'Données projet'!$E$12+1,1))-AVERAGE(OFFSET($H$3,0,0,'Données projet'!$E$12+1,1))</f>
        <v>180.18752244216969</v>
      </c>
      <c r="CE16" s="59">
        <f t="shared" si="40"/>
        <v>350.12096474554676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6.1455535510473744</v>
      </c>
      <c r="CM16" s="21">
        <f>EXP(-LN(2)/2)*CM15+(1-EXP(-LN(2)/2))/(LN(2)/2)*CG16*CJ16*VLOOKUP('Données projet'!$B$12,Paramètres!$A$1:$I$89,3,0)*0.475*44/12</f>
        <v>3.3721656785549459</v>
      </c>
      <c r="CN16" s="22">
        <f t="shared" si="12"/>
        <v>9.5177192296023208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58.649555493660735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15.6</v>
      </c>
      <c r="CT16" s="12">
        <f>IF('Données projet'!$A$140&gt;35,CT15+CS16-DB15,IF(A16&lt;'Données projet'!$A$140,$CQ$205^A16,IF(A16='Données projet'!$A$140,'Données projet'!$B$140,CT15+CS16-DB15)))</f>
        <v>53.800000000000004</v>
      </c>
      <c r="CU16" s="17">
        <f>CT16*VLOOKUP('Données projet'!$B$13,Paramètres!$A$1:$I$89,3,0)*VLOOKUP('Données projet'!$B$13,Paramètres!$A$1:$I$89,5,0)</f>
        <v>42.803280000000008</v>
      </c>
      <c r="CV16" s="13">
        <f t="shared" si="41"/>
        <v>12.738702240368003</v>
      </c>
      <c r="CW16" s="20">
        <f t="shared" si="13"/>
        <v>96.735619068640958</v>
      </c>
      <c r="CX16" s="59">
        <f t="shared" si="14"/>
        <v>327.67287810095252</v>
      </c>
      <c r="CY16" s="59">
        <f ca="1">AVERAGE(OFFSET($CX$3,0,0,'Données projet'!$E$13+1,1))-AVERAGE(OFFSET($H$3,0,0,'Données projet'!$E$13+1,1))</f>
        <v>284.31574332240928</v>
      </c>
      <c r="CZ16" s="59">
        <f t="shared" si="42"/>
        <v>403.96994631683913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58.649555493660735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36.799999999999997</v>
      </c>
      <c r="DO16" s="12">
        <f>IF('Données projet'!$A$166&gt;35,DO15+DN16-DW15,IF(A16&lt;'Données projet'!$A$166,$DL$205^A16,IF(A16='Données projet'!$A$166,'Données projet'!$B$166,DO15+DN16-DW15)))</f>
        <v>110.4</v>
      </c>
      <c r="DP16" s="17">
        <f>DO16*VLOOKUP('Données projet'!$B$14,Paramètres!$A$1:$I$89,3,0)*VLOOKUP('Données projet'!$B$14,Paramètres!$A$1:$I$89,5,0)</f>
        <v>80.945279999999997</v>
      </c>
      <c r="DQ16" s="13">
        <f t="shared" si="43"/>
        <v>22.368151754215884</v>
      </c>
      <c r="DR16" s="20">
        <f t="shared" si="16"/>
        <v>179.93756030525932</v>
      </c>
      <c r="DS16" s="59">
        <f t="shared" si="17"/>
        <v>410.8748193375709</v>
      </c>
      <c r="DT16" s="59">
        <f ca="1">AVERAGE(OFFSET($DS$3,0,0,'Données projet'!$E$14+1,1))-AVERAGE(OFFSET($H$3,0,0,'Données projet'!$E$14+1,1))</f>
        <v>190.9519472160006</v>
      </c>
      <c r="DU16" s="59">
        <f t="shared" si="44"/>
        <v>170.61553500287511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58.649555493660735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2.8</v>
      </c>
      <c r="EJ16" s="12">
        <f>IF('Données projet'!$A$192&gt;35,EJ15+EI16-ER15,IF(A16&lt;'Données projet'!$A$192,$EG$205^A16,IF(A16='Données projet'!$A$192,'Données projet'!$B$192,EJ15+EI16-ER15)))</f>
        <v>13.687439657435972</v>
      </c>
      <c r="EK16" s="17">
        <f>EJ16*VLOOKUP('Données projet'!$B$15,Paramètres!$A$1:$I$89,3,0)*VLOOKUP('Données projet'!$B$15,Paramètres!$A$1:$I$89,5,0)</f>
        <v>11.743823226080066</v>
      </c>
      <c r="EL16" s="13">
        <f t="shared" si="45"/>
        <v>4.0628963576462231</v>
      </c>
      <c r="EM16" s="20">
        <f t="shared" si="19"/>
        <v>27.530036608323286</v>
      </c>
      <c r="EN16" s="59">
        <f t="shared" si="20"/>
        <v>258.46729564063486</v>
      </c>
      <c r="EO16" s="59">
        <f ca="1">AVERAGE(OFFSET($EN$3,0,0,'Données projet'!$E$15+1,1))-AVERAGE(OFFSET($H$3,0,0,'Données projet'!$E$15+1,1))</f>
        <v>331.94255128154623</v>
      </c>
      <c r="EP16" s="59">
        <f t="shared" si="46"/>
        <v>258.40809812013964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58.649555493660735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2.8</v>
      </c>
      <c r="FE16" s="12">
        <f>IF('Données projet'!$A$218&gt;35,FE15+FD16-FM15,IF(A16&lt;'Données projet'!$A$218,$FB$205^A16,IF(A16='Données projet'!$A$218,'Données projet'!$B$218,FE15+FD16-FM15)))</f>
        <v>13.687439657435972</v>
      </c>
      <c r="FF16" s="17">
        <f>FE16*VLOOKUP('Données projet'!$B$16,Paramètres!$A$1:$I$89,3,0)*VLOOKUP('Données projet'!$B$16,Paramètres!$A$1:$I$89,5,0)</f>
        <v>13.024967578016071</v>
      </c>
      <c r="FG16" s="13">
        <f t="shared" si="47"/>
        <v>4.452138986284143</v>
      </c>
      <c r="FH16" s="20">
        <f t="shared" si="22"/>
        <v>30.439293932822874</v>
      </c>
      <c r="FI16" s="59">
        <f t="shared" si="23"/>
        <v>261.37655296513447</v>
      </c>
      <c r="FJ16" s="59">
        <f ca="1">AVERAGE(OFFSET($FI$3,0,0,'Données projet'!$E$16+1,1))-AVERAGE(OFFSET($H$3,0,0,'Données projet'!$E$16+1,1))</f>
        <v>290.72311302449236</v>
      </c>
      <c r="FK16" s="59">
        <f t="shared" si="48"/>
        <v>352.32552988394434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58.649555493660735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1.4</v>
      </c>
      <c r="FZ16" s="12">
        <f>IF('Données projet'!$A$244&gt;35,FZ15+FY16-GH15,IF(A16&lt;'Données projet'!$A$244,$FW$205^A16,IF(A16='Données projet'!$A$244,'Données projet'!$B$244,FZ15+FY16-GH15)))</f>
        <v>13.99340451717085</v>
      </c>
      <c r="GA16" s="17">
        <f>FZ16*VLOOKUP('Données projet'!$B$17,Paramètres!$A$1:$I$89,3,0)*VLOOKUP('Données projet'!$B$17,Paramètres!$A$1:$I$89,5,0)</f>
        <v>9.1684786396503419</v>
      </c>
      <c r="GB16" s="13">
        <f t="shared" si="49"/>
        <v>3.2646598585600959</v>
      </c>
      <c r="GC16" s="20">
        <f t="shared" si="25"/>
        <v>21.654382884383178</v>
      </c>
      <c r="GD16" s="59">
        <f t="shared" si="26"/>
        <v>252.59164191669475</v>
      </c>
      <c r="GE16" s="59">
        <f ca="1">AVERAGE(OFFSET($GD$3,0,0,'Données projet'!$E$17+1,1))-AVERAGE(OFFSET($H$3,0,0,'Données projet'!$E$17+1,1))</f>
        <v>123.03972959251965</v>
      </c>
      <c r="GF16" s="59">
        <f t="shared" si="50"/>
        <v>178.27657680839445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58.649555493660735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13.04</v>
      </c>
      <c r="GU16" s="12">
        <f>IF('Données projet'!$A$270&gt;35,GU15+GT16-HC15,IF(A16&lt;'Données projet'!$A$270,$GR$205^A16,IF(A16='Données projet'!$A$270,'Données projet'!$B$270,GU15+GT16-HC15)))</f>
        <v>169.51999999999992</v>
      </c>
      <c r="GV16" s="17">
        <f>GU16*VLOOKUP('Données projet'!$B$18,Paramètres!$A$1:$I$89,3,0)*VLOOKUP('Données projet'!$B$18,Paramètres!$A$1:$I$89,5,0)</f>
        <v>113.71401599999994</v>
      </c>
      <c r="GW16" s="13">
        <f t="shared" si="51"/>
        <v>30.204337416455559</v>
      </c>
      <c r="GX16" s="20">
        <f t="shared" si="28"/>
        <v>250.65779886699329</v>
      </c>
      <c r="GY16" s="59">
        <f t="shared" si="29"/>
        <v>481.59505789930483</v>
      </c>
      <c r="GZ16" s="59">
        <f ca="1">AVERAGE(OFFSET($GY$3,0,0,'Données projet'!$E$18+1,1))-AVERAGE(OFFSET($H$3,0,0,'Données projet'!$E$18+1,1))</f>
        <v>542.25674729323623</v>
      </c>
      <c r="HA16" s="59">
        <f t="shared" si="52"/>
        <v>614.73906555680685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2.8499999999999996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10.449999999999998</v>
      </c>
      <c r="H17" s="67">
        <f t="shared" si="1"/>
        <v>214.86666666666667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58.846460330053375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10.4</v>
      </c>
      <c r="N17" s="13">
        <f>IF('Données projet'!$A$36&gt;35,N16+M17-V16,IF(A17&lt;'Données projet'!$A$36,$K$205^A17,IF(A17='Données projet'!$A$36,'Données projet'!$B$36,N16+M17-V16)))</f>
        <v>41.941536303638649</v>
      </c>
      <c r="O17" s="13">
        <f>N17*VLOOKUP('Données projet'!$B$9,Paramètres!$A$1:$I$89,3,0)*VLOOKUP('Données projet'!$B$9,Paramètres!$A$1:$I$89,5,0)</f>
        <v>36.640126114858731</v>
      </c>
      <c r="P17" s="13">
        <f t="shared" si="33"/>
        <v>11.103616014257756</v>
      </c>
      <c r="Q17" s="20">
        <f t="shared" si="2"/>
        <v>83.153684208211203</v>
      </c>
      <c r="R17" s="59">
        <f t="shared" si="0"/>
        <v>316.03514986285137</v>
      </c>
      <c r="S17" s="59">
        <f ca="1">AVERAGE(OFFSET($R$3,0,0,'Données projet'!$E$9+1,1))-AVERAGE(OFFSET($H$3,0,0,'Données projet'!$E$9+1,1))</f>
        <v>686.80970545599644</v>
      </c>
      <c r="T17" s="59">
        <f t="shared" si="34"/>
        <v>636.16485232937737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58.846460330053375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3.6388888888888888</v>
      </c>
      <c r="AI17" s="13">
        <f>IF('Données projet'!$A$62&gt;35,AI16+AH17-AQ16,IF(A17&lt;'Données projet'!$A$62,$AF$205^A17,IF(A17='Données projet'!$A$62,'Données projet'!$B$62,AI16+AH17-AQ16)))</f>
        <v>50.944444444444429</v>
      </c>
      <c r="AJ17" s="13">
        <f>AI17*VLOOKUP('Données projet'!$B$10,Paramètres!$A$1:$I$89,3,0)*VLOOKUP('Données projet'!$B$10,Paramètres!$A$1:$I$89,5,0)</f>
        <v>46.094533333333317</v>
      </c>
      <c r="AK17" s="13">
        <f t="shared" si="35"/>
        <v>13.600431724070521</v>
      </c>
      <c r="AL17" s="20">
        <f t="shared" si="4"/>
        <v>103.96873080831166</v>
      </c>
      <c r="AM17" s="59">
        <f t="shared" si="5"/>
        <v>336.85019646295183</v>
      </c>
      <c r="AN17" s="59">
        <f ca="1">AVERAGE(OFFSET($AM$3,0,0,'Données projet'!$E$10+1,1))-AVERAGE(OFFSET($H$3,0,0,'Données projet'!$E$10+1,1))</f>
        <v>323.67375363913726</v>
      </c>
      <c r="AO17" s="59">
        <f t="shared" si="36"/>
        <v>266.03902815735029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58.846460330053375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12.2</v>
      </c>
      <c r="BD17" s="12">
        <f>IF('Données projet'!$A$88&gt;35,BD16+BC17-BL16,IF(A17&lt;'Données projet'!$A$88,$BA$205^A17,IF(A17='Données projet'!$A$88,'Données projet'!$B$88,BD16+BC17-BL16)))</f>
        <v>129.30669664724024</v>
      </c>
      <c r="BE17" s="13">
        <f>BD17*VLOOKUP('Données projet'!$B$11,Paramètres!$A$1:$I$89,3,0)*VLOOKUP('Données projet'!$B$11,Paramètres!$A$1:$I$89,5,0)</f>
        <v>72.282443425807301</v>
      </c>
      <c r="BF17" s="13">
        <f t="shared" si="37"/>
        <v>20.23920591724384</v>
      </c>
      <c r="BG17" s="20">
        <f t="shared" si="7"/>
        <v>161.14187260581406</v>
      </c>
      <c r="BH17" s="59">
        <f t="shared" si="8"/>
        <v>394.02333826045424</v>
      </c>
      <c r="BI17" s="59">
        <f ca="1">AVERAGE(OFFSET($BH$3,0,0,'Données projet'!$E$11+1,1))-AVERAGE(OFFSET($H$3,0,0,'Données projet'!$E$11+1,1))</f>
        <v>371.46495716091965</v>
      </c>
      <c r="BJ17" s="59">
        <f t="shared" si="38"/>
        <v>579.95059529269417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58.846460330053375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17.2</v>
      </c>
      <c r="BY17" s="12">
        <f>IF('Données projet'!$A$114&gt;35,BY16+BX17-CG16,IF(A17&lt;'Données projet'!$A$114,$BV$205^A17,IF(A17='Données projet'!$A$114,'Données projet'!$B$114,BY16+BX17-CG16)))</f>
        <v>68.800000000000011</v>
      </c>
      <c r="BZ17" s="13">
        <f>BY17*VLOOKUP('Données projet'!$B$12,Paramètres!$A$1:$I$89,3,0)*VLOOKUP('Données projet'!$B$12,Paramètres!$A$1:$I$89,5,0)</f>
        <v>42.931200000000004</v>
      </c>
      <c r="CA17" s="13">
        <f t="shared" si="39"/>
        <v>12.772335335285693</v>
      </c>
      <c r="CB17" s="20">
        <f t="shared" si="10"/>
        <v>97.016990708955916</v>
      </c>
      <c r="CC17" s="59">
        <f t="shared" si="11"/>
        <v>329.8984563635961</v>
      </c>
      <c r="CD17" s="59">
        <f ca="1">AVERAGE(OFFSET($CC$3,0,0,'Données projet'!$E$12+1,1))-AVERAGE(OFFSET($H$3,0,0,'Données projet'!$E$12+1,1))</f>
        <v>180.18752244216969</v>
      </c>
      <c r="CE17" s="59">
        <f t="shared" si="40"/>
        <v>350.12096474554676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5.9775030660133686</v>
      </c>
      <c r="CM17" s="21">
        <f>EXP(-LN(2)/2)*CM16+(1-EXP(-LN(2)/2))/(LN(2)/2)*CG17*CJ17*VLOOKUP('Données projet'!$B$12,Paramètres!$A$1:$I$89,3,0)*0.475*44/12</f>
        <v>2.384481218590738</v>
      </c>
      <c r="CN17" s="22">
        <f t="shared" si="12"/>
        <v>8.361984284604107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58.846460330053375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15.6</v>
      </c>
      <c r="CT17" s="12">
        <f>IF('Données projet'!$A$140&gt;35,CT16+CS17-DB16,IF(A17&lt;'Données projet'!$A$140,$CQ$205^A17,IF(A17='Données projet'!$A$140,'Données projet'!$B$140,CT16+CS17-DB16)))</f>
        <v>69.400000000000006</v>
      </c>
      <c r="CU17" s="17">
        <f>CT17*VLOOKUP('Données projet'!$B$13,Paramètres!$A$1:$I$89,3,0)*VLOOKUP('Données projet'!$B$13,Paramètres!$A$1:$I$89,5,0)</f>
        <v>55.21464000000001</v>
      </c>
      <c r="CV17" s="13">
        <f t="shared" si="41"/>
        <v>15.952589713549424</v>
      </c>
      <c r="CW17" s="20">
        <f t="shared" si="13"/>
        <v>123.94959175109858</v>
      </c>
      <c r="CX17" s="59">
        <f t="shared" si="14"/>
        <v>356.83105740573876</v>
      </c>
      <c r="CY17" s="59">
        <f ca="1">AVERAGE(OFFSET($CX$3,0,0,'Données projet'!$E$13+1,1))-AVERAGE(OFFSET($H$3,0,0,'Données projet'!$E$13+1,1))</f>
        <v>284.31574332240928</v>
      </c>
      <c r="CZ17" s="59">
        <f t="shared" si="42"/>
        <v>403.96994631683913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58.846460330053375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36.799999999999997</v>
      </c>
      <c r="DO17" s="12">
        <f>IF('Données projet'!$A$166&gt;35,DO16+DN17-DW16,IF(A17&lt;'Données projet'!$A$166,$DL$205^A17,IF(A17='Données projet'!$A$166,'Données projet'!$B$166,DO16+DN17-DW16)))</f>
        <v>147.19999999999999</v>
      </c>
      <c r="DP17" s="17">
        <f>DO17*VLOOKUP('Données projet'!$B$14,Paramètres!$A$1:$I$89,3,0)*VLOOKUP('Données projet'!$B$14,Paramètres!$A$1:$I$89,5,0)</f>
        <v>107.92704000000001</v>
      </c>
      <c r="DQ17" s="13">
        <f t="shared" si="43"/>
        <v>28.842039558004849</v>
      </c>
      <c r="DR17" s="20">
        <f t="shared" si="16"/>
        <v>238.2061468968584</v>
      </c>
      <c r="DS17" s="59">
        <f t="shared" si="17"/>
        <v>471.08761255149852</v>
      </c>
      <c r="DT17" s="59">
        <f ca="1">AVERAGE(OFFSET($DS$3,0,0,'Données projet'!$E$14+1,1))-AVERAGE(OFFSET($H$3,0,0,'Données projet'!$E$14+1,1))</f>
        <v>190.9519472160006</v>
      </c>
      <c r="DU17" s="59">
        <f t="shared" si="44"/>
        <v>170.61553500287511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58.846460330053375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2.8</v>
      </c>
      <c r="EJ17" s="12">
        <f>IF('Données projet'!$A$192&gt;35,EJ16+EI17-ER16,IF(A17&lt;'Données projet'!$A$192,$EG$205^A17,IF(A17='Données projet'!$A$192,'Données projet'!$B$192,EJ16+EI17-ER16)))</f>
        <v>16.739081308117708</v>
      </c>
      <c r="EK17" s="17">
        <f>EJ17*VLOOKUP('Données projet'!$B$15,Paramètres!$A$1:$I$89,3,0)*VLOOKUP('Données projet'!$B$15,Paramètres!$A$1:$I$89,5,0)</f>
        <v>14.362131762364994</v>
      </c>
      <c r="EL17" s="13">
        <f t="shared" si="45"/>
        <v>4.8536749785381312</v>
      </c>
      <c r="EM17" s="20">
        <f t="shared" si="19"/>
        <v>33.46753007373961</v>
      </c>
      <c r="EN17" s="59">
        <f t="shared" si="20"/>
        <v>266.34899572837975</v>
      </c>
      <c r="EO17" s="59">
        <f ca="1">AVERAGE(OFFSET($EN$3,0,0,'Données projet'!$E$15+1,1))-AVERAGE(OFFSET($H$3,0,0,'Données projet'!$E$15+1,1))</f>
        <v>331.94255128154623</v>
      </c>
      <c r="EP17" s="59">
        <f t="shared" si="46"/>
        <v>258.40809812013964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58.846460330053375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2.8</v>
      </c>
      <c r="FE17" s="12">
        <f>IF('Données projet'!$A$218&gt;35,FE16+FD17-FM16,IF(A17&lt;'Données projet'!$A$218,$FB$205^A17,IF(A17='Données projet'!$A$218,'Données projet'!$B$218,FE16+FD17-FM16)))</f>
        <v>16.739081308117708</v>
      </c>
      <c r="FF17" s="17">
        <f>FE17*VLOOKUP('Données projet'!$B$16,Paramètres!$A$1:$I$89,3,0)*VLOOKUP('Données projet'!$B$16,Paramètres!$A$1:$I$89,5,0)</f>
        <v>15.928909772804811</v>
      </c>
      <c r="FG17" s="13">
        <f t="shared" si="47"/>
        <v>5.3186775385086218</v>
      </c>
      <c r="FH17" s="20">
        <f t="shared" si="22"/>
        <v>37.006214567204225</v>
      </c>
      <c r="FI17" s="59">
        <f t="shared" si="23"/>
        <v>269.88768022184439</v>
      </c>
      <c r="FJ17" s="59">
        <f ca="1">AVERAGE(OFFSET($FI$3,0,0,'Données projet'!$E$16+1,1))-AVERAGE(OFFSET($H$3,0,0,'Données projet'!$E$16+1,1))</f>
        <v>290.72311302449236</v>
      </c>
      <c r="FK17" s="59">
        <f t="shared" si="48"/>
        <v>352.32552988394434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58.846460330053375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1.4</v>
      </c>
      <c r="FZ17" s="12">
        <f>IF('Données projet'!$A$244&gt;35,FZ16+FY17-GH16,IF(A17&lt;'Données projet'!$A$244,$FW$205^A17,IF(A17='Données projet'!$A$244,'Données projet'!$B$244,FZ16+FY17-GH16)))</f>
        <v>17.142388831799025</v>
      </c>
      <c r="GA17" s="17">
        <f>FZ17*VLOOKUP('Données projet'!$B$17,Paramètres!$A$1:$I$89,3,0)*VLOOKUP('Données projet'!$B$17,Paramètres!$A$1:$I$89,5,0)</f>
        <v>11.231693162594722</v>
      </c>
      <c r="GB17" s="13">
        <f t="shared" si="49"/>
        <v>3.9059391260990375</v>
      </c>
      <c r="GC17" s="20">
        <f t="shared" si="25"/>
        <v>26.364709569474964</v>
      </c>
      <c r="GD17" s="59">
        <f t="shared" si="26"/>
        <v>259.24617522411512</v>
      </c>
      <c r="GE17" s="59">
        <f ca="1">AVERAGE(OFFSET($GD$3,0,0,'Données projet'!$E$17+1,1))-AVERAGE(OFFSET($H$3,0,0,'Données projet'!$E$17+1,1))</f>
        <v>123.03972959251965</v>
      </c>
      <c r="GF17" s="59">
        <f t="shared" si="50"/>
        <v>178.27657680839445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58.846460330053375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13.04</v>
      </c>
      <c r="GU17" s="12">
        <f>IF('Données projet'!$A$270&gt;35,GU16+GT17-HC16,IF(A17&lt;'Données projet'!$A$270,$GR$205^A17,IF(A17='Données projet'!$A$270,'Données projet'!$B$270,GU16+GT17-HC16)))</f>
        <v>182.55999999999992</v>
      </c>
      <c r="GV17" s="17">
        <f>GU17*VLOOKUP('Données projet'!$B$18,Paramètres!$A$1:$I$89,3,0)*VLOOKUP('Données projet'!$B$18,Paramètres!$A$1:$I$89,5,0)</f>
        <v>122.46124799999996</v>
      </c>
      <c r="GW17" s="13">
        <f t="shared" si="51"/>
        <v>32.24836490461896</v>
      </c>
      <c r="GX17" s="20">
        <f t="shared" si="28"/>
        <v>269.45257580887795</v>
      </c>
      <c r="GY17" s="59">
        <f t="shared" si="29"/>
        <v>502.33404146351813</v>
      </c>
      <c r="GZ17" s="59">
        <f ca="1">AVERAGE(OFFSET($GY$3,0,0,'Données projet'!$E$18+1,1))-AVERAGE(OFFSET($H$3,0,0,'Données projet'!$E$18+1,1))</f>
        <v>542.25674729323623</v>
      </c>
      <c r="HA17" s="59">
        <f t="shared" si="52"/>
        <v>614.73906555680685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2.8499999999999996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10.449999999999998</v>
      </c>
      <c r="H18" s="67">
        <f t="shared" si="1"/>
        <v>214.86666666666667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59.039949307747868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10.4</v>
      </c>
      <c r="N18" s="13">
        <f>IF('Données projet'!$A$36&gt;35,N17+M18-V17,IF(A18&lt;'Données projet'!$A$36,$K$205^A18,IF(A18='Données projet'!$A$36,'Données projet'!$B$36,N17+M18-V17)))</f>
        <v>54.770600336184323</v>
      </c>
      <c r="O18" s="13">
        <f>N18*VLOOKUP('Données projet'!$B$9,Paramètres!$A$1:$I$89,3,0)*VLOOKUP('Données projet'!$B$9,Paramètres!$A$1:$I$89,5,0)</f>
        <v>47.847596453690635</v>
      </c>
      <c r="P18" s="13">
        <f t="shared" si="33"/>
        <v>14.056476559812362</v>
      </c>
      <c r="Q18" s="20">
        <f t="shared" si="2"/>
        <v>107.81626049851771</v>
      </c>
      <c r="R18" s="59">
        <f t="shared" si="0"/>
        <v>342.62940796025987</v>
      </c>
      <c r="S18" s="59">
        <f ca="1">AVERAGE(OFFSET($R$3,0,0,'Données projet'!$E$9+1,1))-AVERAGE(OFFSET($H$3,0,0,'Données projet'!$E$9+1,1))</f>
        <v>686.80970545599644</v>
      </c>
      <c r="T18" s="59">
        <f t="shared" si="34"/>
        <v>636.16485232937737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59.039949307747868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3.6388888888888888</v>
      </c>
      <c r="AI18" s="13">
        <f>IF('Données projet'!$A$62&gt;35,AI17+AH18-AQ17,IF(A18&lt;'Données projet'!$A$62,$AF$205^A18,IF(A18='Données projet'!$A$62,'Données projet'!$B$62,AI17+AH18-AQ17)))</f>
        <v>54.583333333333314</v>
      </c>
      <c r="AJ18" s="13">
        <f>AI18*VLOOKUP('Données projet'!$B$10,Paramètres!$A$1:$I$89,3,0)*VLOOKUP('Données projet'!$B$10,Paramètres!$A$1:$I$89,5,0)</f>
        <v>49.386999999999979</v>
      </c>
      <c r="AK18" s="13">
        <f t="shared" si="35"/>
        <v>14.455336262375427</v>
      </c>
      <c r="AL18" s="20">
        <f t="shared" si="4"/>
        <v>111.19206899030382</v>
      </c>
      <c r="AM18" s="59">
        <f t="shared" si="5"/>
        <v>346.00521645204594</v>
      </c>
      <c r="AN18" s="59">
        <f ca="1">AVERAGE(OFFSET($AM$3,0,0,'Données projet'!$E$10+1,1))-AVERAGE(OFFSET($H$3,0,0,'Données projet'!$E$10+1,1))</f>
        <v>323.67375363913726</v>
      </c>
      <c r="AO18" s="59">
        <f t="shared" si="36"/>
        <v>266.03902815735029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59.039949307747868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183</v>
      </c>
      <c r="BB18" s="12">
        <f>VLOOKUP(A18,'Données projet'!$A$87:$I$107,9,0)</f>
        <v>12.2</v>
      </c>
      <c r="BC18" s="12">
        <f t="array" ref="BC18">INDEX(BB:BB,MIN(IF(ISNUMBER(BB18:BB214),ROW(BB18:BB214),"")))</f>
        <v>12.2</v>
      </c>
      <c r="BD18" s="12">
        <f>IF('Données projet'!$A$88&gt;35,BD17+BC18-BL17,IF(A18&lt;'Données projet'!$A$88,$BA$205^A18,IF(A18='Données projet'!$A$88,'Données projet'!$B$88,BD17+BC18-BL17)))</f>
        <v>183</v>
      </c>
      <c r="BE18" s="13">
        <f>BD18*VLOOKUP('Données projet'!$B$11,Paramètres!$A$1:$I$89,3,0)*VLOOKUP('Données projet'!$B$11,Paramètres!$A$1:$I$89,5,0)</f>
        <v>102.297</v>
      </c>
      <c r="BF18" s="13">
        <f t="shared" si="37"/>
        <v>27.508500737201572</v>
      </c>
      <c r="BG18" s="20">
        <f t="shared" si="7"/>
        <v>226.07791378395936</v>
      </c>
      <c r="BH18" s="59">
        <f t="shared" si="8"/>
        <v>460.89106124570151</v>
      </c>
      <c r="BI18" s="59">
        <f ca="1">AVERAGE(OFFSET($BH$3,0,0,'Données projet'!$E$11+1,1))-AVERAGE(OFFSET($H$3,0,0,'Données projet'!$E$11+1,1))</f>
        <v>371.46495716091965</v>
      </c>
      <c r="BJ18" s="59">
        <f t="shared" si="38"/>
        <v>579.95059529269417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28</v>
      </c>
      <c r="BM18" s="16">
        <f>IF(ISNA(VLOOKUP(A18,'Données projet'!$A$87:$I$107,5,0)),0%,VLOOKUP(A18,'Données projet'!$A$87:$I$107,5,0)*VLOOKUP('Données projet'!$B$11,Paramètres!$A$1:$I$89,7,0))</f>
        <v>0.16500000000000001</v>
      </c>
      <c r="BN18" s="16">
        <f>IF(ISNA(VLOOKUP(A18,'Données projet'!$A$87:$I$107,6,0)),0%,VLOOKUP(A18,'Données projet'!$A$87:$I$107,6,0)*VLOOKUP('Données projet'!$B$11,Paramètres!$A$1:$I$89,7,0))</f>
        <v>0.16500000000000001</v>
      </c>
      <c r="BO18" s="16">
        <f>IF(ISNA(VLOOKUP(A18,'Données projet'!$A$87:$I$107,7,0)),0%,VLOOKUP(A18,'Données projet'!$A$87:$I$107,7,0))</f>
        <v>0.4</v>
      </c>
      <c r="BP18" s="21">
        <f>EXP(-LN(2)/35)*BP17+(1-EXP(-LN(2)/35))/(LN(2)/35)*BL18*BM18*VLOOKUP('Données projet'!$B$11,Paramètres!$A$1:$I$89,3,0)*0.475*44/12</f>
        <v>3.4259588313290474</v>
      </c>
      <c r="BQ18" s="21">
        <f>EXP(-LN(2)/25)*BQ17+(1-EXP(-LN(2)/25))/(LN(2)/25)*Calculateur!BL18*Calculateur!BN18*VLOOKUP('Données projet'!$B$11,Paramètres!$A$1:$I$89,3,0)*0.475*44/12</f>
        <v>3.4124695260174494</v>
      </c>
      <c r="BR18" s="21">
        <f>EXP(-LN(2)/2)*BR17+(1-EXP(-LN(2)/2))/(LN(2)/2)*BL18*BO18*VLOOKUP('Données projet'!$B$11,Paramètres!$A$1:$I$89,3,0)*0.475*44/12</f>
        <v>7.0886799683536976</v>
      </c>
      <c r="BS18" s="22">
        <f t="shared" si="9"/>
        <v>13.927108325700194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59.039949307747868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86</v>
      </c>
      <c r="BW18" s="12">
        <f>VLOOKUP(A18,'Données projet'!$A$113:$I$133,9,0)</f>
        <v>17.2</v>
      </c>
      <c r="BX18" s="12">
        <f t="array" ref="BX18">INDEX(BW:BW,MIN(IF(ISNUMBER(BW18:BW214),ROW(BW18:BW214),"")))</f>
        <v>17.2</v>
      </c>
      <c r="BY18" s="12">
        <f>IF('Données projet'!$A$114&gt;35,BY17+BX18-CG17,IF(A18&lt;'Données projet'!$A$114,$BV$205^A18,IF(A18='Données projet'!$A$114,'Données projet'!$B$114,BY17+BX18-CG17)))</f>
        <v>86.000000000000014</v>
      </c>
      <c r="BZ18" s="13">
        <f>BY18*VLOOKUP('Données projet'!$B$12,Paramètres!$A$1:$I$89,3,0)*VLOOKUP('Données projet'!$B$12,Paramètres!$A$1:$I$89,5,0)</f>
        <v>53.664000000000016</v>
      </c>
      <c r="CA18" s="13">
        <f t="shared" si="39"/>
        <v>15.55607397920279</v>
      </c>
      <c r="CB18" s="20">
        <f t="shared" si="10"/>
        <v>120.55829551377822</v>
      </c>
      <c r="CC18" s="59">
        <f t="shared" si="11"/>
        <v>355.37144297552038</v>
      </c>
      <c r="CD18" s="59">
        <f ca="1">AVERAGE(OFFSET($CC$3,0,0,'Données projet'!$E$12+1,1))-AVERAGE(OFFSET($H$3,0,0,'Données projet'!$E$12+1,1))</f>
        <v>180.18752244216969</v>
      </c>
      <c r="CE18" s="59">
        <f t="shared" si="40"/>
        <v>350.12096474554676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68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0.372</v>
      </c>
      <c r="CJ18" s="16">
        <f>IF(ISNA(VLOOKUP(A18,'Données projet'!$A$113:$I$133,7,0)),0%,VLOOKUP(A18,'Données projet'!$A$113:$I$133,7,0))</f>
        <v>0.375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26.671028692670667</v>
      </c>
      <c r="CM18" s="21">
        <f>EXP(-LN(2)/2)*CM17+(1-EXP(-LN(2)/2))/(LN(2)/2)*CG18*CJ18*VLOOKUP('Données projet'!$B$12,Paramètres!$A$1:$I$89,3,0)*0.475*44/12</f>
        <v>19.702163157518598</v>
      </c>
      <c r="CN18" s="22">
        <f t="shared" si="12"/>
        <v>46.373191850189265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59.039949307747868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85</v>
      </c>
      <c r="CR18" s="12">
        <f>VLOOKUP(A18,'Données projet'!$A$139:$I$159,9,0)</f>
        <v>15.6</v>
      </c>
      <c r="CS18" s="12">
        <f t="array" ref="CS18">INDEX(CR:CR,MIN(IF(ISNUMBER(CR18:CR214),ROW(CR18:CR214),"")))</f>
        <v>15.6</v>
      </c>
      <c r="CT18" s="12">
        <f>IF('Données projet'!$A$140&gt;35,CT17+CS18-DB17,IF(A18&lt;'Données projet'!$A$140,$CQ$205^A18,IF(A18='Données projet'!$A$140,'Données projet'!$B$140,CT17+CS18-DB17)))</f>
        <v>85</v>
      </c>
      <c r="CU18" s="17">
        <f>CT18*VLOOKUP('Données projet'!$B$13,Paramètres!$A$1:$I$89,3,0)*VLOOKUP('Données projet'!$B$13,Paramètres!$A$1:$I$89,5,0)</f>
        <v>67.626000000000005</v>
      </c>
      <c r="CV18" s="13">
        <f t="shared" si="41"/>
        <v>19.082731089464875</v>
      </c>
      <c r="CW18" s="20">
        <f t="shared" si="13"/>
        <v>151.01770664748466</v>
      </c>
      <c r="CX18" s="59">
        <f t="shared" si="14"/>
        <v>385.83085410922683</v>
      </c>
      <c r="CY18" s="59">
        <f ca="1">AVERAGE(OFFSET($CX$3,0,0,'Données projet'!$E$13+1,1))-AVERAGE(OFFSET($H$3,0,0,'Données projet'!$E$13+1,1))</f>
        <v>284.31574332240928</v>
      </c>
      <c r="CZ18" s="59">
        <f t="shared" si="42"/>
        <v>403.96994631683913</v>
      </c>
      <c r="DA18" s="15">
        <f>IF(ISNA(VLOOKUP(A18,'Données projet'!$A$139:$I$159,3,0)),0,VLOOKUP(A18,'Données projet'!$A$139:$I$159,3,0))</f>
        <v>2</v>
      </c>
      <c r="DB18" s="15">
        <f>IF(ISNA(VLOOKUP(A18,'Données projet'!$A$139:$I$159,4,0)),0,VLOOKUP(A18,'Données projet'!$A$139:$I$159,4,0))</f>
        <v>43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59.039949307747868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184</v>
      </c>
      <c r="DM18" s="12">
        <f>VLOOKUP(A18,'Données projet'!$A$165:$I$185,9,0)</f>
        <v>36.799999999999997</v>
      </c>
      <c r="DN18" s="12">
        <f t="array" ref="DN18">INDEX(DM:DM,MIN(IF(ISNUMBER(DM18:DM214),ROW(DM18:DM214),"")))</f>
        <v>36.799999999999997</v>
      </c>
      <c r="DO18" s="12">
        <f>IF('Données projet'!$A$166&gt;35,DO17+DN18-DW17,IF(A18&lt;'Données projet'!$A$166,$DL$205^A18,IF(A18='Données projet'!$A$166,'Données projet'!$B$166,DO17+DN18-DW17)))</f>
        <v>184</v>
      </c>
      <c r="DP18" s="17">
        <f>DO18*VLOOKUP('Données projet'!$B$14,Paramètres!$A$1:$I$89,3,0)*VLOOKUP('Données projet'!$B$14,Paramètres!$A$1:$I$89,5,0)</f>
        <v>134.90879999999999</v>
      </c>
      <c r="DQ18" s="13">
        <f t="shared" si="43"/>
        <v>35.128180500859067</v>
      </c>
      <c r="DR18" s="20">
        <f t="shared" si="16"/>
        <v>296.14774103899617</v>
      </c>
      <c r="DS18" s="59">
        <f t="shared" si="17"/>
        <v>530.96088850073829</v>
      </c>
      <c r="DT18" s="59">
        <f ca="1">AVERAGE(OFFSET($DS$3,0,0,'Données projet'!$E$14+1,1))-AVERAGE(OFFSET($H$3,0,0,'Données projet'!$E$14+1,1))</f>
        <v>190.9519472160006</v>
      </c>
      <c r="DU18" s="59">
        <f t="shared" si="44"/>
        <v>170.61553500287511</v>
      </c>
      <c r="DV18" s="15">
        <f>IF(ISNA(VLOOKUP(A18,'Données projet'!$A$165:$I$185,3,0)),0,VLOOKUP(A18,'Données projet'!$A$165:$I$185,3,0))</f>
        <v>2</v>
      </c>
      <c r="DW18" s="15">
        <f>IF(ISNA(VLOOKUP(A18,'Données projet'!$A$165:$I$185,4,0)),0,VLOOKUP(A18,'Données projet'!$A$165:$I$185,4,0))</f>
        <v>184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59.039949307747868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2.8</v>
      </c>
      <c r="EJ18" s="12">
        <f>IF('Données projet'!$A$192&gt;35,EJ17+EI18-ER17,IF(A18&lt;'Données projet'!$A$192,$EG$205^A18,IF(A18='Données projet'!$A$192,'Données projet'!$B$192,EJ17+EI18-ER17)))</f>
        <v>20.471092479852732</v>
      </c>
      <c r="EK18" s="17">
        <f>EJ18*VLOOKUP('Données projet'!$B$15,Paramètres!$A$1:$I$89,3,0)*VLOOKUP('Données projet'!$B$15,Paramètres!$A$1:$I$89,5,0)</f>
        <v>17.564197347713648</v>
      </c>
      <c r="EL18" s="13">
        <f t="shared" si="45"/>
        <v>5.7983661712048189</v>
      </c>
      <c r="EM18" s="20">
        <f t="shared" si="19"/>
        <v>40.689798128782996</v>
      </c>
      <c r="EN18" s="59">
        <f t="shared" si="20"/>
        <v>275.50294559052514</v>
      </c>
      <c r="EO18" s="59">
        <f ca="1">AVERAGE(OFFSET($EN$3,0,0,'Données projet'!$E$15+1,1))-AVERAGE(OFFSET($H$3,0,0,'Données projet'!$E$15+1,1))</f>
        <v>331.94255128154623</v>
      </c>
      <c r="EP18" s="59">
        <f t="shared" si="46"/>
        <v>258.40809812013964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59.039949307747868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2.8</v>
      </c>
      <c r="FE18" s="12">
        <f>IF('Données projet'!$A$218&gt;35,FE17+FD18-FM17,IF(A18&lt;'Données projet'!$A$218,$FB$205^A18,IF(A18='Données projet'!$A$218,'Données projet'!$B$218,FE17+FD18-FM17)))</f>
        <v>20.471092479852732</v>
      </c>
      <c r="FF18" s="17">
        <f>FE18*VLOOKUP('Données projet'!$B$16,Paramètres!$A$1:$I$89,3,0)*VLOOKUP('Données projet'!$B$16,Paramètres!$A$1:$I$89,5,0)</f>
        <v>19.480291603827862</v>
      </c>
      <c r="FG18" s="13">
        <f t="shared" si="47"/>
        <v>6.353874136855338</v>
      </c>
      <c r="FH18" s="20">
        <f t="shared" si="22"/>
        <v>44.994505331689908</v>
      </c>
      <c r="FI18" s="59">
        <f t="shared" si="23"/>
        <v>279.80765279343206</v>
      </c>
      <c r="FJ18" s="59">
        <f ca="1">AVERAGE(OFFSET($FI$3,0,0,'Données projet'!$E$16+1,1))-AVERAGE(OFFSET($H$3,0,0,'Données projet'!$E$16+1,1))</f>
        <v>290.72311302449236</v>
      </c>
      <c r="FK18" s="59">
        <f t="shared" si="48"/>
        <v>352.32552988394434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59.039949307747868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>
        <f>VLOOKUP(A18,'Données projet'!$A$243:$I$263,2,0)</f>
        <v>21</v>
      </c>
      <c r="FX18" s="12">
        <f>VLOOKUP(A18,'Données projet'!$A$243:$I$263,9,0)</f>
        <v>1.4</v>
      </c>
      <c r="FY18" s="12">
        <f t="array" ref="FY18">INDEX(FX:FX,MIN(IF(ISNUMBER(FX18:FX214),ROW(FX18:FX214),"")))</f>
        <v>1.4</v>
      </c>
      <c r="FZ18" s="12">
        <f>IF('Données projet'!$A$244&gt;35,FZ17+FY18-GH17,IF(A18&lt;'Données projet'!$A$244,$FW$205^A18,IF(A18='Données projet'!$A$244,'Données projet'!$B$244,FZ17+FY18-GH17)))</f>
        <v>21</v>
      </c>
      <c r="GA18" s="17">
        <f>FZ18*VLOOKUP('Données projet'!$B$17,Paramètres!$A$1:$I$89,3,0)*VLOOKUP('Données projet'!$B$17,Paramètres!$A$1:$I$89,5,0)</f>
        <v>13.759200000000002</v>
      </c>
      <c r="GB18" s="13">
        <f t="shared" si="49"/>
        <v>4.6731852988569083</v>
      </c>
      <c r="GC18" s="20">
        <f t="shared" si="25"/>
        <v>32.103071062175779</v>
      </c>
      <c r="GD18" s="59">
        <f t="shared" si="26"/>
        <v>266.91621852391791</v>
      </c>
      <c r="GE18" s="59">
        <f ca="1">AVERAGE(OFFSET($GD$3,0,0,'Données projet'!$E$17+1,1))-AVERAGE(OFFSET($H$3,0,0,'Données projet'!$E$17+1,1))</f>
        <v>123.03972959251965</v>
      </c>
      <c r="GF18" s="59">
        <f t="shared" si="50"/>
        <v>178.27657680839445</v>
      </c>
      <c r="GG18" s="15">
        <f>IF(ISNA(VLOOKUP(A18,'Données projet'!$A$243:$I$263,3,0)),0,VLOOKUP(A18,'Données projet'!$A$243:$I$263,3,0))</f>
        <v>1</v>
      </c>
      <c r="GH18" s="15">
        <f>IF(ISNA(VLOOKUP(A18,'Données projet'!$A$243:$I$263,4,0)),0,VLOOKUP(A18,'Données projet'!$A$243:$I$263,4,0))</f>
        <v>19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0.215</v>
      </c>
      <c r="GK18" s="16">
        <f>IF(ISNA(VLOOKUP(A18,'Données projet'!$A$243:$I$263,7,0)),0%,VLOOKUP(A18,'Données projet'!$A$243:$I$263,7,0))</f>
        <v>0.5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2.9471327724696148</v>
      </c>
      <c r="GN18" s="21">
        <f>EXP(-LN(2)/2)*GN17+(1-EXP(-LN(2)/2))/(LN(2)/2)*GH18*GK18*VLOOKUP('Données projet'!$B$17,Paramètres!$A$1:$I$89,3,0)*0.475*44/12</f>
        <v>5.8728889272697797</v>
      </c>
      <c r="GO18" s="21">
        <f t="shared" si="27"/>
        <v>8.8200216997393941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59.039949307747868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13.04</v>
      </c>
      <c r="GU18" s="12">
        <f>IF('Données projet'!$A$270&gt;35,GU17+GT18-HC17,IF(A18&lt;'Données projet'!$A$270,$GR$205^A18,IF(A18='Données projet'!$A$270,'Données projet'!$B$270,GU17+GT18-HC17)))</f>
        <v>195.59999999999991</v>
      </c>
      <c r="GV18" s="17">
        <f>GU18*VLOOKUP('Données projet'!$B$18,Paramètres!$A$1:$I$89,3,0)*VLOOKUP('Données projet'!$B$18,Paramètres!$A$1:$I$89,5,0)</f>
        <v>131.20847999999995</v>
      </c>
      <c r="GW18" s="13">
        <f t="shared" si="51"/>
        <v>34.27545301984977</v>
      </c>
      <c r="GX18" s="20">
        <f t="shared" si="28"/>
        <v>288.21785000957158</v>
      </c>
      <c r="GY18" s="59">
        <f t="shared" si="29"/>
        <v>523.03099747131375</v>
      </c>
      <c r="GZ18" s="59">
        <f ca="1">AVERAGE(OFFSET($GY$3,0,0,'Données projet'!$E$18+1,1))-AVERAGE(OFFSET($H$3,0,0,'Données projet'!$E$18+1,1))</f>
        <v>542.25674729323623</v>
      </c>
      <c r="HA18" s="59">
        <f t="shared" si="52"/>
        <v>614.73906555680685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2.8499999999999996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10.449999999999998</v>
      </c>
      <c r="H19" s="67">
        <f t="shared" si="1"/>
        <v>214.86666666666667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59.230081684255907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10.4</v>
      </c>
      <c r="N19" s="13">
        <f>IF('Données projet'!$A$36&gt;35,N18+M19-V18,IF(A19&lt;'Données projet'!$A$36,$K$205^A19,IF(A19='Données projet'!$A$36,'Données projet'!$B$36,N18+M19-V18)))</f>
        <v>71.523814470424711</v>
      </c>
      <c r="O19" s="13">
        <f>N19*VLOOKUP('Données projet'!$B$9,Paramètres!$A$1:$I$89,3,0)*VLOOKUP('Données projet'!$B$9,Paramètres!$A$1:$I$89,5,0)</f>
        <v>62.48320432136304</v>
      </c>
      <c r="P19" s="13">
        <f t="shared" si="33"/>
        <v>17.794611505192815</v>
      </c>
      <c r="Q19" s="20">
        <f t="shared" si="2"/>
        <v>139.81719589791808</v>
      </c>
      <c r="R19" s="59">
        <f t="shared" si="0"/>
        <v>376.5497176290786</v>
      </c>
      <c r="S19" s="59">
        <f ca="1">AVERAGE(OFFSET($R$3,0,0,'Données projet'!$E$9+1,1))-AVERAGE(OFFSET($H$3,0,0,'Données projet'!$E$9+1,1))</f>
        <v>686.80970545599644</v>
      </c>
      <c r="T19" s="59">
        <f t="shared" si="34"/>
        <v>636.16485232937737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59.230081684255907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3.6388888888888888</v>
      </c>
      <c r="AI19" s="13">
        <f>IF('Données projet'!$A$62&gt;35,AI18+AH19-AQ18,IF(A19&lt;'Données projet'!$A$62,$AF$205^A19,IF(A19='Données projet'!$A$62,'Données projet'!$B$62,AI18+AH19-AQ18)))</f>
        <v>58.2222222222222</v>
      </c>
      <c r="AJ19" s="13">
        <f>AI19*VLOOKUP('Données projet'!$B$10,Paramètres!$A$1:$I$89,3,0)*VLOOKUP('Données projet'!$B$10,Paramètres!$A$1:$I$89,5,0)</f>
        <v>52.679466666666649</v>
      </c>
      <c r="AK19" s="13">
        <f t="shared" si="35"/>
        <v>15.303627245626654</v>
      </c>
      <c r="AL19" s="20">
        <f t="shared" si="4"/>
        <v>118.40388856391083</v>
      </c>
      <c r="AM19" s="59">
        <f t="shared" si="5"/>
        <v>355.13641029507136</v>
      </c>
      <c r="AN19" s="59">
        <f ca="1">AVERAGE(OFFSET($AM$3,0,0,'Données projet'!$E$10+1,1))-AVERAGE(OFFSET($H$3,0,0,'Données projet'!$E$10+1,1))</f>
        <v>323.67375363913726</v>
      </c>
      <c r="AO19" s="59">
        <f t="shared" si="36"/>
        <v>266.03902815735029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59.230081684255907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26</v>
      </c>
      <c r="BD19" s="12">
        <f>IF('Données projet'!$A$88&gt;35,BD18+BC19-BL18,IF(A19&lt;'Données projet'!$A$88,$BA$205^A19,IF(A19='Données projet'!$A$88,'Données projet'!$B$88,BD18+BC19-BL18)))</f>
        <v>181</v>
      </c>
      <c r="BE19" s="13">
        <f>BD19*VLOOKUP('Données projet'!$B$11,Paramètres!$A$1:$I$89,3,0)*VLOOKUP('Données projet'!$B$11,Paramètres!$A$1:$I$89,5,0)</f>
        <v>101.179</v>
      </c>
      <c r="BF19" s="13">
        <f t="shared" si="37"/>
        <v>27.242686146699036</v>
      </c>
      <c r="BG19" s="20">
        <f t="shared" si="7"/>
        <v>223.66777003883416</v>
      </c>
      <c r="BH19" s="59">
        <f t="shared" si="8"/>
        <v>460.40029176999474</v>
      </c>
      <c r="BI19" s="59">
        <f ca="1">AVERAGE(OFFSET($BH$3,0,0,'Données projet'!$E$11+1,1))-AVERAGE(OFFSET($H$3,0,0,'Données projet'!$E$11+1,1))</f>
        <v>371.46495716091965</v>
      </c>
      <c r="BJ19" s="59">
        <f t="shared" si="38"/>
        <v>579.95059529269417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3.3587778682752383</v>
      </c>
      <c r="BQ19" s="21">
        <f>EXP(-LN(2)/25)*BQ18+(1-EXP(-LN(2)/25))/(LN(2)/25)*Calculateur!BL19*Calculateur!BN19*VLOOKUP('Données projet'!$B$11,Paramètres!$A$1:$I$89,3,0)*0.475*44/12</f>
        <v>3.3191553673745293</v>
      </c>
      <c r="BR19" s="21">
        <f>EXP(-LN(2)/2)*BR18+(1-EXP(-LN(2)/2))/(LN(2)/2)*BL19*BO19*VLOOKUP('Données projet'!$B$11,Paramètres!$A$1:$I$89,3,0)*0.475*44/12</f>
        <v>5.0124536752841413</v>
      </c>
      <c r="BS19" s="22">
        <f t="shared" si="9"/>
        <v>11.69038691093391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59.230081684255907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24.4</v>
      </c>
      <c r="BY19" s="12">
        <f>IF('Données projet'!$A$114&gt;35,BY18+BX19-CG18,IF(A19&lt;'Données projet'!$A$114,$BV$205^A19,IF(A19='Données projet'!$A$114,'Données projet'!$B$114,BY18+BX19-CG18)))</f>
        <v>42.400000000000006</v>
      </c>
      <c r="BZ19" s="13">
        <f>BY19*VLOOKUP('Données projet'!$B$12,Paramètres!$A$1:$I$89,3,0)*VLOOKUP('Données projet'!$B$12,Paramètres!$A$1:$I$89,5,0)</f>
        <v>26.457600000000003</v>
      </c>
      <c r="CA19" s="13">
        <f t="shared" si="39"/>
        <v>8.3275574830183334</v>
      </c>
      <c r="CB19" s="20">
        <f t="shared" si="10"/>
        <v>60.584149282923612</v>
      </c>
      <c r="CC19" s="59">
        <f t="shared" si="11"/>
        <v>297.31667101408414</v>
      </c>
      <c r="CD19" s="59">
        <f ca="1">AVERAGE(OFFSET($CC$3,0,0,'Données projet'!$E$12+1,1))-AVERAGE(OFFSET($H$3,0,0,'Données projet'!$E$12+1,1))</f>
        <v>180.18752244216969</v>
      </c>
      <c r="CE19" s="59">
        <f t="shared" si="40"/>
        <v>350.12096474554676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25.941708010501145</v>
      </c>
      <c r="CM19" s="21">
        <f>EXP(-LN(2)/2)*CM18+(1-EXP(-LN(2)/2))/(LN(2)/2)*CG19*CJ19*VLOOKUP('Données projet'!$B$12,Paramètres!$A$1:$I$89,3,0)*0.475*44/12</f>
        <v>13.931533172725162</v>
      </c>
      <c r="CN19" s="22">
        <f t="shared" si="12"/>
        <v>39.873241183226305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59.230081684255907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16.2</v>
      </c>
      <c r="CT19" s="12">
        <f>IF('Données projet'!$A$140&gt;35,CT18+CS19-DB18,IF(A19&lt;'Données projet'!$A$140,$CQ$205^A19,IF(A19='Données projet'!$A$140,'Données projet'!$B$140,CT18+CS19-DB18)))</f>
        <v>58.2</v>
      </c>
      <c r="CU19" s="17">
        <f>CT19*VLOOKUP('Données projet'!$B$13,Paramètres!$A$1:$I$89,3,0)*VLOOKUP('Données projet'!$B$13,Paramètres!$A$1:$I$89,5,0)</f>
        <v>46.303920000000005</v>
      </c>
      <c r="CV19" s="13">
        <f t="shared" si="41"/>
        <v>13.655006676245769</v>
      </c>
      <c r="CW19" s="20">
        <f t="shared" si="13"/>
        <v>104.42846396112805</v>
      </c>
      <c r="CX19" s="59">
        <f t="shared" si="14"/>
        <v>341.16098569228859</v>
      </c>
      <c r="CY19" s="59">
        <f ca="1">AVERAGE(OFFSET($CX$3,0,0,'Données projet'!$E$13+1,1))-AVERAGE(OFFSET($H$3,0,0,'Données projet'!$E$13+1,1))</f>
        <v>284.31574332240928</v>
      </c>
      <c r="CZ19" s="59">
        <f t="shared" si="42"/>
        <v>403.96994631683913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59.230081684255907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75</v>
      </c>
      <c r="DO19" s="12">
        <f>IF('Données projet'!$A$166&gt;35,DO18+DN19-DW18,IF(A19&lt;'Données projet'!$A$166,$DL$205^A19,IF(A19='Données projet'!$A$166,'Données projet'!$B$166,DO18+DN19-DW18)))</f>
        <v>75</v>
      </c>
      <c r="DP19" s="17">
        <f>DO19*VLOOKUP('Données projet'!$B$14,Paramètres!$A$1:$I$89,3,0)*VLOOKUP('Données projet'!$B$14,Paramètres!$A$1:$I$89,5,0)</f>
        <v>54.99</v>
      </c>
      <c r="DQ19" s="13">
        <f t="shared" si="43"/>
        <v>15.895227919347008</v>
      </c>
      <c r="DR19" s="20">
        <f t="shared" si="16"/>
        <v>123.45843862619604</v>
      </c>
      <c r="DS19" s="59">
        <f t="shared" si="17"/>
        <v>360.19096035735657</v>
      </c>
      <c r="DT19" s="59">
        <f ca="1">AVERAGE(OFFSET($DS$3,0,0,'Données projet'!$E$14+1,1))-AVERAGE(OFFSET($H$3,0,0,'Données projet'!$E$14+1,1))</f>
        <v>190.9519472160006</v>
      </c>
      <c r="DU19" s="59">
        <f t="shared" si="44"/>
        <v>170.61553500287511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59.230081684255907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2.8</v>
      </c>
      <c r="EJ19" s="12">
        <f>IF('Données projet'!$A$192&gt;35,EJ18+EI19-ER18,IF(A19&lt;'Données projet'!$A$192,$EG$205^A19,IF(A19='Données projet'!$A$192,'Données projet'!$B$192,EJ18+EI19-ER18)))</f>
        <v>25.035162898423533</v>
      </c>
      <c r="EK19" s="17">
        <f>EJ19*VLOOKUP('Données projet'!$B$15,Paramètres!$A$1:$I$89,3,0)*VLOOKUP('Données projet'!$B$15,Paramètres!$A$1:$I$89,5,0)</f>
        <v>21.480169766847393</v>
      </c>
      <c r="EL19" s="13">
        <f t="shared" si="45"/>
        <v>6.9269265873873334</v>
      </c>
      <c r="EM19" s="20">
        <f t="shared" si="19"/>
        <v>49.475692816958805</v>
      </c>
      <c r="EN19" s="59">
        <f t="shared" si="20"/>
        <v>286.20821454811937</v>
      </c>
      <c r="EO19" s="59">
        <f ca="1">AVERAGE(OFFSET($EN$3,0,0,'Données projet'!$E$15+1,1))-AVERAGE(OFFSET($H$3,0,0,'Données projet'!$E$15+1,1))</f>
        <v>331.94255128154623</v>
      </c>
      <c r="EP19" s="59">
        <f t="shared" si="46"/>
        <v>258.40809812013964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59.230081684255907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2.8</v>
      </c>
      <c r="FE19" s="12">
        <f>IF('Données projet'!$A$218&gt;35,FE18+FD19-FM18,IF(A19&lt;'Données projet'!$A$218,$FB$205^A19,IF(A19='Données projet'!$A$218,'Données projet'!$B$218,FE18+FD19-FM18)))</f>
        <v>25.035162898423533</v>
      </c>
      <c r="FF19" s="17">
        <f>FE19*VLOOKUP('Données projet'!$B$16,Paramètres!$A$1:$I$89,3,0)*VLOOKUP('Données projet'!$B$16,Paramètres!$A$1:$I$89,5,0)</f>
        <v>23.823461014139834</v>
      </c>
      <c r="FG19" s="13">
        <f t="shared" si="47"/>
        <v>7.5905554068088028</v>
      </c>
      <c r="FH19" s="20">
        <f t="shared" si="22"/>
        <v>54.712745266485541</v>
      </c>
      <c r="FI19" s="59">
        <f t="shared" si="23"/>
        <v>291.44526699764606</v>
      </c>
      <c r="FJ19" s="59">
        <f ca="1">AVERAGE(OFFSET($FI$3,0,0,'Données projet'!$E$16+1,1))-AVERAGE(OFFSET($H$3,0,0,'Données projet'!$E$16+1,1))</f>
        <v>290.72311302449236</v>
      </c>
      <c r="FK19" s="59">
        <f t="shared" si="48"/>
        <v>352.32552988394434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59.230081684255907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10</v>
      </c>
      <c r="FZ19" s="12">
        <f>IF('Données projet'!$A$244&gt;35,FZ18+FY19-GH18,IF(A19&lt;'Données projet'!$A$244,$FW$205^A19,IF(A19='Données projet'!$A$244,'Données projet'!$B$244,FZ18+FY19-GH18)))</f>
        <v>12</v>
      </c>
      <c r="GA19" s="17">
        <f>FZ19*VLOOKUP('Données projet'!$B$17,Paramètres!$A$1:$I$89,3,0)*VLOOKUP('Données projet'!$B$17,Paramètres!$A$1:$I$89,5,0)</f>
        <v>7.8624000000000001</v>
      </c>
      <c r="GB19" s="13">
        <f t="shared" si="49"/>
        <v>2.8501294257559766</v>
      </c>
      <c r="GC19" s="20">
        <f t="shared" si="25"/>
        <v>18.657655416524992</v>
      </c>
      <c r="GD19" s="59">
        <f t="shared" si="26"/>
        <v>255.39017714768553</v>
      </c>
      <c r="GE19" s="59">
        <f ca="1">AVERAGE(OFFSET($GD$3,0,0,'Données projet'!$E$17+1,1))-AVERAGE(OFFSET($H$3,0,0,'Données projet'!$E$17+1,1))</f>
        <v>123.03972959251965</v>
      </c>
      <c r="GF19" s="59">
        <f t="shared" si="50"/>
        <v>178.27657680839445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2.8665432718234563</v>
      </c>
      <c r="GN19" s="21">
        <f>EXP(-LN(2)/2)*GN18+(1-EXP(-LN(2)/2))/(LN(2)/2)*GH19*GK19*VLOOKUP('Données projet'!$B$17,Paramètres!$A$1:$I$89,3,0)*0.475*44/12</f>
        <v>4.1527595856278499</v>
      </c>
      <c r="GO19" s="21">
        <f t="shared" si="27"/>
        <v>7.0193028574513061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59.230081684255907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13.04</v>
      </c>
      <c r="GU19" s="12">
        <f>IF('Données projet'!$A$270&gt;35,GU18+GT19-HC18,IF(A19&lt;'Données projet'!$A$270,$GR$205^A19,IF(A19='Données projet'!$A$270,'Données projet'!$B$270,GU18+GT19-HC18)))</f>
        <v>208.6399999999999</v>
      </c>
      <c r="GV19" s="17">
        <f>GU19*VLOOKUP('Données projet'!$B$18,Paramètres!$A$1:$I$89,3,0)*VLOOKUP('Données projet'!$B$18,Paramètres!$A$1:$I$89,5,0)</f>
        <v>139.95571199999992</v>
      </c>
      <c r="GW19" s="13">
        <f t="shared" si="51"/>
        <v>36.286859549303387</v>
      </c>
      <c r="GX19" s="20">
        <f t="shared" si="28"/>
        <v>306.95581211503662</v>
      </c>
      <c r="GY19" s="59">
        <f t="shared" si="29"/>
        <v>543.68833384619711</v>
      </c>
      <c r="GZ19" s="59">
        <f ca="1">AVERAGE(OFFSET($GY$3,0,0,'Données projet'!$E$18+1,1))-AVERAGE(OFFSET($H$3,0,0,'Données projet'!$E$18+1,1))</f>
        <v>542.25674729323623</v>
      </c>
      <c r="HA19" s="59">
        <f t="shared" si="52"/>
        <v>614.73906555680685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2.8499999999999996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10.449999999999998</v>
      </c>
      <c r="H20" s="67">
        <f t="shared" si="1"/>
        <v>214.86666666666667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59.416915689103845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10.4</v>
      </c>
      <c r="N20" s="13">
        <f>IF('Données projet'!$A$36&gt;35,N19+M20-V19,IF(A20&lt;'Données projet'!$A$36,$K$205^A20,IF(A20='Données projet'!$A$36,'Données projet'!$B$36,N19+M20-V19)))</f>
        <v>93.401496514546437</v>
      </c>
      <c r="O20" s="13">
        <f>N20*VLOOKUP('Données projet'!$B$9,Paramètres!$A$1:$I$89,3,0)*VLOOKUP('Données projet'!$B$9,Paramètres!$A$1:$I$89,5,0)</f>
        <v>81.595547355107783</v>
      </c>
      <c r="P20" s="13">
        <f t="shared" si="33"/>
        <v>22.526854242125069</v>
      </c>
      <c r="Q20" s="20">
        <f t="shared" si="2"/>
        <v>181.34651611518052</v>
      </c>
      <c r="R20" s="59">
        <f t="shared" si="0"/>
        <v>419.98631808633911</v>
      </c>
      <c r="S20" s="59">
        <f ca="1">AVERAGE(OFFSET($R$3,0,0,'Données projet'!$E$9+1,1))-AVERAGE(OFFSET($H$3,0,0,'Données projet'!$E$9+1,1))</f>
        <v>686.80970545599644</v>
      </c>
      <c r="T20" s="59">
        <f t="shared" si="34"/>
        <v>636.16485232937737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59.416915689103845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3.6388888888888888</v>
      </c>
      <c r="AI20" s="13">
        <f>IF('Données projet'!$A$62&gt;35,AI19+AH20-AQ19,IF(A20&lt;'Données projet'!$A$62,$AF$205^A20,IF(A20='Données projet'!$A$62,'Données projet'!$B$62,AI19+AH20-AQ19)))</f>
        <v>61.861111111111086</v>
      </c>
      <c r="AJ20" s="13">
        <f>AI20*VLOOKUP('Données projet'!$B$10,Paramètres!$A$1:$I$89,3,0)*VLOOKUP('Données projet'!$B$10,Paramètres!$A$1:$I$89,5,0)</f>
        <v>55.971933333333304</v>
      </c>
      <c r="AK20" s="13">
        <f t="shared" si="35"/>
        <v>16.145765078092339</v>
      </c>
      <c r="AL20" s="20">
        <f t="shared" si="4"/>
        <v>125.60499139989965</v>
      </c>
      <c r="AM20" s="59">
        <f t="shared" si="5"/>
        <v>364.24479337105822</v>
      </c>
      <c r="AN20" s="59">
        <f ca="1">AVERAGE(OFFSET($AM$3,0,0,'Données projet'!$E$10+1,1))-AVERAGE(OFFSET($H$3,0,0,'Données projet'!$E$10+1,1))</f>
        <v>323.67375363913726</v>
      </c>
      <c r="AO20" s="59">
        <f t="shared" si="36"/>
        <v>266.03902815735029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59.416915689103845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26</v>
      </c>
      <c r="BD20" s="12">
        <f>IF('Données projet'!$A$88&gt;35,BD19+BC20-BL19,IF(A20&lt;'Données projet'!$A$88,$BA$205^A20,IF(A20='Données projet'!$A$88,'Données projet'!$B$88,BD19+BC20-BL19)))</f>
        <v>207</v>
      </c>
      <c r="BE20" s="13">
        <f>BD20*VLOOKUP('Données projet'!$B$11,Paramètres!$A$1:$I$89,3,0)*VLOOKUP('Données projet'!$B$11,Paramètres!$A$1:$I$89,5,0)</f>
        <v>115.71300000000001</v>
      </c>
      <c r="BF20" s="13">
        <f t="shared" si="37"/>
        <v>30.673019842466044</v>
      </c>
      <c r="BG20" s="20">
        <f t="shared" si="7"/>
        <v>254.95565122562834</v>
      </c>
      <c r="BH20" s="59">
        <f t="shared" si="8"/>
        <v>493.59545319678693</v>
      </c>
      <c r="BI20" s="59">
        <f ca="1">AVERAGE(OFFSET($BH$3,0,0,'Données projet'!$E$11+1,1))-AVERAGE(OFFSET($H$3,0,0,'Données projet'!$E$11+1,1))</f>
        <v>371.46495716091965</v>
      </c>
      <c r="BJ20" s="59">
        <f t="shared" si="38"/>
        <v>579.95059529269417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3.2929142829305729</v>
      </c>
      <c r="BQ20" s="21">
        <f>EXP(-LN(2)/25)*BQ19+(1-EXP(-LN(2)/25))/(LN(2)/25)*Calculateur!BL20*Calculateur!BN20*VLOOKUP('Données projet'!$B$11,Paramètres!$A$1:$I$89,3,0)*0.475*44/12</f>
        <v>3.2283928893068783</v>
      </c>
      <c r="BR20" s="21">
        <f>EXP(-LN(2)/2)*BR19+(1-EXP(-LN(2)/2))/(LN(2)/2)*BL20*BO20*VLOOKUP('Données projet'!$B$11,Paramètres!$A$1:$I$89,3,0)*0.475*44/12</f>
        <v>3.5443399841768497</v>
      </c>
      <c r="BS20" s="22">
        <f t="shared" si="9"/>
        <v>10.0656471564143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59.416915689103845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24.4</v>
      </c>
      <c r="BY20" s="12">
        <f>IF('Données projet'!$A$114&gt;35,BY19+BX20-CG19,IF(A20&lt;'Données projet'!$A$114,$BV$205^A20,IF(A20='Données projet'!$A$114,'Données projet'!$B$114,BY19+BX20-CG19)))</f>
        <v>66.800000000000011</v>
      </c>
      <c r="BZ20" s="13">
        <f>BY20*VLOOKUP('Données projet'!$B$12,Paramètres!$A$1:$I$89,3,0)*VLOOKUP('Données projet'!$B$12,Paramètres!$A$1:$I$89,5,0)</f>
        <v>41.683200000000014</v>
      </c>
      <c r="CA20" s="13">
        <f t="shared" si="39"/>
        <v>12.443703387289101</v>
      </c>
      <c r="CB20" s="20">
        <f t="shared" si="10"/>
        <v>94.271023399528531</v>
      </c>
      <c r="CC20" s="59">
        <f t="shared" si="11"/>
        <v>332.91082537068712</v>
      </c>
      <c r="CD20" s="59">
        <f ca="1">AVERAGE(OFFSET($CC$3,0,0,'Données projet'!$E$12+1,1))-AVERAGE(OFFSET($H$3,0,0,'Données projet'!$E$12+1,1))</f>
        <v>180.18752244216969</v>
      </c>
      <c r="CE20" s="59">
        <f t="shared" si="40"/>
        <v>350.12096474554676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25.232330640738859</v>
      </c>
      <c r="CM20" s="21">
        <f>EXP(-LN(2)/2)*CM19+(1-EXP(-LN(2)/2))/(LN(2)/2)*CG20*CJ20*VLOOKUP('Données projet'!$B$12,Paramètres!$A$1:$I$89,3,0)*0.475*44/12</f>
        <v>9.8510815787593007</v>
      </c>
      <c r="CN20" s="22">
        <f t="shared" si="12"/>
        <v>35.083412219498157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59.416915689103845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16.2</v>
      </c>
      <c r="CT20" s="12">
        <f>IF('Données projet'!$A$140&gt;35,CT19+CS20-DB19,IF(A20&lt;'Données projet'!$A$140,$CQ$205^A20,IF(A20='Données projet'!$A$140,'Données projet'!$B$140,CT19+CS20-DB19)))</f>
        <v>74.400000000000006</v>
      </c>
      <c r="CU20" s="17">
        <f>CT20*VLOOKUP('Données projet'!$B$13,Paramètres!$A$1:$I$89,3,0)*VLOOKUP('Données projet'!$B$13,Paramètres!$A$1:$I$89,5,0)</f>
        <v>59.192640000000004</v>
      </c>
      <c r="CV20" s="13">
        <f t="shared" si="41"/>
        <v>16.963982408330725</v>
      </c>
      <c r="CW20" s="20">
        <f t="shared" si="13"/>
        <v>132.63945069450935</v>
      </c>
      <c r="CX20" s="59">
        <f t="shared" si="14"/>
        <v>371.27925266566791</v>
      </c>
      <c r="CY20" s="59">
        <f ca="1">AVERAGE(OFFSET($CX$3,0,0,'Données projet'!$E$13+1,1))-AVERAGE(OFFSET($H$3,0,0,'Données projet'!$E$13+1,1))</f>
        <v>284.31574332240928</v>
      </c>
      <c r="CZ20" s="59">
        <f t="shared" si="42"/>
        <v>403.96994631683913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59.416915689103845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75</v>
      </c>
      <c r="DO20" s="12">
        <f>IF('Données projet'!$A$166&gt;35,DO19+DN20-DW19,IF(A20&lt;'Données projet'!$A$166,$DL$205^A20,IF(A20='Données projet'!$A$166,'Données projet'!$B$166,DO19+DN20-DW19)))</f>
        <v>150</v>
      </c>
      <c r="DP20" s="17">
        <f>DO20*VLOOKUP('Données projet'!$B$14,Paramètres!$A$1:$I$89,3,0)*VLOOKUP('Données projet'!$B$14,Paramètres!$A$1:$I$89,5,0)</f>
        <v>109.98</v>
      </c>
      <c r="DQ20" s="13">
        <f t="shared" si="43"/>
        <v>29.326272366698234</v>
      </c>
      <c r="DR20" s="20">
        <f t="shared" si="16"/>
        <v>242.62509103866606</v>
      </c>
      <c r="DS20" s="59">
        <f t="shared" si="17"/>
        <v>481.26489300982462</v>
      </c>
      <c r="DT20" s="59">
        <f ca="1">AVERAGE(OFFSET($DS$3,0,0,'Données projet'!$E$14+1,1))-AVERAGE(OFFSET($H$3,0,0,'Données projet'!$E$14+1,1))</f>
        <v>190.9519472160006</v>
      </c>
      <c r="DU20" s="59">
        <f t="shared" si="44"/>
        <v>170.61553500287511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59.416915689103845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2.8</v>
      </c>
      <c r="EJ20" s="12">
        <f>IF('Données projet'!$A$192&gt;35,EJ19+EI20-ER19,IF(A20&lt;'Données projet'!$A$192,$EG$205^A20,IF(A20='Données projet'!$A$192,'Données projet'!$B$192,EJ19+EI20-ER19)))</f>
        <v>30.61680181296855</v>
      </c>
      <c r="EK20" s="17">
        <f>EJ20*VLOOKUP('Données projet'!$B$15,Paramètres!$A$1:$I$89,3,0)*VLOOKUP('Données projet'!$B$15,Paramètres!$A$1:$I$89,5,0)</f>
        <v>26.26921595552702</v>
      </c>
      <c r="EL20" s="13">
        <f t="shared" si="45"/>
        <v>8.2751434680579159</v>
      </c>
      <c r="EM20" s="20">
        <f t="shared" si="19"/>
        <v>60.164759329410423</v>
      </c>
      <c r="EN20" s="59">
        <f t="shared" si="20"/>
        <v>298.80456130056899</v>
      </c>
      <c r="EO20" s="59">
        <f ca="1">AVERAGE(OFFSET($EN$3,0,0,'Données projet'!$E$15+1,1))-AVERAGE(OFFSET($H$3,0,0,'Données projet'!$E$15+1,1))</f>
        <v>331.94255128154623</v>
      </c>
      <c r="EP20" s="59">
        <f t="shared" si="46"/>
        <v>258.40809812013964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59.416915689103845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2.8</v>
      </c>
      <c r="FE20" s="12">
        <f>IF('Données projet'!$A$218&gt;35,FE19+FD20-FM19,IF(A20&lt;'Données projet'!$A$218,$FB$205^A20,IF(A20='Données projet'!$A$218,'Données projet'!$B$218,FE19+FD20-FM19)))</f>
        <v>30.61680181296855</v>
      </c>
      <c r="FF20" s="17">
        <f>FE20*VLOOKUP('Données projet'!$B$16,Paramètres!$A$1:$I$89,3,0)*VLOOKUP('Données projet'!$B$16,Paramètres!$A$1:$I$89,5,0)</f>
        <v>29.134948605220874</v>
      </c>
      <c r="FG20" s="13">
        <f t="shared" si="47"/>
        <v>9.0679371581555923</v>
      </c>
      <c r="FH20" s="20">
        <f t="shared" si="22"/>
        <v>66.536692704547349</v>
      </c>
      <c r="FI20" s="59">
        <f t="shared" si="23"/>
        <v>305.1764946757059</v>
      </c>
      <c r="FJ20" s="59">
        <f ca="1">AVERAGE(OFFSET($FI$3,0,0,'Données projet'!$E$16+1,1))-AVERAGE(OFFSET($H$3,0,0,'Données projet'!$E$16+1,1))</f>
        <v>290.72311302449236</v>
      </c>
      <c r="FK20" s="59">
        <f t="shared" si="48"/>
        <v>352.32552988394434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59.416915689103845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10</v>
      </c>
      <c r="FZ20" s="12">
        <f>IF('Données projet'!$A$244&gt;35,FZ19+FY20-GH19,IF(A20&lt;'Données projet'!$A$244,$FW$205^A20,IF(A20='Données projet'!$A$244,'Données projet'!$B$244,FZ19+FY20-GH19)))</f>
        <v>22</v>
      </c>
      <c r="GA20" s="17">
        <f>FZ20*VLOOKUP('Données projet'!$B$17,Paramètres!$A$1:$I$89,3,0)*VLOOKUP('Données projet'!$B$17,Paramètres!$A$1:$I$89,5,0)</f>
        <v>14.414400000000001</v>
      </c>
      <c r="GB20" s="13">
        <f t="shared" si="49"/>
        <v>4.8692796085494798</v>
      </c>
      <c r="GC20" s="20">
        <f t="shared" si="25"/>
        <v>33.58574198489034</v>
      </c>
      <c r="GD20" s="59">
        <f t="shared" si="26"/>
        <v>272.22554395604891</v>
      </c>
      <c r="GE20" s="59">
        <f ca="1">AVERAGE(OFFSET($GD$3,0,0,'Données projet'!$E$17+1,1))-AVERAGE(OFFSET($H$3,0,0,'Données projet'!$E$17+1,1))</f>
        <v>123.03972959251965</v>
      </c>
      <c r="GF20" s="59">
        <f t="shared" si="50"/>
        <v>178.27657680839445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2.7881574953104846</v>
      </c>
      <c r="GN20" s="21">
        <f>EXP(-LN(2)/2)*GN19+(1-EXP(-LN(2)/2))/(LN(2)/2)*GH20*GK20*VLOOKUP('Données projet'!$B$17,Paramètres!$A$1:$I$89,3,0)*0.475*44/12</f>
        <v>2.9364444636348899</v>
      </c>
      <c r="GO20" s="21">
        <f t="shared" si="27"/>
        <v>5.7246019589453745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59.416915689103845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13.04</v>
      </c>
      <c r="GU20" s="12">
        <f>IF('Données projet'!$A$270&gt;35,GU19+GT20-HC19,IF(A20&lt;'Données projet'!$A$270,$GR$205^A20,IF(A20='Données projet'!$A$270,'Données projet'!$B$270,GU19+GT20-HC19)))</f>
        <v>221.67999999999989</v>
      </c>
      <c r="GV20" s="17">
        <f>GU20*VLOOKUP('Données projet'!$B$18,Paramètres!$A$1:$I$89,3,0)*VLOOKUP('Données projet'!$B$18,Paramètres!$A$1:$I$89,5,0)</f>
        <v>148.70294399999995</v>
      </c>
      <c r="GW20" s="13">
        <f t="shared" si="51"/>
        <v>38.283676170445922</v>
      </c>
      <c r="GX20" s="20">
        <f t="shared" si="28"/>
        <v>325.66836346352653</v>
      </c>
      <c r="GY20" s="59">
        <f t="shared" si="29"/>
        <v>564.30816543468507</v>
      </c>
      <c r="GZ20" s="59">
        <f ca="1">AVERAGE(OFFSET($GY$3,0,0,'Données projet'!$E$18+1,1))-AVERAGE(OFFSET($H$3,0,0,'Données projet'!$E$18+1,1))</f>
        <v>542.25674729323623</v>
      </c>
      <c r="HA20" s="59">
        <f t="shared" si="52"/>
        <v>614.73906555680685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2.8499999999999996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10.449999999999998</v>
      </c>
      <c r="H21" s="67">
        <f t="shared" si="1"/>
        <v>214.86666666666667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59.600508541665931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10.4</v>
      </c>
      <c r="N21" s="13">
        <f>IF('Données projet'!$A$36&gt;35,N20+M21-V20,IF(A21&lt;'Données projet'!$A$36,$K$205^A21,IF(A21='Données projet'!$A$36,'Données projet'!$B$36,N20+M21-V20)))</f>
        <v>121.97111711322611</v>
      </c>
      <c r="O21" s="13">
        <f>N21*VLOOKUP('Données projet'!$B$9,Paramètres!$A$1:$I$89,3,0)*VLOOKUP('Données projet'!$B$9,Paramètres!$A$1:$I$89,5,0)</f>
        <v>106.55396791011435</v>
      </c>
      <c r="P21" s="13">
        <f t="shared" si="33"/>
        <v>28.517574654431844</v>
      </c>
      <c r="Q21" s="20">
        <f t="shared" si="2"/>
        <v>235.24960329991799</v>
      </c>
      <c r="R21" s="59">
        <f t="shared" si="0"/>
        <v>475.78480128602644</v>
      </c>
      <c r="S21" s="59">
        <f ca="1">AVERAGE(OFFSET($R$3,0,0,'Données projet'!$E$9+1,1))-AVERAGE(OFFSET($H$3,0,0,'Données projet'!$E$9+1,1))</f>
        <v>686.80970545599644</v>
      </c>
      <c r="T21" s="59">
        <f t="shared" si="34"/>
        <v>636.16485232937737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59.600508541665931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3.6388888888888888</v>
      </c>
      <c r="AI21" s="13">
        <f>IF('Données projet'!$A$62&gt;35,AI20+AH21-AQ20,IF(A21&lt;'Données projet'!$A$62,$AF$205^A21,IF(A21='Données projet'!$A$62,'Données projet'!$B$62,AI20+AH21-AQ20)))</f>
        <v>65.499999999999972</v>
      </c>
      <c r="AJ21" s="13">
        <f>AI21*VLOOKUP('Données projet'!$B$10,Paramètres!$A$1:$I$89,3,0)*VLOOKUP('Données projet'!$B$10,Paramètres!$A$1:$I$89,5,0)</f>
        <v>59.264399999999974</v>
      </c>
      <c r="AK21" s="13">
        <f t="shared" si="35"/>
        <v>16.982152939000496</v>
      </c>
      <c r="AL21" s="20">
        <f t="shared" si="4"/>
        <v>132.79607970209247</v>
      </c>
      <c r="AM21" s="59">
        <f t="shared" si="5"/>
        <v>373.33127768820088</v>
      </c>
      <c r="AN21" s="59">
        <f ca="1">AVERAGE(OFFSET($AM$3,0,0,'Données projet'!$E$10+1,1))-AVERAGE(OFFSET($H$3,0,0,'Données projet'!$E$10+1,1))</f>
        <v>323.67375363913726</v>
      </c>
      <c r="AO21" s="59">
        <f t="shared" si="36"/>
        <v>266.03902815735029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59.600508541665931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26</v>
      </c>
      <c r="BD21" s="12">
        <f>IF('Données projet'!$A$88&gt;35,BD20+BC21-BL20,IF(A21&lt;'Données projet'!$A$88,$BA$205^A21,IF(A21='Données projet'!$A$88,'Données projet'!$B$88,BD20+BC21-BL20)))</f>
        <v>233</v>
      </c>
      <c r="BE21" s="13">
        <f>BD21*VLOOKUP('Données projet'!$B$11,Paramètres!$A$1:$I$89,3,0)*VLOOKUP('Données projet'!$B$11,Paramètres!$A$1:$I$89,5,0)</f>
        <v>130.24700000000001</v>
      </c>
      <c r="BF21" s="13">
        <f t="shared" si="37"/>
        <v>34.053427473416782</v>
      </c>
      <c r="BG21" s="20">
        <f t="shared" si="7"/>
        <v>286.15657784953424</v>
      </c>
      <c r="BH21" s="59">
        <f t="shared" si="8"/>
        <v>526.6917758356426</v>
      </c>
      <c r="BI21" s="59">
        <f ca="1">AVERAGE(OFFSET($BH$3,0,0,'Données projet'!$E$11+1,1))-AVERAGE(OFFSET($H$3,0,0,'Données projet'!$E$11+1,1))</f>
        <v>371.46495716091965</v>
      </c>
      <c r="BJ21" s="59">
        <f t="shared" si="38"/>
        <v>579.95059529269417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3.2283422423216961</v>
      </c>
      <c r="BQ21" s="21">
        <f>EXP(-LN(2)/25)*BQ20+(1-EXP(-LN(2)/25))/(LN(2)/25)*Calculateur!BL21*Calculateur!BN21*VLOOKUP('Données projet'!$B$11,Paramètres!$A$1:$I$89,3,0)*0.475*44/12</f>
        <v>3.1401123159749784</v>
      </c>
      <c r="BR21" s="21">
        <f>EXP(-LN(2)/2)*BR20+(1-EXP(-LN(2)/2))/(LN(2)/2)*BL21*BO21*VLOOKUP('Données projet'!$B$11,Paramètres!$A$1:$I$89,3,0)*0.475*44/12</f>
        <v>2.5062268376420711</v>
      </c>
      <c r="BS21" s="22">
        <f t="shared" si="9"/>
        <v>8.8746813959387456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59.600508541665931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24.4</v>
      </c>
      <c r="BY21" s="12">
        <f>IF('Données projet'!$A$114&gt;35,BY20+BX21-CG20,IF(A21&lt;'Données projet'!$A$114,$BV$205^A21,IF(A21='Données projet'!$A$114,'Données projet'!$B$114,BY20+BX21-CG20)))</f>
        <v>91.200000000000017</v>
      </c>
      <c r="BZ21" s="13">
        <f>BY21*VLOOKUP('Données projet'!$B$12,Paramètres!$A$1:$I$89,3,0)*VLOOKUP('Données projet'!$B$12,Paramètres!$A$1:$I$89,5,0)</f>
        <v>56.908800000000006</v>
      </c>
      <c r="CA21" s="13">
        <f t="shared" si="39"/>
        <v>16.384327014561205</v>
      </c>
      <c r="CB21" s="20">
        <f t="shared" si="10"/>
        <v>127.65219621702742</v>
      </c>
      <c r="CC21" s="59">
        <f t="shared" si="11"/>
        <v>368.18739420313585</v>
      </c>
      <c r="CD21" s="59">
        <f ca="1">AVERAGE(OFFSET($CC$3,0,0,'Données projet'!$E$12+1,1))-AVERAGE(OFFSET($H$3,0,0,'Données projet'!$E$12+1,1))</f>
        <v>180.18752244216969</v>
      </c>
      <c r="CE21" s="59">
        <f t="shared" si="40"/>
        <v>350.12096474554676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24.542351232457257</v>
      </c>
      <c r="CM21" s="21">
        <f>EXP(-LN(2)/2)*CM20+(1-EXP(-LN(2)/2))/(LN(2)/2)*CG21*CJ21*VLOOKUP('Données projet'!$B$12,Paramètres!$A$1:$I$89,3,0)*0.475*44/12</f>
        <v>6.9657665863625828</v>
      </c>
      <c r="CN21" s="22">
        <f t="shared" si="12"/>
        <v>31.508117818819841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59.600508541665931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16.2</v>
      </c>
      <c r="CT21" s="12">
        <f>IF('Données projet'!$A$140&gt;35,CT20+CS21-DB20,IF(A21&lt;'Données projet'!$A$140,$CQ$205^A21,IF(A21='Données projet'!$A$140,'Données projet'!$B$140,CT20+CS21-DB20)))</f>
        <v>90.600000000000009</v>
      </c>
      <c r="CU21" s="17">
        <f>CT21*VLOOKUP('Données projet'!$B$13,Paramètres!$A$1:$I$89,3,0)*VLOOKUP('Données projet'!$B$13,Paramètres!$A$1:$I$89,5,0)</f>
        <v>72.081360000000004</v>
      </c>
      <c r="CV21" s="13">
        <f t="shared" si="41"/>
        <v>20.189447906507766</v>
      </c>
      <c r="CW21" s="20">
        <f t="shared" si="13"/>
        <v>160.70499043716771</v>
      </c>
      <c r="CX21" s="59">
        <f t="shared" si="14"/>
        <v>401.24018842327609</v>
      </c>
      <c r="CY21" s="59">
        <f ca="1">AVERAGE(OFFSET($CX$3,0,0,'Données projet'!$E$13+1,1))-AVERAGE(OFFSET($H$3,0,0,'Données projet'!$E$13+1,1))</f>
        <v>284.31574332240928</v>
      </c>
      <c r="CZ21" s="59">
        <f t="shared" si="42"/>
        <v>403.96994631683913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59.600508541665931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>
        <f>VLOOKUP(A21,'Données projet'!$A$165:$I$185,2,0)</f>
        <v>225</v>
      </c>
      <c r="DM21" s="12">
        <f>VLOOKUP(A21,'Données projet'!$A$165:$I$185,9,0)</f>
        <v>75</v>
      </c>
      <c r="DN21" s="12">
        <f t="array" ref="DN21">INDEX(DM:DM,MIN(IF(ISNUMBER(DM21:DM217),ROW(DM21:DM217),"")))</f>
        <v>75</v>
      </c>
      <c r="DO21" s="12">
        <f>IF('Données projet'!$A$166&gt;35,DO20+DN21-DW20,IF(A21&lt;'Données projet'!$A$166,$DL$205^A21,IF(A21='Données projet'!$A$166,'Données projet'!$B$166,DO20+DN21-DW20)))</f>
        <v>225</v>
      </c>
      <c r="DP21" s="17">
        <f>DO21*VLOOKUP('Données projet'!$B$14,Paramètres!$A$1:$I$89,3,0)*VLOOKUP('Données projet'!$B$14,Paramètres!$A$1:$I$89,5,0)</f>
        <v>164.97</v>
      </c>
      <c r="DQ21" s="13">
        <f t="shared" si="43"/>
        <v>41.961509246867301</v>
      </c>
      <c r="DR21" s="20">
        <f t="shared" si="16"/>
        <v>360.4057119382939</v>
      </c>
      <c r="DS21" s="59">
        <f t="shared" si="17"/>
        <v>600.94090992440238</v>
      </c>
      <c r="DT21" s="59">
        <f ca="1">AVERAGE(OFFSET($DS$3,0,0,'Données projet'!$E$14+1,1))-AVERAGE(OFFSET($H$3,0,0,'Données projet'!$E$14+1,1))</f>
        <v>190.9519472160006</v>
      </c>
      <c r="DU21" s="59">
        <f t="shared" si="44"/>
        <v>170.61553500287511</v>
      </c>
      <c r="DV21" s="15">
        <f>IF(ISNA(VLOOKUP(A21,'Données projet'!$A$165:$I$185,3,0)),0,VLOOKUP(A21,'Données projet'!$A$165:$I$185,3,0))</f>
        <v>3</v>
      </c>
      <c r="DW21" s="15">
        <f>IF(ISNA(VLOOKUP(A21,'Données projet'!$A$165:$I$185,4,0)),0,VLOOKUP(A21,'Données projet'!$A$165:$I$185,4,0))</f>
        <v>131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59.600508541665931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2.8</v>
      </c>
      <c r="EJ21" s="12">
        <f>IF('Données projet'!$A$192&gt;35,EJ20+EI21-ER20,IF(A21&lt;'Données projet'!$A$192,$EG$205^A21,IF(A21='Données projet'!$A$192,'Données projet'!$B$192,EJ20+EI21-ER20)))</f>
        <v>37.442878125375486</v>
      </c>
      <c r="EK21" s="17">
        <f>EJ21*VLOOKUP('Données projet'!$B$15,Paramètres!$A$1:$I$89,3,0)*VLOOKUP('Données projet'!$B$15,Paramètres!$A$1:$I$89,5,0)</f>
        <v>32.125989431572172</v>
      </c>
      <c r="EL21" s="13">
        <f t="shared" si="45"/>
        <v>9.8857694755459775</v>
      </c>
      <c r="EM21" s="20">
        <f t="shared" si="19"/>
        <v>73.170480096564106</v>
      </c>
      <c r="EN21" s="59">
        <f t="shared" si="20"/>
        <v>313.70567808267253</v>
      </c>
      <c r="EO21" s="59">
        <f ca="1">AVERAGE(OFFSET($EN$3,0,0,'Données projet'!$E$15+1,1))-AVERAGE(OFFSET($H$3,0,0,'Données projet'!$E$15+1,1))</f>
        <v>331.94255128154623</v>
      </c>
      <c r="EP21" s="59">
        <f t="shared" si="46"/>
        <v>258.40809812013964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59.600508541665931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2.8</v>
      </c>
      <c r="FE21" s="12">
        <f>IF('Données projet'!$A$218&gt;35,FE20+FD21-FM20,IF(A21&lt;'Données projet'!$A$218,$FB$205^A21,IF(A21='Données projet'!$A$218,'Données projet'!$B$218,FE20+FD21-FM20)))</f>
        <v>37.442878125375486</v>
      </c>
      <c r="FF21" s="17">
        <f>FE21*VLOOKUP('Données projet'!$B$16,Paramètres!$A$1:$I$89,3,0)*VLOOKUP('Données projet'!$B$16,Paramètres!$A$1:$I$89,5,0)</f>
        <v>35.630642824107312</v>
      </c>
      <c r="FG21" s="13">
        <f t="shared" si="47"/>
        <v>10.832867938820412</v>
      </c>
      <c r="FH21" s="20">
        <f t="shared" si="22"/>
        <v>80.923947912099123</v>
      </c>
      <c r="FI21" s="59">
        <f t="shared" si="23"/>
        <v>321.45914589820757</v>
      </c>
      <c r="FJ21" s="59">
        <f ca="1">AVERAGE(OFFSET($FI$3,0,0,'Données projet'!$E$16+1,1))-AVERAGE(OFFSET($H$3,0,0,'Données projet'!$E$16+1,1))</f>
        <v>290.72311302449236</v>
      </c>
      <c r="FK21" s="59">
        <f t="shared" si="48"/>
        <v>352.32552988394434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59.600508541665931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10</v>
      </c>
      <c r="FZ21" s="12">
        <f>IF('Données projet'!$A$244&gt;35,FZ20+FY21-GH20,IF(A21&lt;'Données projet'!$A$244,$FW$205^A21,IF(A21='Données projet'!$A$244,'Données projet'!$B$244,FZ20+FY21-GH20)))</f>
        <v>32</v>
      </c>
      <c r="GA21" s="17">
        <f>FZ21*VLOOKUP('Données projet'!$B$17,Paramètres!$A$1:$I$89,3,0)*VLOOKUP('Données projet'!$B$17,Paramètres!$A$1:$I$89,5,0)</f>
        <v>20.9664</v>
      </c>
      <c r="GB21" s="13">
        <f t="shared" si="49"/>
        <v>6.7803256634538869</v>
      </c>
      <c r="GC21" s="20">
        <f t="shared" si="25"/>
        <v>48.325547197182182</v>
      </c>
      <c r="GD21" s="59">
        <f t="shared" si="26"/>
        <v>288.86074518329059</v>
      </c>
      <c r="GE21" s="59">
        <f ca="1">AVERAGE(OFFSET($GD$3,0,0,'Données projet'!$E$17+1,1))-AVERAGE(OFFSET($H$3,0,0,'Données projet'!$E$17+1,1))</f>
        <v>123.03972959251965</v>
      </c>
      <c r="GF21" s="59">
        <f t="shared" si="50"/>
        <v>178.27657680839445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2.7119151819783891</v>
      </c>
      <c r="GN21" s="21">
        <f>EXP(-LN(2)/2)*GN20+(1-EXP(-LN(2)/2))/(LN(2)/2)*GH21*GK21*VLOOKUP('Données projet'!$B$17,Paramètres!$A$1:$I$89,3,0)*0.475*44/12</f>
        <v>2.0763797928139249</v>
      </c>
      <c r="GO21" s="21">
        <f t="shared" si="27"/>
        <v>4.788294974792314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59.600508541665931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13.04</v>
      </c>
      <c r="GU21" s="12">
        <f>IF('Données projet'!$A$270&gt;35,GU20+GT21-HC20,IF(A21&lt;'Données projet'!$A$270,$GR$205^A21,IF(A21='Données projet'!$A$270,'Données projet'!$B$270,GU20+GT21-HC20)))</f>
        <v>234.71999999999989</v>
      </c>
      <c r="GV21" s="17">
        <f>GU21*VLOOKUP('Données projet'!$B$18,Paramètres!$A$1:$I$89,3,0)*VLOOKUP('Données projet'!$B$18,Paramètres!$A$1:$I$89,5,0)</f>
        <v>157.45017599999994</v>
      </c>
      <c r="GW21" s="13">
        <f t="shared" si="51"/>
        <v>40.266858872846718</v>
      </c>
      <c r="GX21" s="20">
        <f t="shared" si="28"/>
        <v>344.35716907020787</v>
      </c>
      <c r="GY21" s="59">
        <f t="shared" si="29"/>
        <v>584.89236705631629</v>
      </c>
      <c r="GZ21" s="59">
        <f ca="1">AVERAGE(OFFSET($GY$3,0,0,'Données projet'!$E$18+1,1))-AVERAGE(OFFSET($H$3,0,0,'Données projet'!$E$18+1,1))</f>
        <v>542.25674729323623</v>
      </c>
      <c r="HA21" s="59">
        <f t="shared" si="52"/>
        <v>614.73906555680685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2.8499999999999996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10.449999999999998</v>
      </c>
      <c r="H22" s="67">
        <f t="shared" si="1"/>
        <v>214.86666666666667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59.780916468688204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10.4</v>
      </c>
      <c r="N22" s="13">
        <f>IF('Données projet'!$A$36&gt;35,N21+M22-V21,IF(A22&lt;'Données projet'!$A$36,$K$205^A22,IF(A22='Données projet'!$A$36,'Données projet'!$B$36,N21+M22-V21)))</f>
        <v>159.27960434264961</v>
      </c>
      <c r="O22" s="13">
        <f>N22*VLOOKUP('Données projet'!$B$9,Paramètres!$A$1:$I$89,3,0)*VLOOKUP('Données projet'!$B$9,Paramètres!$A$1:$I$89,5,0)</f>
        <v>139.14666235373872</v>
      </c>
      <c r="P22" s="13">
        <f t="shared" si="33"/>
        <v>36.101448317196379</v>
      </c>
      <c r="Q22" s="20">
        <f t="shared" si="2"/>
        <v>305.22379275187859</v>
      </c>
      <c r="R22" s="59">
        <f t="shared" si="0"/>
        <v>547.64270869262418</v>
      </c>
      <c r="S22" s="59">
        <f ca="1">AVERAGE(OFFSET($R$3,0,0,'Données projet'!$E$9+1,1))-AVERAGE(OFFSET($H$3,0,0,'Données projet'!$E$9+1,1))</f>
        <v>686.80970545599644</v>
      </c>
      <c r="T22" s="59">
        <f t="shared" si="34"/>
        <v>636.16485232937737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59.780916468688204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3.6388888888888888</v>
      </c>
      <c r="AI22" s="13">
        <f>IF('Données projet'!$A$62&gt;35,AI21+AH22-AQ21,IF(A22&lt;'Données projet'!$A$62,$AF$205^A22,IF(A22='Données projet'!$A$62,'Données projet'!$B$62,AI21+AH22-AQ21)))</f>
        <v>69.138888888888857</v>
      </c>
      <c r="AJ22" s="13">
        <f>AI22*VLOOKUP('Données projet'!$B$10,Paramètres!$A$1:$I$89,3,0)*VLOOKUP('Données projet'!$B$10,Paramètres!$A$1:$I$89,5,0)</f>
        <v>62.556866666666643</v>
      </c>
      <c r="AK22" s="13">
        <f t="shared" si="35"/>
        <v>17.81314667976072</v>
      </c>
      <c r="AL22" s="20">
        <f t="shared" si="4"/>
        <v>139.97777324502763</v>
      </c>
      <c r="AM22" s="59">
        <f t="shared" si="5"/>
        <v>382.39668918577325</v>
      </c>
      <c r="AN22" s="59">
        <f ca="1">AVERAGE(OFFSET($AM$3,0,0,'Données projet'!$E$10+1,1))-AVERAGE(OFFSET($H$3,0,0,'Données projet'!$E$10+1,1))</f>
        <v>323.67375363913726</v>
      </c>
      <c r="AO22" s="59">
        <f t="shared" si="36"/>
        <v>266.03902815735029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59.780916468688204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26</v>
      </c>
      <c r="BD22" s="12">
        <f>IF('Données projet'!$A$88&gt;35,BD21+BC22-BL21,IF(A22&lt;'Données projet'!$A$88,$BA$205^A22,IF(A22='Données projet'!$A$88,'Données projet'!$B$88,BD21+BC22-BL21)))</f>
        <v>259</v>
      </c>
      <c r="BE22" s="13">
        <f>BD22*VLOOKUP('Données projet'!$B$11,Paramètres!$A$1:$I$89,3,0)*VLOOKUP('Données projet'!$B$11,Paramètres!$A$1:$I$89,5,0)</f>
        <v>144.78100000000001</v>
      </c>
      <c r="BF22" s="13">
        <f t="shared" si="37"/>
        <v>37.390115770833177</v>
      </c>
      <c r="BG22" s="20">
        <f t="shared" si="7"/>
        <v>317.28135996753446</v>
      </c>
      <c r="BH22" s="59">
        <f t="shared" si="8"/>
        <v>559.7002759082801</v>
      </c>
      <c r="BI22" s="59">
        <f ca="1">AVERAGE(OFFSET($BH$3,0,0,'Données projet'!$E$11+1,1))-AVERAGE(OFFSET($H$3,0,0,'Données projet'!$E$11+1,1))</f>
        <v>371.46495716091965</v>
      </c>
      <c r="BJ22" s="59">
        <f t="shared" si="38"/>
        <v>579.95059529269417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3.1650364200441037</v>
      </c>
      <c r="BQ22" s="21">
        <f>EXP(-LN(2)/25)*BQ21+(1-EXP(-LN(2)/25))/(LN(2)/25)*Calculateur!BL22*Calculateur!BN22*VLOOKUP('Données projet'!$B$11,Paramètres!$A$1:$I$89,3,0)*0.475*44/12</f>
        <v>3.0542457795633129</v>
      </c>
      <c r="BR22" s="21">
        <f>EXP(-LN(2)/2)*BR21+(1-EXP(-LN(2)/2))/(LN(2)/2)*BL22*BO22*VLOOKUP('Données projet'!$B$11,Paramètres!$A$1:$I$89,3,0)*0.475*44/12</f>
        <v>1.7721699920884251</v>
      </c>
      <c r="BS22" s="22">
        <f t="shared" si="9"/>
        <v>7.9914521916958421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59.780916468688204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24.4</v>
      </c>
      <c r="BY22" s="12">
        <f>IF('Données projet'!$A$114&gt;35,BY21+BX22-CG21,IF(A22&lt;'Données projet'!$A$114,$BV$205^A22,IF(A22='Données projet'!$A$114,'Données projet'!$B$114,BY21+BX22-CG21)))</f>
        <v>115.60000000000002</v>
      </c>
      <c r="BZ22" s="13">
        <f>BY22*VLOOKUP('Données projet'!$B$12,Paramètres!$A$1:$I$89,3,0)*VLOOKUP('Données projet'!$B$12,Paramètres!$A$1:$I$89,5,0)</f>
        <v>72.134400000000014</v>
      </c>
      <c r="CA22" s="13">
        <f t="shared" si="39"/>
        <v>20.202574199661818</v>
      </c>
      <c r="CB22" s="20">
        <f t="shared" si="10"/>
        <v>160.82023006441102</v>
      </c>
      <c r="CC22" s="59">
        <f t="shared" si="11"/>
        <v>403.23914600515661</v>
      </c>
      <c r="CD22" s="59">
        <f ca="1">AVERAGE(OFFSET($CC$3,0,0,'Données projet'!$E$12+1,1))-AVERAGE(OFFSET($H$3,0,0,'Données projet'!$E$12+1,1))</f>
        <v>180.18752244216969</v>
      </c>
      <c r="CE22" s="59">
        <f t="shared" si="40"/>
        <v>350.12096474554676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23.871239347379554</v>
      </c>
      <c r="CM22" s="21">
        <f>EXP(-LN(2)/2)*CM21+(1-EXP(-LN(2)/2))/(LN(2)/2)*CG22*CJ22*VLOOKUP('Données projet'!$B$12,Paramètres!$A$1:$I$89,3,0)*0.475*44/12</f>
        <v>4.9255407893796512</v>
      </c>
      <c r="CN22" s="22">
        <f t="shared" si="12"/>
        <v>28.796780136759203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59.780916468688204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16.2</v>
      </c>
      <c r="CT22" s="12">
        <f>IF('Données projet'!$A$140&gt;35,CT21+CS22-DB21,IF(A22&lt;'Données projet'!$A$140,$CQ$205^A22,IF(A22='Données projet'!$A$140,'Données projet'!$B$140,CT21+CS22-DB21)))</f>
        <v>106.80000000000001</v>
      </c>
      <c r="CU22" s="17">
        <f>CT22*VLOOKUP('Données projet'!$B$13,Paramètres!$A$1:$I$89,3,0)*VLOOKUP('Données projet'!$B$13,Paramètres!$A$1:$I$89,5,0)</f>
        <v>84.97008000000001</v>
      </c>
      <c r="CV22" s="13">
        <f t="shared" si="41"/>
        <v>23.34809901766922</v>
      </c>
      <c r="CW22" s="20">
        <f t="shared" si="13"/>
        <v>188.65416178910723</v>
      </c>
      <c r="CX22" s="59">
        <f t="shared" si="14"/>
        <v>431.07307772985286</v>
      </c>
      <c r="CY22" s="59">
        <f ca="1">AVERAGE(OFFSET($CX$3,0,0,'Données projet'!$E$13+1,1))-AVERAGE(OFFSET($H$3,0,0,'Données projet'!$E$13+1,1))</f>
        <v>284.31574332240928</v>
      </c>
      <c r="CZ22" s="59">
        <f t="shared" si="42"/>
        <v>403.96994631683913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59.780916468688204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14.25</v>
      </c>
      <c r="DO22" s="12">
        <f>IF('Données projet'!$A$166&gt;35,DO21+DN22-DW21,IF(A22&lt;'Données projet'!$A$166,$DL$205^A22,IF(A22='Données projet'!$A$166,'Données projet'!$B$166,DO21+DN22-DW21)))</f>
        <v>108.25</v>
      </c>
      <c r="DP22" s="17">
        <f>DO22*VLOOKUP('Données projet'!$B$14,Paramètres!$A$1:$I$89,3,0)*VLOOKUP('Données projet'!$B$14,Paramètres!$A$1:$I$89,5,0)</f>
        <v>79.368899999999996</v>
      </c>
      <c r="DQ22" s="13">
        <f t="shared" si="43"/>
        <v>21.982805842561465</v>
      </c>
      <c r="DR22" s="20">
        <f t="shared" si="16"/>
        <v>176.52088767579457</v>
      </c>
      <c r="DS22" s="59">
        <f t="shared" si="17"/>
        <v>418.93980361654019</v>
      </c>
      <c r="DT22" s="59">
        <f ca="1">AVERAGE(OFFSET($DS$3,0,0,'Données projet'!$E$14+1,1))-AVERAGE(OFFSET($H$3,0,0,'Données projet'!$E$14+1,1))</f>
        <v>190.9519472160006</v>
      </c>
      <c r="DU22" s="59">
        <f t="shared" si="44"/>
        <v>170.61553500287511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59.780916468688204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2.8</v>
      </c>
      <c r="EJ22" s="12">
        <f>IF('Données projet'!$A$192&gt;35,EJ21+EI22-ER21,IF(A22&lt;'Données projet'!$A$192,$EG$205^A22,IF(A22='Données projet'!$A$192,'Données projet'!$B$192,EJ21+EI22-ER21)))</f>
        <v>45.79084160638493</v>
      </c>
      <c r="EK22" s="17">
        <f>EJ22*VLOOKUP('Données projet'!$B$15,Paramètres!$A$1:$I$89,3,0)*VLOOKUP('Données projet'!$B$15,Paramètres!$A$1:$I$89,5,0)</f>
        <v>39.28854209827827</v>
      </c>
      <c r="EL22" s="13">
        <f t="shared" si="45"/>
        <v>11.809878402817876</v>
      </c>
      <c r="EM22" s="20">
        <f t="shared" si="19"/>
        <v>88.99641570607578</v>
      </c>
      <c r="EN22" s="59">
        <f t="shared" si="20"/>
        <v>331.41533164682141</v>
      </c>
      <c r="EO22" s="59">
        <f ca="1">AVERAGE(OFFSET($EN$3,0,0,'Données projet'!$E$15+1,1))-AVERAGE(OFFSET($H$3,0,0,'Données projet'!$E$15+1,1))</f>
        <v>331.94255128154623</v>
      </c>
      <c r="EP22" s="59">
        <f t="shared" si="46"/>
        <v>258.40809812013964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59.780916468688204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2.8</v>
      </c>
      <c r="FE22" s="12">
        <f>IF('Données projet'!$A$218&gt;35,FE21+FD22-FM21,IF(A22&lt;'Données projet'!$A$218,$FB$205^A22,IF(A22='Données projet'!$A$218,'Données projet'!$B$218,FE21+FD22-FM21)))</f>
        <v>45.79084160638493</v>
      </c>
      <c r="FF22" s="17">
        <f>FE22*VLOOKUP('Données projet'!$B$16,Paramètres!$A$1:$I$89,3,0)*VLOOKUP('Données projet'!$B$16,Paramètres!$A$1:$I$89,5,0)</f>
        <v>43.574564872635904</v>
      </c>
      <c r="FG22" s="13">
        <f t="shared" si="47"/>
        <v>12.941314626819958</v>
      </c>
      <c r="FH22" s="20">
        <f t="shared" si="22"/>
        <v>98.431823461552298</v>
      </c>
      <c r="FI22" s="59">
        <f t="shared" si="23"/>
        <v>340.8507394022979</v>
      </c>
      <c r="FJ22" s="59">
        <f ca="1">AVERAGE(OFFSET($FI$3,0,0,'Données projet'!$E$16+1,1))-AVERAGE(OFFSET($H$3,0,0,'Données projet'!$E$16+1,1))</f>
        <v>290.72311302449236</v>
      </c>
      <c r="FK22" s="59">
        <f t="shared" si="48"/>
        <v>352.32552988394434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59.780916468688204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10</v>
      </c>
      <c r="FZ22" s="12">
        <f>IF('Données projet'!$A$244&gt;35,FZ21+FY22-GH21,IF(A22&lt;'Données projet'!$A$244,$FW$205^A22,IF(A22='Données projet'!$A$244,'Données projet'!$B$244,FZ21+FY22-GH21)))</f>
        <v>42</v>
      </c>
      <c r="GA22" s="17">
        <f>FZ22*VLOOKUP('Données projet'!$B$17,Paramètres!$A$1:$I$89,3,0)*VLOOKUP('Données projet'!$B$17,Paramètres!$A$1:$I$89,5,0)</f>
        <v>27.518400000000003</v>
      </c>
      <c r="GB22" s="13">
        <f t="shared" si="49"/>
        <v>8.6219024722205919</v>
      </c>
      <c r="GC22" s="20">
        <f t="shared" si="25"/>
        <v>62.944360139117542</v>
      </c>
      <c r="GD22" s="59">
        <f t="shared" si="26"/>
        <v>305.36327607986317</v>
      </c>
      <c r="GE22" s="59">
        <f ca="1">AVERAGE(OFFSET($GD$3,0,0,'Données projet'!$E$17+1,1))-AVERAGE(OFFSET($H$3,0,0,'Données projet'!$E$17+1,1))</f>
        <v>123.03972959251965</v>
      </c>
      <c r="GF22" s="59">
        <f t="shared" si="50"/>
        <v>178.27657680839445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2.6377577187137686</v>
      </c>
      <c r="GN22" s="21">
        <f>EXP(-LN(2)/2)*GN21+(1-EXP(-LN(2)/2))/(LN(2)/2)*GH22*GK22*VLOOKUP('Données projet'!$B$17,Paramètres!$A$1:$I$89,3,0)*0.475*44/12</f>
        <v>1.4682222318174449</v>
      </c>
      <c r="GO22" s="21">
        <f t="shared" si="27"/>
        <v>4.1059799505312133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59.780916468688204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13.04</v>
      </c>
      <c r="GU22" s="12">
        <f>IF('Données projet'!$A$270&gt;35,GU21+GT22-HC21,IF(A22&lt;'Données projet'!$A$270,$GR$205^A22,IF(A22='Données projet'!$A$270,'Données projet'!$B$270,GU21+GT22-HC21)))</f>
        <v>247.75999999999988</v>
      </c>
      <c r="GV22" s="17">
        <f>GU22*VLOOKUP('Données projet'!$B$18,Paramètres!$A$1:$I$89,3,0)*VLOOKUP('Données projet'!$B$18,Paramètres!$A$1:$I$89,5,0)</f>
        <v>166.19740799999991</v>
      </c>
      <c r="GW22" s="13">
        <f t="shared" si="51"/>
        <v>42.237251425758238</v>
      </c>
      <c r="GX22" s="20">
        <f t="shared" si="28"/>
        <v>363.02369849986212</v>
      </c>
      <c r="GY22" s="59">
        <f t="shared" si="29"/>
        <v>605.44261444060771</v>
      </c>
      <c r="GZ22" s="59">
        <f ca="1">AVERAGE(OFFSET($GY$3,0,0,'Données projet'!$E$18+1,1))-AVERAGE(OFFSET($H$3,0,0,'Données projet'!$E$18+1,1))</f>
        <v>542.25674729323623</v>
      </c>
      <c r="HA22" s="59">
        <f t="shared" si="52"/>
        <v>614.73906555680685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2.8499999999999996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10.449999999999998</v>
      </c>
      <c r="H23" s="67">
        <f t="shared" si="1"/>
        <v>214.86666666666667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59.958194721508335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208</v>
      </c>
      <c r="L23" s="12">
        <f>VLOOKUP(A23,'Données projet'!$A$35:$I$55,9,0)</f>
        <v>10.4</v>
      </c>
      <c r="M23" s="12">
        <f t="array" ref="M23">INDEX(L:L,MIN(IF(ISNUMBER(L23:L219),ROW(L23:L219),"")))</f>
        <v>10.4</v>
      </c>
      <c r="N23" s="13">
        <f>IF('Données projet'!$A$36&gt;35,N22+M23-V22,IF(A23&lt;'Données projet'!$A$36,$K$205^A23,IF(A23='Données projet'!$A$36,'Données projet'!$B$36,N22+M23-V22)))</f>
        <v>208</v>
      </c>
      <c r="O23" s="13">
        <f>N23*VLOOKUP('Données projet'!$B$9,Paramètres!$A$1:$I$89,3,0)*VLOOKUP('Données projet'!$B$9,Paramètres!$A$1:$I$89,5,0)</f>
        <v>181.70880000000002</v>
      </c>
      <c r="P23" s="13">
        <f t="shared" si="33"/>
        <v>45.702153370067812</v>
      </c>
      <c r="Q23" s="20">
        <f t="shared" si="2"/>
        <v>396.07407711953482</v>
      </c>
      <c r="R23" s="59">
        <f t="shared" si="0"/>
        <v>640.36523554284315</v>
      </c>
      <c r="S23" s="59">
        <f ca="1">AVERAGE(OFFSET($R$3,0,0,'Données projet'!$E$9+1,1))-AVERAGE(OFFSET($H$3,0,0,'Données projet'!$E$9+1,1))</f>
        <v>686.80970545599644</v>
      </c>
      <c r="T23" s="59">
        <f t="shared" si="34"/>
        <v>636.16485232937737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59.958194721508335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3.6388888888888888</v>
      </c>
      <c r="AI23" s="13">
        <f>IF('Données projet'!$A$62&gt;35,AI22+AH23-AQ22,IF(A23&lt;'Données projet'!$A$62,$AF$205^A23,IF(A23='Données projet'!$A$62,'Données projet'!$B$62,AI22+AH23-AQ22)))</f>
        <v>72.777777777777743</v>
      </c>
      <c r="AJ23" s="13">
        <f>AI23*VLOOKUP('Données projet'!$B$10,Paramètres!$A$1:$I$89,3,0)*VLOOKUP('Données projet'!$B$10,Paramètres!$A$1:$I$89,5,0)</f>
        <v>65.849333333333291</v>
      </c>
      <c r="AK23" s="13">
        <f t="shared" si="35"/>
        <v>18.63906257811907</v>
      </c>
      <c r="AL23" s="20">
        <f t="shared" si="4"/>
        <v>147.15062287911286</v>
      </c>
      <c r="AM23" s="59">
        <f t="shared" si="5"/>
        <v>391.44178130242119</v>
      </c>
      <c r="AN23" s="59">
        <f ca="1">AVERAGE(OFFSET($AM$3,0,0,'Données projet'!$E$10+1,1))-AVERAGE(OFFSET($H$3,0,0,'Données projet'!$E$10+1,1))</f>
        <v>323.67375363913726</v>
      </c>
      <c r="AO23" s="59">
        <f t="shared" si="36"/>
        <v>266.03902815735029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59.958194721508335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285</v>
      </c>
      <c r="BB23" s="12">
        <f>VLOOKUP(A23,'Données projet'!$A$87:$I$107,9,0)</f>
        <v>26</v>
      </c>
      <c r="BC23" s="12">
        <f t="array" ref="BC23">INDEX(BB:BB,MIN(IF(ISNUMBER(BB23:BB219),ROW(BB23:BB219),"")))</f>
        <v>26</v>
      </c>
      <c r="BD23" s="12">
        <f>IF('Données projet'!$A$88&gt;35,BD22+BC23-BL22,IF(A23&lt;'Données projet'!$A$88,$BA$205^A23,IF(A23='Données projet'!$A$88,'Données projet'!$B$88,BD22+BC23-BL22)))</f>
        <v>285</v>
      </c>
      <c r="BE23" s="13">
        <f>BD23*VLOOKUP('Données projet'!$B$11,Paramètres!$A$1:$I$89,3,0)*VLOOKUP('Données projet'!$B$11,Paramètres!$A$1:$I$89,5,0)</f>
        <v>159.315</v>
      </c>
      <c r="BF23" s="13">
        <f t="shared" si="37"/>
        <v>40.687973185674707</v>
      </c>
      <c r="BG23" s="20">
        <f t="shared" si="7"/>
        <v>348.33851163171676</v>
      </c>
      <c r="BH23" s="59">
        <f t="shared" si="8"/>
        <v>592.62967005502514</v>
      </c>
      <c r="BI23" s="59">
        <f ca="1">AVERAGE(OFFSET($BH$3,0,0,'Données projet'!$E$11+1,1))-AVERAGE(OFFSET($H$3,0,0,'Données projet'!$E$11+1,1))</f>
        <v>371.46495716091965</v>
      </c>
      <c r="BJ23" s="59">
        <f t="shared" si="38"/>
        <v>579.95059529269417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45</v>
      </c>
      <c r="BM23" s="16">
        <f>IF(ISNA(VLOOKUP(A23,'Données projet'!$A$87:$I$107,5,0)),0%,VLOOKUP(A23,'Données projet'!$A$87:$I$107,5,0)*VLOOKUP('Données projet'!$B$11,Paramètres!$A$1:$I$89,7,0))</f>
        <v>0.22000000000000003</v>
      </c>
      <c r="BN23" s="16">
        <f>IF(ISNA(VLOOKUP(A23,'Données projet'!$A$87:$I$107,6,0)),0%,VLOOKUP(A23,'Données projet'!$A$87:$I$107,6,0)*VLOOKUP('Données projet'!$B$11,Paramètres!$A$1:$I$89,7,0))</f>
        <v>0.16500000000000001</v>
      </c>
      <c r="BO23" s="16">
        <f>IF(ISNA(VLOOKUP(A23,'Données projet'!$A$87:$I$107,7,0)),0%,VLOOKUP(A23,'Données projet'!$A$87:$I$107,7,0))</f>
        <v>0.3</v>
      </c>
      <c r="BP23" s="21">
        <f>EXP(-LN(2)/35)*BP22+(1-EXP(-LN(2)/35))/(LN(2)/35)*BL23*BM23*VLOOKUP('Données projet'!$B$11,Paramètres!$A$1:$I$89,3,0)*0.475*44/12</f>
        <v>10.444312339176596</v>
      </c>
      <c r="BQ23" s="21">
        <f>EXP(-LN(2)/25)*BQ22+(1-EXP(-LN(2)/25))/(LN(2)/25)*Calculateur!BL23*Calculateur!BN23*VLOOKUP('Données projet'!$B$11,Paramètres!$A$1:$I$89,3,0)*0.475*44/12</f>
        <v>8.4550532920619652</v>
      </c>
      <c r="BR23" s="21">
        <f>EXP(-LN(2)/2)*BR22+(1-EXP(-LN(2)/2))/(LN(2)/2)*BL23*BO23*VLOOKUP('Données projet'!$B$11,Paramètres!$A$1:$I$89,3,0)*0.475*44/12</f>
        <v>9.7975044521045085</v>
      </c>
      <c r="BS23" s="22">
        <f t="shared" si="9"/>
        <v>28.696870083343068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59.958194721508335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140</v>
      </c>
      <c r="BW23" s="12">
        <f>VLOOKUP(A23,'Données projet'!$A$113:$I$133,9,0)</f>
        <v>24.4</v>
      </c>
      <c r="BX23" s="12">
        <f t="array" ref="BX23">INDEX(BW:BW,MIN(IF(ISNUMBER(BW23:BW219),ROW(BW23:BW219),"")))</f>
        <v>24.4</v>
      </c>
      <c r="BY23" s="12">
        <f>IF('Données projet'!$A$114&gt;35,BY22+BX23-CG22,IF(A23&lt;'Données projet'!$A$114,$BV$205^A23,IF(A23='Données projet'!$A$114,'Données projet'!$B$114,BY22+BX23-CG22)))</f>
        <v>140.00000000000003</v>
      </c>
      <c r="BZ23" s="13">
        <f>BY23*VLOOKUP('Données projet'!$B$12,Paramètres!$A$1:$I$89,3,0)*VLOOKUP('Données projet'!$B$12,Paramètres!$A$1:$I$89,5,0)</f>
        <v>87.360000000000028</v>
      </c>
      <c r="CA23" s="13">
        <f t="shared" si="39"/>
        <v>23.927421530185931</v>
      </c>
      <c r="CB23" s="20">
        <f t="shared" si="10"/>
        <v>193.82559249840719</v>
      </c>
      <c r="CC23" s="59">
        <f t="shared" si="11"/>
        <v>438.11675092171555</v>
      </c>
      <c r="CD23" s="59">
        <f ca="1">AVERAGE(OFFSET($CC$3,0,0,'Données projet'!$E$12+1,1))-AVERAGE(OFFSET($H$3,0,0,'Données projet'!$E$12+1,1))</f>
        <v>180.18752244216969</v>
      </c>
      <c r="CE23" s="59">
        <f t="shared" si="40"/>
        <v>350.12096474554676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98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0.40326000000000001</v>
      </c>
      <c r="CJ23" s="16">
        <f>IF(ISNA(VLOOKUP(A23,'Données projet'!$A$113:$I$133,7,0)),0%,VLOOKUP(A23,'Données projet'!$A$113:$I$133,7,0))</f>
        <v>0.33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55.802960159685881</v>
      </c>
      <c r="CM23" s="21">
        <f>EXP(-LN(2)/2)*CM22+(1-EXP(-LN(2)/2))/(LN(2)/2)*CG23*CJ23*VLOOKUP('Données projet'!$B$12,Paramètres!$A$1:$I$89,3,0)*0.475*44/12</f>
        <v>26.331512214432976</v>
      </c>
      <c r="CN23" s="22">
        <f t="shared" si="12"/>
        <v>82.134472374118857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59.958194721508335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123</v>
      </c>
      <c r="CR23" s="12">
        <f>VLOOKUP(A23,'Données projet'!$A$139:$I$159,9,0)</f>
        <v>16.2</v>
      </c>
      <c r="CS23" s="12">
        <f t="array" ref="CS23">INDEX(CR:CR,MIN(IF(ISNUMBER(CR23:CR219),ROW(CR23:CR219),"")))</f>
        <v>16.2</v>
      </c>
      <c r="CT23" s="12">
        <f>IF('Données projet'!$A$140&gt;35,CT22+CS23-DB22,IF(A23&lt;'Données projet'!$A$140,$CQ$205^A23,IF(A23='Données projet'!$A$140,'Données projet'!$B$140,CT22+CS23-DB22)))</f>
        <v>123.00000000000001</v>
      </c>
      <c r="CU23" s="17">
        <f>CT23*VLOOKUP('Données projet'!$B$13,Paramètres!$A$1:$I$89,3,0)*VLOOKUP('Données projet'!$B$13,Paramètres!$A$1:$I$89,5,0)</f>
        <v>97.858800000000016</v>
      </c>
      <c r="CV23" s="13">
        <f t="shared" si="41"/>
        <v>26.45124536158788</v>
      </c>
      <c r="CW23" s="20">
        <f t="shared" si="13"/>
        <v>216.50666233809889</v>
      </c>
      <c r="CX23" s="59">
        <f t="shared" si="14"/>
        <v>460.79782076140725</v>
      </c>
      <c r="CY23" s="59">
        <f ca="1">AVERAGE(OFFSET($CX$3,0,0,'Données projet'!$E$13+1,1))-AVERAGE(OFFSET($H$3,0,0,'Données projet'!$E$13+1,1))</f>
        <v>284.31574332240928</v>
      </c>
      <c r="CZ23" s="59">
        <f t="shared" si="42"/>
        <v>403.96994631683913</v>
      </c>
      <c r="DA23" s="15">
        <f>IF(ISNA(VLOOKUP(A23,'Données projet'!$A$139:$I$159,3,0)),0,VLOOKUP(A23,'Données projet'!$A$139:$I$159,3,0))</f>
        <v>3</v>
      </c>
      <c r="DB23" s="15">
        <f>IF(ISNA(VLOOKUP(A23,'Données projet'!$A$139:$I$159,4,0)),0,VLOOKUP(A23,'Données projet'!$A$139:$I$159,4,0))</f>
        <v>81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59.958194721508335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14.25</v>
      </c>
      <c r="DO23" s="12">
        <f>IF('Données projet'!$A$166&gt;35,DO22+DN23-DW22,IF(A23&lt;'Données projet'!$A$166,$DL$205^A23,IF(A23='Données projet'!$A$166,'Données projet'!$B$166,DO22+DN23-DW22)))</f>
        <v>122.5</v>
      </c>
      <c r="DP23" s="17">
        <f>DO23*VLOOKUP('Données projet'!$B$14,Paramètres!$A$1:$I$89,3,0)*VLOOKUP('Données projet'!$B$14,Paramètres!$A$1:$I$89,5,0)</f>
        <v>89.816999999999993</v>
      </c>
      <c r="DQ23" s="13">
        <f t="shared" si="43"/>
        <v>24.521084573624954</v>
      </c>
      <c r="DR23" s="20">
        <f t="shared" si="16"/>
        <v>199.13883063239675</v>
      </c>
      <c r="DS23" s="59">
        <f t="shared" si="17"/>
        <v>443.42998905570511</v>
      </c>
      <c r="DT23" s="59">
        <f ca="1">AVERAGE(OFFSET($DS$3,0,0,'Données projet'!$E$14+1,1))-AVERAGE(OFFSET($H$3,0,0,'Données projet'!$E$14+1,1))</f>
        <v>190.9519472160006</v>
      </c>
      <c r="DU23" s="59">
        <f t="shared" si="44"/>
        <v>170.61553500287511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59.958194721508335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56</v>
      </c>
      <c r="EH23" s="12">
        <f>VLOOKUP(A23,'Données projet'!$A$191:$I$211,9,0)</f>
        <v>2.8</v>
      </c>
      <c r="EI23" s="12">
        <f t="array" ref="EI23">INDEX(EH:EH,MIN(IF(ISNUMBER(EH23:EH219),ROW(EH23:EH219),"")))</f>
        <v>2.8</v>
      </c>
      <c r="EJ23" s="12">
        <f>IF('Données projet'!$A$192&gt;35,EJ22+EI23-ER22,IF(A23&lt;'Données projet'!$A$192,$EG$205^A23,IF(A23='Données projet'!$A$192,'Données projet'!$B$192,EJ22+EI23-ER22)))</f>
        <v>56</v>
      </c>
      <c r="EK23" s="17">
        <f>EJ23*VLOOKUP('Données projet'!$B$15,Paramètres!$A$1:$I$89,3,0)*VLOOKUP('Données projet'!$B$15,Paramètres!$A$1:$I$89,5,0)</f>
        <v>48.048000000000009</v>
      </c>
      <c r="EL23" s="13">
        <f t="shared" si="45"/>
        <v>14.108484750160622</v>
      </c>
      <c r="EM23" s="20">
        <f t="shared" si="19"/>
        <v>108.25587760652975</v>
      </c>
      <c r="EN23" s="59">
        <f t="shared" si="20"/>
        <v>352.54703602983813</v>
      </c>
      <c r="EO23" s="59">
        <f ca="1">AVERAGE(OFFSET($EN$3,0,0,'Données projet'!$E$15+1,1))-AVERAGE(OFFSET($H$3,0,0,'Données projet'!$E$15+1,1))</f>
        <v>331.94255128154623</v>
      </c>
      <c r="EP23" s="59">
        <f t="shared" si="46"/>
        <v>258.40809812013964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56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59.958194721508335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56</v>
      </c>
      <c r="FC23" s="12">
        <f>VLOOKUP(A23,'Données projet'!$A$217:$I$237,9,0)</f>
        <v>2.8</v>
      </c>
      <c r="FD23" s="12">
        <f t="array" ref="FD23">INDEX(FC:FC,MIN(IF(ISNUMBER(FC23:FC219),ROW(FC23:FC219),"")))</f>
        <v>2.8</v>
      </c>
      <c r="FE23" s="12">
        <f>IF('Données projet'!$A$218&gt;35,FE22+FD23-FM22,IF(A23&lt;'Données projet'!$A$218,$FB$205^A23,IF(A23='Données projet'!$A$218,'Données projet'!$B$218,FE22+FD23-FM22)))</f>
        <v>56</v>
      </c>
      <c r="FF23" s="17">
        <f>FE23*VLOOKUP('Données projet'!$B$16,Paramètres!$A$1:$I$89,3,0)*VLOOKUP('Données projet'!$B$16,Paramètres!$A$1:$I$89,5,0)</f>
        <v>53.289599999999993</v>
      </c>
      <c r="FG23" s="13">
        <f t="shared" si="47"/>
        <v>15.460137169232418</v>
      </c>
      <c r="FH23" s="20">
        <f t="shared" si="22"/>
        <v>119.73912556974646</v>
      </c>
      <c r="FI23" s="59">
        <f t="shared" si="23"/>
        <v>364.03028399305481</v>
      </c>
      <c r="FJ23" s="59">
        <f ca="1">AVERAGE(OFFSET($FI$3,0,0,'Données projet'!$E$16+1,1))-AVERAGE(OFFSET($H$3,0,0,'Données projet'!$E$16+1,1))</f>
        <v>290.72311302449236</v>
      </c>
      <c r="FK23" s="59">
        <f t="shared" si="48"/>
        <v>352.32552988394434</v>
      </c>
      <c r="FL23" s="15">
        <f>IF(ISNA(VLOOKUP(A23,'Données projet'!$A$217:$I$237,3,0)),0,VLOOKUP(A23,'Données projet'!$A$217:$I$237,3,0))</f>
        <v>1</v>
      </c>
      <c r="FM23" s="15">
        <f>IF(ISNA(VLOOKUP(A23,'Données projet'!$A$217:$I$237,4,0)),0,VLOOKUP(A23,'Données projet'!$A$217:$I$237,4,0))</f>
        <v>56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59.958194721508335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52</v>
      </c>
      <c r="FX23" s="12">
        <f>VLOOKUP(A23,'Données projet'!$A$243:$I$263,9,0)</f>
        <v>10</v>
      </c>
      <c r="FY23" s="12">
        <f t="array" ref="FY23">INDEX(FX:FX,MIN(IF(ISNUMBER(FX23:FX219),ROW(FX23:FX219),"")))</f>
        <v>10</v>
      </c>
      <c r="FZ23" s="12">
        <f>IF('Données projet'!$A$244&gt;35,FZ22+FY23-GH22,IF(A23&lt;'Données projet'!$A$244,$FW$205^A23,IF(A23='Données projet'!$A$244,'Données projet'!$B$244,FZ22+FY23-GH22)))</f>
        <v>52</v>
      </c>
      <c r="GA23" s="17">
        <f>FZ23*VLOOKUP('Données projet'!$B$17,Paramètres!$A$1:$I$89,3,0)*VLOOKUP('Données projet'!$B$17,Paramètres!$A$1:$I$89,5,0)</f>
        <v>34.070399999999999</v>
      </c>
      <c r="GB23" s="13">
        <f t="shared" si="49"/>
        <v>10.412633617059315</v>
      </c>
      <c r="GC23" s="20">
        <f t="shared" si="25"/>
        <v>77.474616883044959</v>
      </c>
      <c r="GD23" s="59">
        <f t="shared" si="26"/>
        <v>321.76577530635331</v>
      </c>
      <c r="GE23" s="59">
        <f ca="1">AVERAGE(OFFSET($GD$3,0,0,'Données projet'!$E$17+1,1))-AVERAGE(OFFSET($H$3,0,0,'Données projet'!$E$17+1,1))</f>
        <v>123.03972959251965</v>
      </c>
      <c r="GF23" s="59">
        <f t="shared" si="50"/>
        <v>178.27657680839445</v>
      </c>
      <c r="GG23" s="15">
        <f>IF(ISNA(VLOOKUP(A23,'Données projet'!$A$243:$I$263,3,0)),0,VLOOKUP(A23,'Données projet'!$A$243:$I$263,3,0))</f>
        <v>2</v>
      </c>
      <c r="GH23" s="15">
        <f>IF(ISNA(VLOOKUP(A23,'Données projet'!$A$243:$I$263,4,0)),0,VLOOKUP(A23,'Données projet'!$A$243:$I$263,4,0))</f>
        <v>47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0.215</v>
      </c>
      <c r="GK23" s="16">
        <f>IF(ISNA(VLOOKUP(A23,'Données projet'!$A$243:$I$263,7,0)),0%,VLOOKUP(A23,'Données projet'!$A$243:$I$263,7,0))</f>
        <v>0.25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9.8559039007646234</v>
      </c>
      <c r="GN23" s="21">
        <f>EXP(-LN(2)/2)*GN22+(1-EXP(-LN(2)/2))/(LN(2)/2)*GH23*GK23*VLOOKUP('Données projet'!$B$17,Paramètres!$A$1:$I$89,3,0)*0.475*44/12</f>
        <v>8.3020262011880028</v>
      </c>
      <c r="GO23" s="21">
        <f t="shared" si="27"/>
        <v>18.157930101952626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59.958194721508335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13.04</v>
      </c>
      <c r="GU23" s="12">
        <f>IF('Données projet'!$A$270&gt;35,GU22+GT23-HC22,IF(A23&lt;'Données projet'!$A$270,$GR$205^A23,IF(A23='Données projet'!$A$270,'Données projet'!$B$270,GU22+GT23-HC22)))</f>
        <v>260.7999999999999</v>
      </c>
      <c r="GV23" s="17">
        <f>GU23*VLOOKUP('Données projet'!$B$18,Paramètres!$A$1:$I$89,3,0)*VLOOKUP('Données projet'!$B$18,Paramètres!$A$1:$I$89,5,0)</f>
        <v>174.94463999999994</v>
      </c>
      <c r="GW23" s="13">
        <f t="shared" si="51"/>
        <v>44.195603764209977</v>
      </c>
      <c r="GX23" s="20">
        <f t="shared" si="28"/>
        <v>381.66925788933219</v>
      </c>
      <c r="GY23" s="59">
        <f t="shared" si="29"/>
        <v>625.96041631264052</v>
      </c>
      <c r="GZ23" s="59">
        <f ca="1">AVERAGE(OFFSET($GY$3,0,0,'Données projet'!$E$18+1,1))-AVERAGE(OFFSET($H$3,0,0,'Données projet'!$E$18+1,1))</f>
        <v>542.25674729323623</v>
      </c>
      <c r="HA23" s="59">
        <f t="shared" si="52"/>
        <v>614.73906555680685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2.8499999999999996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10.449999999999998</v>
      </c>
      <c r="H24" s="67">
        <f t="shared" si="1"/>
        <v>214.86666666666667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60.13239759297683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10.4</v>
      </c>
      <c r="N24" s="13">
        <f>IF('Données projet'!$A$36&gt;35,N23+M24-V23,IF(A24&lt;'Données projet'!$A$36,$K$205^A24,IF(A24='Données projet'!$A$36,'Données projet'!$B$36,N23+M24-V23)))</f>
        <v>218.4</v>
      </c>
      <c r="O24" s="13">
        <f>N24*VLOOKUP('Données projet'!$B$9,Paramètres!$A$1:$I$89,3,0)*VLOOKUP('Données projet'!$B$9,Paramètres!$A$1:$I$89,5,0)</f>
        <v>190.79424000000003</v>
      </c>
      <c r="P24" s="13">
        <f t="shared" si="33"/>
        <v>47.715505384501149</v>
      </c>
      <c r="Q24" s="20">
        <f t="shared" si="2"/>
        <v>415.40447321133951</v>
      </c>
      <c r="R24" s="59">
        <f t="shared" si="0"/>
        <v>661.55659771892124</v>
      </c>
      <c r="S24" s="59">
        <f ca="1">AVERAGE(OFFSET($R$3,0,0,'Données projet'!$E$9+1,1))-AVERAGE(OFFSET($H$3,0,0,'Données projet'!$E$9+1,1))</f>
        <v>686.80970545599644</v>
      </c>
      <c r="T24" s="59">
        <f t="shared" si="34"/>
        <v>636.16485232937737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60.13239759297683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3.6388888888888888</v>
      </c>
      <c r="AI24" s="13">
        <f>IF('Données projet'!$A$62&gt;35,AI23+AH24-AQ23,IF(A24&lt;'Données projet'!$A$62,$AF$205^A24,IF(A24='Données projet'!$A$62,'Données projet'!$B$62,AI23+AH24-AQ23)))</f>
        <v>76.416666666666629</v>
      </c>
      <c r="AJ24" s="13">
        <f>AI24*VLOOKUP('Données projet'!$B$10,Paramètres!$A$1:$I$89,3,0)*VLOOKUP('Données projet'!$B$10,Paramètres!$A$1:$I$89,5,0)</f>
        <v>69.141799999999961</v>
      </c>
      <c r="AK24" s="13">
        <f t="shared" si="35"/>
        <v>19.460183497410007</v>
      </c>
      <c r="AL24" s="20">
        <f t="shared" si="4"/>
        <v>154.31512125798903</v>
      </c>
      <c r="AM24" s="59">
        <f t="shared" si="5"/>
        <v>400.46724576557074</v>
      </c>
      <c r="AN24" s="59">
        <f ca="1">AVERAGE(OFFSET($AM$3,0,0,'Données projet'!$E$10+1,1))-AVERAGE(OFFSET($H$3,0,0,'Données projet'!$E$10+1,1))</f>
        <v>323.67375363913726</v>
      </c>
      <c r="AO24" s="59">
        <f t="shared" si="36"/>
        <v>266.03902815735029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60.13239759297683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25.8</v>
      </c>
      <c r="BD24" s="12">
        <f>IF('Données projet'!$A$88&gt;35,BD23+BC24-BL23,IF(A24&lt;'Données projet'!$A$88,$BA$205^A24,IF(A24='Données projet'!$A$88,'Données projet'!$B$88,BD23+BC24-BL23)))</f>
        <v>265.8</v>
      </c>
      <c r="BE24" s="13">
        <f>BD24*VLOOKUP('Données projet'!$B$11,Paramètres!$A$1:$I$89,3,0)*VLOOKUP('Données projet'!$B$11,Paramètres!$A$1:$I$89,5,0)</f>
        <v>148.5822</v>
      </c>
      <c r="BF24" s="13">
        <f t="shared" si="37"/>
        <v>38.256207612337192</v>
      </c>
      <c r="BG24" s="20">
        <f t="shared" si="7"/>
        <v>325.41022659148729</v>
      </c>
      <c r="BH24" s="59">
        <f t="shared" si="8"/>
        <v>571.56235109906902</v>
      </c>
      <c r="BI24" s="59">
        <f ca="1">AVERAGE(OFFSET($BH$3,0,0,'Données projet'!$E$11+1,1))-AVERAGE(OFFSET($H$3,0,0,'Données projet'!$E$11+1,1))</f>
        <v>371.46495716091965</v>
      </c>
      <c r="BJ24" s="59">
        <f t="shared" si="38"/>
        <v>579.95059529269417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10.239505744606845</v>
      </c>
      <c r="BQ24" s="21">
        <f>EXP(-LN(2)/25)*BQ23+(1-EXP(-LN(2)/25))/(LN(2)/25)*Calculateur!BL24*Calculateur!BN24*VLOOKUP('Données projet'!$B$11,Paramètres!$A$1:$I$89,3,0)*0.475*44/12</f>
        <v>8.2238494151586021</v>
      </c>
      <c r="BR24" s="21">
        <f>EXP(-LN(2)/2)*BR23+(1-EXP(-LN(2)/2))/(LN(2)/2)*BL24*BO24*VLOOKUP('Données projet'!$B$11,Paramètres!$A$1:$I$89,3,0)*0.475*44/12</f>
        <v>6.9278818367884885</v>
      </c>
      <c r="BS24" s="22">
        <f t="shared" si="9"/>
        <v>25.391236996553936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60.13239759297683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27.6</v>
      </c>
      <c r="BY24" s="12">
        <f>IF('Données projet'!$A$114&gt;35,BY23+BX24-CG23,IF(A24&lt;'Données projet'!$A$114,$BV$205^A24,IF(A24='Données projet'!$A$114,'Données projet'!$B$114,BY23+BX24-CG23)))</f>
        <v>69.600000000000023</v>
      </c>
      <c r="BZ24" s="13">
        <f>BY24*VLOOKUP('Données projet'!$B$12,Paramètres!$A$1:$I$89,3,0)*VLOOKUP('Données projet'!$B$12,Paramètres!$A$1:$I$89,5,0)</f>
        <v>43.430400000000013</v>
      </c>
      <c r="CA24" s="13">
        <f t="shared" si="39"/>
        <v>12.903475229013626</v>
      </c>
      <c r="CB24" s="20">
        <f t="shared" si="10"/>
        <v>98.114832690532083</v>
      </c>
      <c r="CC24" s="59">
        <f t="shared" si="11"/>
        <v>344.2669571981138</v>
      </c>
      <c r="CD24" s="59">
        <f ca="1">AVERAGE(OFFSET($CC$3,0,0,'Données projet'!$E$12+1,1))-AVERAGE(OFFSET($H$3,0,0,'Données projet'!$E$12+1,1))</f>
        <v>180.18752244216969</v>
      </c>
      <c r="CE24" s="59">
        <f t="shared" si="40"/>
        <v>350.12096474554676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54.277025279569138</v>
      </c>
      <c r="CM24" s="21">
        <f>EXP(-LN(2)/2)*CM23+(1-EXP(-LN(2)/2))/(LN(2)/2)*CG24*CJ24*VLOOKUP('Données projet'!$B$12,Paramètres!$A$1:$I$89,3,0)*0.475*44/12</f>
        <v>18.619190845721963</v>
      </c>
      <c r="CN24" s="22">
        <f t="shared" si="12"/>
        <v>72.896216125291105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60.13239759297683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24.6</v>
      </c>
      <c r="CT24" s="12">
        <f>IF('Données projet'!$A$140&gt;35,CT23+CS24-DB23,IF(A24&lt;'Données projet'!$A$140,$CQ$205^A24,IF(A24='Données projet'!$A$140,'Données projet'!$B$140,CT23+CS24-DB23)))</f>
        <v>66.600000000000023</v>
      </c>
      <c r="CU24" s="17">
        <f>CT24*VLOOKUP('Données projet'!$B$13,Paramètres!$A$1:$I$89,3,0)*VLOOKUP('Données projet'!$B$13,Paramètres!$A$1:$I$89,5,0)</f>
        <v>52.986960000000025</v>
      </c>
      <c r="CV24" s="13">
        <f t="shared" si="41"/>
        <v>15.382530911013927</v>
      </c>
      <c r="CW24" s="20">
        <f t="shared" si="13"/>
        <v>119.07686333668265</v>
      </c>
      <c r="CX24" s="59">
        <f t="shared" si="14"/>
        <v>365.22898784426434</v>
      </c>
      <c r="CY24" s="59">
        <f ca="1">AVERAGE(OFFSET($CX$3,0,0,'Données projet'!$E$13+1,1))-AVERAGE(OFFSET($H$3,0,0,'Données projet'!$E$13+1,1))</f>
        <v>284.31574332240928</v>
      </c>
      <c r="CZ24" s="59">
        <f t="shared" si="42"/>
        <v>403.96994631683913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60.13239759297683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14.25</v>
      </c>
      <c r="DO24" s="12">
        <f>IF('Données projet'!$A$166&gt;35,DO23+DN24-DW23,IF(A24&lt;'Données projet'!$A$166,$DL$205^A24,IF(A24='Données projet'!$A$166,'Données projet'!$B$166,DO23+DN24-DW23)))</f>
        <v>136.75</v>
      </c>
      <c r="DP24" s="17">
        <f>DO24*VLOOKUP('Données projet'!$B$14,Paramètres!$A$1:$I$89,3,0)*VLOOKUP('Données projet'!$B$14,Paramètres!$A$1:$I$89,5,0)</f>
        <v>100.26509999999999</v>
      </c>
      <c r="DQ24" s="13">
        <f t="shared" si="43"/>
        <v>27.025144233020647</v>
      </c>
      <c r="DR24" s="20">
        <f t="shared" si="16"/>
        <v>221.69717537251097</v>
      </c>
      <c r="DS24" s="59">
        <f t="shared" si="17"/>
        <v>467.84929988009264</v>
      </c>
      <c r="DT24" s="59">
        <f ca="1">AVERAGE(OFFSET($DS$3,0,0,'Données projet'!$E$14+1,1))-AVERAGE(OFFSET($H$3,0,0,'Données projet'!$E$14+1,1))</f>
        <v>190.9519472160006</v>
      </c>
      <c r="DU24" s="59">
        <f t="shared" si="44"/>
        <v>170.61553500287511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60.13239759297683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17</v>
      </c>
      <c r="EJ24" s="12">
        <f>IF('Données projet'!$A$192&gt;35,EJ23+EI24-ER23,IF(A24&lt;'Données projet'!$A$192,$EG$205^A24,IF(A24='Données projet'!$A$192,'Données projet'!$B$192,EJ23+EI24-ER23)))</f>
        <v>17</v>
      </c>
      <c r="EK24" s="17">
        <f>EJ24*VLOOKUP('Données projet'!$B$15,Paramètres!$A$1:$I$89,3,0)*VLOOKUP('Données projet'!$B$15,Paramètres!$A$1:$I$89,5,0)</f>
        <v>14.586000000000002</v>
      </c>
      <c r="EL24" s="13">
        <f t="shared" si="45"/>
        <v>4.9204644605875449</v>
      </c>
      <c r="EM24" s="20">
        <f t="shared" si="19"/>
        <v>33.973758935523314</v>
      </c>
      <c r="EN24" s="59">
        <f t="shared" si="20"/>
        <v>280.12588344310501</v>
      </c>
      <c r="EO24" s="59">
        <f ca="1">AVERAGE(OFFSET($EN$3,0,0,'Données projet'!$E$15+1,1))-AVERAGE(OFFSET($H$3,0,0,'Données projet'!$E$15+1,1))</f>
        <v>331.94255128154623</v>
      </c>
      <c r="EP24" s="59">
        <f t="shared" si="46"/>
        <v>258.40809812013964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60.13239759297683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22.2</v>
      </c>
      <c r="FE24" s="12">
        <f>IF('Données projet'!$A$218&gt;35,FE23+FD24-FM23,IF(A24&lt;'Données projet'!$A$218,$FB$205^A24,IF(A24='Données projet'!$A$218,'Données projet'!$B$218,FE23+FD24-FM23)))</f>
        <v>22.200000000000003</v>
      </c>
      <c r="FF24" s="17">
        <f>FE24*VLOOKUP('Données projet'!$B$16,Paramètres!$A$1:$I$89,3,0)*VLOOKUP('Données projet'!$B$16,Paramètres!$A$1:$I$89,5,0)</f>
        <v>21.125520000000002</v>
      </c>
      <c r="FG24" s="13">
        <f t="shared" si="47"/>
        <v>6.825773774268197</v>
      </c>
      <c r="FH24" s="20">
        <f t="shared" si="22"/>
        <v>48.681836656850436</v>
      </c>
      <c r="FI24" s="59">
        <f t="shared" si="23"/>
        <v>294.83396116443214</v>
      </c>
      <c r="FJ24" s="59">
        <f ca="1">AVERAGE(OFFSET($FI$3,0,0,'Données projet'!$E$16+1,1))-AVERAGE(OFFSET($H$3,0,0,'Données projet'!$E$16+1,1))</f>
        <v>290.72311302449236</v>
      </c>
      <c r="FK24" s="59">
        <f t="shared" si="48"/>
        <v>352.32552988394434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60.13239759297683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13.8</v>
      </c>
      <c r="FZ24" s="12">
        <f>IF('Données projet'!$A$244&gt;35,FZ23+FY24-GH23,IF(A24&lt;'Données projet'!$A$244,$FW$205^A24,IF(A24='Données projet'!$A$244,'Données projet'!$B$244,FZ23+FY24-GH23)))</f>
        <v>18.799999999999997</v>
      </c>
      <c r="GA24" s="17">
        <f>FZ24*VLOOKUP('Données projet'!$B$17,Paramètres!$A$1:$I$89,3,0)*VLOOKUP('Données projet'!$B$17,Paramètres!$A$1:$I$89,5,0)</f>
        <v>12.317759999999998</v>
      </c>
      <c r="GB24" s="13">
        <f t="shared" si="49"/>
        <v>4.2378531998483355</v>
      </c>
      <c r="GC24" s="20">
        <f t="shared" si="25"/>
        <v>28.834359656402516</v>
      </c>
      <c r="GD24" s="59">
        <f t="shared" si="26"/>
        <v>274.98648416398424</v>
      </c>
      <c r="GE24" s="59">
        <f ca="1">AVERAGE(OFFSET($GD$3,0,0,'Données projet'!$E$17+1,1))-AVERAGE(OFFSET($H$3,0,0,'Données projet'!$E$17+1,1))</f>
        <v>123.03972959251965</v>
      </c>
      <c r="GF24" s="59">
        <f t="shared" si="50"/>
        <v>178.27657680839445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9.5863936902987543</v>
      </c>
      <c r="GN24" s="21">
        <f>EXP(-LN(2)/2)*GN23+(1-EXP(-LN(2)/2))/(LN(2)/2)*GH24*GK24*VLOOKUP('Données projet'!$B$17,Paramètres!$A$1:$I$89,3,0)*0.475*44/12</f>
        <v>5.87041902444843</v>
      </c>
      <c r="GO24" s="21">
        <f t="shared" si="27"/>
        <v>15.456812714747183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60.13239759297683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13.04</v>
      </c>
      <c r="GU24" s="12">
        <f>IF('Données projet'!$A$270&gt;35,GU23+GT24-HC23,IF(A24&lt;'Données projet'!$A$270,$GR$205^A24,IF(A24='Données projet'!$A$270,'Données projet'!$B$270,GU23+GT24-HC23)))</f>
        <v>273.83999999999992</v>
      </c>
      <c r="GV24" s="17">
        <f>GU24*VLOOKUP('Données projet'!$B$18,Paramètres!$A$1:$I$89,3,0)*VLOOKUP('Données projet'!$B$18,Paramètres!$A$1:$I$89,5,0)</f>
        <v>183.69187199999996</v>
      </c>
      <c r="GW24" s="13">
        <f t="shared" si="51"/>
        <v>46.142586593383385</v>
      </c>
      <c r="GX24" s="20">
        <f t="shared" si="28"/>
        <v>400.29501538347603</v>
      </c>
      <c r="GY24" s="59">
        <f t="shared" si="29"/>
        <v>646.44713989105776</v>
      </c>
      <c r="GZ24" s="59">
        <f ca="1">AVERAGE(OFFSET($GY$3,0,0,'Données projet'!$E$18+1,1))-AVERAGE(OFFSET($H$3,0,0,'Données projet'!$E$18+1,1))</f>
        <v>542.25674729323623</v>
      </c>
      <c r="HA24" s="59">
        <f t="shared" si="52"/>
        <v>614.73906555680685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2.8499999999999996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10.449999999999998</v>
      </c>
      <c r="H25" s="67">
        <f t="shared" si="1"/>
        <v>214.86666666666667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60.303578434084621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10.4</v>
      </c>
      <c r="N25" s="13">
        <f>IF('Données projet'!$A$36&gt;35,N24+M25-V24,IF(A25&lt;'Données projet'!$A$36,$K$205^A25,IF(A25='Données projet'!$A$36,'Données projet'!$B$36,N24+M25-V24)))</f>
        <v>228.8</v>
      </c>
      <c r="O25" s="13">
        <f>N25*VLOOKUP('Données projet'!$B$9,Paramètres!$A$1:$I$89,3,0)*VLOOKUP('Données projet'!$B$9,Paramètres!$A$1:$I$89,5,0)</f>
        <v>199.87968000000004</v>
      </c>
      <c r="P25" s="13">
        <f t="shared" si="33"/>
        <v>49.717724105058785</v>
      </c>
      <c r="Q25" s="20">
        <f t="shared" si="2"/>
        <v>434.71547881631074</v>
      </c>
      <c r="R25" s="59">
        <f t="shared" si="0"/>
        <v>682.7174886301766</v>
      </c>
      <c r="S25" s="59">
        <f ca="1">AVERAGE(OFFSET($R$3,0,0,'Données projet'!$E$9+1,1))-AVERAGE(OFFSET($H$3,0,0,'Données projet'!$E$9+1,1))</f>
        <v>686.80970545599644</v>
      </c>
      <c r="T25" s="59">
        <f t="shared" si="34"/>
        <v>636.16485232937737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60.303578434084621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3.6388888888888888</v>
      </c>
      <c r="AI25" s="13">
        <f>IF('Données projet'!$A$62&gt;35,AI24+AH25-AQ24,IF(A25&lt;'Données projet'!$A$62,$AF$205^A25,IF(A25='Données projet'!$A$62,'Données projet'!$B$62,AI24+AH25-AQ24)))</f>
        <v>80.055555555555515</v>
      </c>
      <c r="AJ25" s="13">
        <f>AI25*VLOOKUP('Données projet'!$B$10,Paramètres!$A$1:$I$89,3,0)*VLOOKUP('Données projet'!$B$10,Paramètres!$A$1:$I$89,5,0)</f>
        <v>72.43426666666663</v>
      </c>
      <c r="AK25" s="13">
        <f t="shared" si="35"/>
        <v>20.276763839376951</v>
      </c>
      <c r="AL25" s="20">
        <f t="shared" si="4"/>
        <v>161.47171146469259</v>
      </c>
      <c r="AM25" s="59">
        <f t="shared" si="5"/>
        <v>409.4737212785584</v>
      </c>
      <c r="AN25" s="59">
        <f ca="1">AVERAGE(OFFSET($AM$3,0,0,'Données projet'!$E$10+1,1))-AVERAGE(OFFSET($H$3,0,0,'Données projet'!$E$10+1,1))</f>
        <v>323.67375363913726</v>
      </c>
      <c r="AO25" s="59">
        <f t="shared" si="36"/>
        <v>266.03902815735029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60.303578434084621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25.8</v>
      </c>
      <c r="BD25" s="12">
        <f>IF('Données projet'!$A$88&gt;35,BD24+BC25-BL24,IF(A25&lt;'Données projet'!$A$88,$BA$205^A25,IF(A25='Données projet'!$A$88,'Données projet'!$B$88,BD24+BC25-BL24)))</f>
        <v>291.60000000000002</v>
      </c>
      <c r="BE25" s="13">
        <f>BD25*VLOOKUP('Données projet'!$B$11,Paramètres!$A$1:$I$89,3,0)*VLOOKUP('Données projet'!$B$11,Paramètres!$A$1:$I$89,5,0)</f>
        <v>163.0044</v>
      </c>
      <c r="BF25" s="13">
        <f t="shared" si="37"/>
        <v>41.519430766049162</v>
      </c>
      <c r="BG25" s="20">
        <f t="shared" si="7"/>
        <v>356.21233858420231</v>
      </c>
      <c r="BH25" s="59">
        <f t="shared" si="8"/>
        <v>604.21434839806818</v>
      </c>
      <c r="BI25" s="59">
        <f ca="1">AVERAGE(OFFSET($BH$3,0,0,'Données projet'!$E$11+1,1))-AVERAGE(OFFSET($H$3,0,0,'Données projet'!$E$11+1,1))</f>
        <v>371.46495716091965</v>
      </c>
      <c r="BJ25" s="59">
        <f t="shared" si="38"/>
        <v>579.95059529269417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10.038715282436918</v>
      </c>
      <c r="BQ25" s="21">
        <f>EXP(-LN(2)/25)*BQ24+(1-EXP(-LN(2)/25))/(LN(2)/25)*Calculateur!BL25*Calculateur!BN25*VLOOKUP('Données projet'!$B$11,Paramètres!$A$1:$I$89,3,0)*0.475*44/12</f>
        <v>7.9989678204276453</v>
      </c>
      <c r="BR25" s="21">
        <f>EXP(-LN(2)/2)*BR24+(1-EXP(-LN(2)/2))/(LN(2)/2)*BL25*BO25*VLOOKUP('Données projet'!$B$11,Paramètres!$A$1:$I$89,3,0)*0.475*44/12</f>
        <v>4.8987522260522551</v>
      </c>
      <c r="BS25" s="22">
        <f t="shared" si="9"/>
        <v>22.936435328916819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60.303578434084621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27.6</v>
      </c>
      <c r="BY25" s="12">
        <f>IF('Données projet'!$A$114&gt;35,BY24+BX25-CG24,IF(A25&lt;'Données projet'!$A$114,$BV$205^A25,IF(A25='Données projet'!$A$114,'Données projet'!$B$114,BY24+BX25-CG24)))</f>
        <v>97.200000000000017</v>
      </c>
      <c r="BZ25" s="13">
        <f>BY25*VLOOKUP('Données projet'!$B$12,Paramètres!$A$1:$I$89,3,0)*VLOOKUP('Données projet'!$B$12,Paramètres!$A$1:$I$89,5,0)</f>
        <v>60.652800000000006</v>
      </c>
      <c r="CA25" s="13">
        <f t="shared" si="39"/>
        <v>17.333213243579969</v>
      </c>
      <c r="CB25" s="20">
        <f t="shared" si="10"/>
        <v>135.82563973256845</v>
      </c>
      <c r="CC25" s="59">
        <f t="shared" si="11"/>
        <v>383.82764954643426</v>
      </c>
      <c r="CD25" s="59">
        <f ca="1">AVERAGE(OFFSET($CC$3,0,0,'Données projet'!$E$12+1,1))-AVERAGE(OFFSET($H$3,0,0,'Données projet'!$E$12+1,1))</f>
        <v>180.18752244216969</v>
      </c>
      <c r="CE25" s="59">
        <f t="shared" si="40"/>
        <v>350.12096474554676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52.79281716899461</v>
      </c>
      <c r="CM25" s="21">
        <f>EXP(-LN(2)/2)*CM24+(1-EXP(-LN(2)/2))/(LN(2)/2)*CG25*CJ25*VLOOKUP('Données projet'!$B$12,Paramètres!$A$1:$I$89,3,0)*0.475*44/12</f>
        <v>13.16575610721649</v>
      </c>
      <c r="CN25" s="22">
        <f t="shared" si="12"/>
        <v>65.958573276211098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60.303578434084621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24.6</v>
      </c>
      <c r="CT25" s="12">
        <f>IF('Données projet'!$A$140&gt;35,CT24+CS25-DB24,IF(A25&lt;'Données projet'!$A$140,$CQ$205^A25,IF(A25='Données projet'!$A$140,'Données projet'!$B$140,CT24+CS25-DB24)))</f>
        <v>91.200000000000017</v>
      </c>
      <c r="CU25" s="17">
        <f>CT25*VLOOKUP('Données projet'!$B$13,Paramètres!$A$1:$I$89,3,0)*VLOOKUP('Données projet'!$B$13,Paramètres!$A$1:$I$89,5,0)</f>
        <v>72.558720000000008</v>
      </c>
      <c r="CV25" s="13">
        <f t="shared" si="41"/>
        <v>20.307544179418805</v>
      </c>
      <c r="CW25" s="20">
        <f t="shared" si="13"/>
        <v>161.74207677915442</v>
      </c>
      <c r="CX25" s="59">
        <f t="shared" si="14"/>
        <v>409.74408659302026</v>
      </c>
      <c r="CY25" s="59">
        <f ca="1">AVERAGE(OFFSET($CX$3,0,0,'Données projet'!$E$13+1,1))-AVERAGE(OFFSET($H$3,0,0,'Données projet'!$E$13+1,1))</f>
        <v>284.31574332240928</v>
      </c>
      <c r="CZ25" s="59">
        <f t="shared" si="42"/>
        <v>403.96994631683913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60.303578434084621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>
        <f>VLOOKUP(A25,'Données projet'!$A$165:$I$185,2,0)</f>
        <v>151</v>
      </c>
      <c r="DM25" s="12">
        <f>VLOOKUP(A25,'Données projet'!$A$165:$I$185,9,0)</f>
        <v>14.25</v>
      </c>
      <c r="DN25" s="12">
        <f t="array" ref="DN25">INDEX(DM:DM,MIN(IF(ISNUMBER(DM25:DM221),ROW(DM25:DM221),"")))</f>
        <v>14.25</v>
      </c>
      <c r="DO25" s="12">
        <f>IF('Données projet'!$A$166&gt;35,DO24+DN25-DW24,IF(A25&lt;'Données projet'!$A$166,$DL$205^A25,IF(A25='Données projet'!$A$166,'Données projet'!$B$166,DO24+DN25-DW24)))</f>
        <v>151</v>
      </c>
      <c r="DP25" s="17">
        <f>DO25*VLOOKUP('Données projet'!$B$14,Paramètres!$A$1:$I$89,3,0)*VLOOKUP('Données projet'!$B$14,Paramètres!$A$1:$I$89,5,0)</f>
        <v>110.7132</v>
      </c>
      <c r="DQ25" s="13">
        <f t="shared" si="43"/>
        <v>29.498956799987518</v>
      </c>
      <c r="DR25" s="20">
        <f t="shared" si="16"/>
        <v>244.20283975997827</v>
      </c>
      <c r="DS25" s="59">
        <f t="shared" si="17"/>
        <v>492.20484957384411</v>
      </c>
      <c r="DT25" s="59">
        <f ca="1">AVERAGE(OFFSET($DS$3,0,0,'Données projet'!$E$14+1,1))-AVERAGE(OFFSET($H$3,0,0,'Données projet'!$E$14+1,1))</f>
        <v>190.9519472160006</v>
      </c>
      <c r="DU25" s="59">
        <f t="shared" si="44"/>
        <v>170.61553500287511</v>
      </c>
      <c r="DV25" s="15">
        <f>IF(ISNA(VLOOKUP(A25,'Données projet'!$A$165:$I$185,3,0)),0,VLOOKUP(A25,'Données projet'!$A$165:$I$185,3,0))</f>
        <v>4</v>
      </c>
      <c r="DW25" s="15">
        <f>IF(ISNA(VLOOKUP(A25,'Données projet'!$A$165:$I$185,4,0)),0,VLOOKUP(A25,'Données projet'!$A$165:$I$185,4,0))</f>
        <v>97</v>
      </c>
      <c r="DX25" s="16">
        <f>IF(ISNA(VLOOKUP(A25,'Données projet'!$A$165:$I$185,5,0)),0%,VLOOKUP(A25,'Données projet'!$A$165:$I$185,5,0)*VLOOKUP('Données projet'!$B$14,Paramètres!$A$1:$I$89,7,0))</f>
        <v>0.25800000000000001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20.284345859778089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20.284345859778089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60.303578434084621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17</v>
      </c>
      <c r="EJ25" s="12">
        <f>IF('Données projet'!$A$192&gt;35,EJ24+EI25-ER24,IF(A25&lt;'Données projet'!$A$192,$EG$205^A25,IF(A25='Données projet'!$A$192,'Données projet'!$B$192,EJ24+EI25-ER24)))</f>
        <v>34</v>
      </c>
      <c r="EK25" s="17">
        <f>EJ25*VLOOKUP('Données projet'!$B$15,Paramètres!$A$1:$I$89,3,0)*VLOOKUP('Données projet'!$B$15,Paramètres!$A$1:$I$89,5,0)</f>
        <v>29.172000000000004</v>
      </c>
      <c r="EL25" s="13">
        <f t="shared" si="45"/>
        <v>9.0781259428318499</v>
      </c>
      <c r="EM25" s="20">
        <f t="shared" si="19"/>
        <v>66.618969350432153</v>
      </c>
      <c r="EN25" s="59">
        <f t="shared" si="20"/>
        <v>314.62097916429798</v>
      </c>
      <c r="EO25" s="59">
        <f ca="1">AVERAGE(OFFSET($EN$3,0,0,'Données projet'!$E$15+1,1))-AVERAGE(OFFSET($H$3,0,0,'Données projet'!$E$15+1,1))</f>
        <v>331.94255128154623</v>
      </c>
      <c r="EP25" s="59">
        <f t="shared" si="46"/>
        <v>258.40809812013964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60.303578434084621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22.2</v>
      </c>
      <c r="FE25" s="12">
        <f>IF('Données projet'!$A$218&gt;35,FE24+FD25-FM24,IF(A25&lt;'Données projet'!$A$218,$FB$205^A25,IF(A25='Données projet'!$A$218,'Données projet'!$B$218,FE24+FD25-FM24)))</f>
        <v>44.400000000000006</v>
      </c>
      <c r="FF25" s="17">
        <f>FE25*VLOOKUP('Données projet'!$B$16,Paramètres!$A$1:$I$89,3,0)*VLOOKUP('Données projet'!$B$16,Paramètres!$A$1:$I$89,5,0)</f>
        <v>42.251040000000003</v>
      </c>
      <c r="FG25" s="13">
        <f t="shared" si="47"/>
        <v>12.593370905616945</v>
      </c>
      <c r="FH25" s="20">
        <f t="shared" si="22"/>
        <v>95.520682327282842</v>
      </c>
      <c r="FI25" s="59">
        <f t="shared" si="23"/>
        <v>343.5226921411487</v>
      </c>
      <c r="FJ25" s="59">
        <f ca="1">AVERAGE(OFFSET($FI$3,0,0,'Données projet'!$E$16+1,1))-AVERAGE(OFFSET($H$3,0,0,'Données projet'!$E$16+1,1))</f>
        <v>290.72311302449236</v>
      </c>
      <c r="FK25" s="59">
        <f t="shared" si="48"/>
        <v>352.32552988394434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60.303578434084621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13.8</v>
      </c>
      <c r="FZ25" s="12">
        <f>IF('Données projet'!$A$244&gt;35,FZ24+FY25-GH24,IF(A25&lt;'Données projet'!$A$244,$FW$205^A25,IF(A25='Données projet'!$A$244,'Données projet'!$B$244,FZ24+FY25-GH24)))</f>
        <v>32.599999999999994</v>
      </c>
      <c r="GA25" s="17">
        <f>FZ25*VLOOKUP('Données projet'!$B$17,Paramètres!$A$1:$I$89,3,0)*VLOOKUP('Données projet'!$B$17,Paramètres!$A$1:$I$89,5,0)</f>
        <v>21.359519999999996</v>
      </c>
      <c r="GB25" s="13">
        <f t="shared" si="49"/>
        <v>6.892536972385793</v>
      </c>
      <c r="GC25" s="20">
        <f t="shared" si="25"/>
        <v>49.205665893571911</v>
      </c>
      <c r="GD25" s="59">
        <f t="shared" si="26"/>
        <v>297.20767570743777</v>
      </c>
      <c r="GE25" s="59">
        <f ca="1">AVERAGE(OFFSET($GD$3,0,0,'Données projet'!$E$17+1,1))-AVERAGE(OFFSET($H$3,0,0,'Données projet'!$E$17+1,1))</f>
        <v>123.03972959251965</v>
      </c>
      <c r="GF25" s="59">
        <f t="shared" si="50"/>
        <v>178.27657680839445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9.324253250711001</v>
      </c>
      <c r="GN25" s="21">
        <f>EXP(-LN(2)/2)*GN24+(1-EXP(-LN(2)/2))/(LN(2)/2)*GH25*GK25*VLOOKUP('Données projet'!$B$17,Paramètres!$A$1:$I$89,3,0)*0.475*44/12</f>
        <v>4.1510131005940023</v>
      </c>
      <c r="GO25" s="21">
        <f t="shared" si="27"/>
        <v>13.475266351305002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60.303578434084621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13.04</v>
      </c>
      <c r="GU25" s="12">
        <f>IF('Données projet'!$A$270&gt;35,GU24+GT25-HC24,IF(A25&lt;'Données projet'!$A$270,$GR$205^A25,IF(A25='Données projet'!$A$270,'Données projet'!$B$270,GU24+GT25-HC24)))</f>
        <v>286.87999999999994</v>
      </c>
      <c r="GV25" s="17">
        <f>GU25*VLOOKUP('Données projet'!$B$18,Paramètres!$A$1:$I$89,3,0)*VLOOKUP('Données projet'!$B$18,Paramètres!$A$1:$I$89,5,0)</f>
        <v>192.43910399999996</v>
      </c>
      <c r="GW25" s="13">
        <f t="shared" si="51"/>
        <v>48.078803132383534</v>
      </c>
      <c r="GX25" s="20">
        <f t="shared" si="28"/>
        <v>418.90202158890128</v>
      </c>
      <c r="GY25" s="59">
        <f t="shared" si="29"/>
        <v>666.90403140276715</v>
      </c>
      <c r="GZ25" s="59">
        <f ca="1">AVERAGE(OFFSET($GY$3,0,0,'Données projet'!$E$18+1,1))-AVERAGE(OFFSET($H$3,0,0,'Données projet'!$E$18+1,1))</f>
        <v>542.25674729323623</v>
      </c>
      <c r="HA25" s="59">
        <f t="shared" si="52"/>
        <v>614.73906555680685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2.8499999999999996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10.449999999999998</v>
      </c>
      <c r="H26" s="67">
        <f t="shared" si="1"/>
        <v>214.86666666666667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60.471789670302229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10.4</v>
      </c>
      <c r="N26" s="13">
        <f>IF('Données projet'!$A$36&gt;35,N25+M26-V25,IF(A26&lt;'Données projet'!$A$36,$K$205^A26,IF(A26='Données projet'!$A$36,'Données projet'!$B$36,N25+M26-V25)))</f>
        <v>239.20000000000002</v>
      </c>
      <c r="O26" s="13">
        <f>N26*VLOOKUP('Données projet'!$B$9,Paramètres!$A$1:$I$89,3,0)*VLOOKUP('Données projet'!$B$9,Paramètres!$A$1:$I$89,5,0)</f>
        <v>208.96512000000004</v>
      </c>
      <c r="P26" s="13">
        <f t="shared" si="33"/>
        <v>51.709373400619597</v>
      </c>
      <c r="Q26" s="20">
        <f t="shared" si="2"/>
        <v>454.00807600607919</v>
      </c>
      <c r="R26" s="59">
        <f t="shared" si="0"/>
        <v>703.84908257496522</v>
      </c>
      <c r="S26" s="59">
        <f ca="1">AVERAGE(OFFSET($R$3,0,0,'Données projet'!$E$9+1,1))-AVERAGE(OFFSET($H$3,0,0,'Données projet'!$E$9+1,1))</f>
        <v>686.80970545599644</v>
      </c>
      <c r="T26" s="59">
        <f t="shared" si="34"/>
        <v>636.16485232937737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60.471789670302229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3.6388888888888888</v>
      </c>
      <c r="AI26" s="13">
        <f>IF('Données projet'!$A$62&gt;35,AI25+AH26-AQ25,IF(A26&lt;'Données projet'!$A$62,$AF$205^A26,IF(A26='Données projet'!$A$62,'Données projet'!$B$62,AI25+AH26-AQ25)))</f>
        <v>83.6944444444444</v>
      </c>
      <c r="AJ26" s="13">
        <f>AI26*VLOOKUP('Données projet'!$B$10,Paramètres!$A$1:$I$89,3,0)*VLOOKUP('Données projet'!$B$10,Paramètres!$A$1:$I$89,5,0)</f>
        <v>75.7267333333333</v>
      </c>
      <c r="AK26" s="13">
        <f t="shared" si="35"/>
        <v>21.089033571024601</v>
      </c>
      <c r="AL26" s="20">
        <f t="shared" si="4"/>
        <v>168.62079402508999</v>
      </c>
      <c r="AM26" s="59">
        <f t="shared" si="5"/>
        <v>418.46180059397597</v>
      </c>
      <c r="AN26" s="59">
        <f ca="1">AVERAGE(OFFSET($AM$3,0,0,'Données projet'!$E$10+1,1))-AVERAGE(OFFSET($H$3,0,0,'Données projet'!$E$10+1,1))</f>
        <v>323.67375363913726</v>
      </c>
      <c r="AO26" s="59">
        <f t="shared" si="36"/>
        <v>266.03902815735029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60.471789670302229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25.8</v>
      </c>
      <c r="BD26" s="12">
        <f>IF('Données projet'!$A$88&gt;35,BD25+BC26-BL25,IF(A26&lt;'Données projet'!$A$88,$BA$205^A26,IF(A26='Données projet'!$A$88,'Données projet'!$B$88,BD25+BC26-BL25)))</f>
        <v>317.40000000000003</v>
      </c>
      <c r="BE26" s="13">
        <f>BD26*VLOOKUP('Données projet'!$B$11,Paramètres!$A$1:$I$89,3,0)*VLOOKUP('Données projet'!$B$11,Paramètres!$A$1:$I$89,5,0)</f>
        <v>177.42660000000001</v>
      </c>
      <c r="BF26" s="13">
        <f t="shared" si="37"/>
        <v>44.749173138651841</v>
      </c>
      <c r="BG26" s="20">
        <f t="shared" si="7"/>
        <v>386.95613821648527</v>
      </c>
      <c r="BH26" s="59">
        <f t="shared" si="8"/>
        <v>636.7971447853713</v>
      </c>
      <c r="BI26" s="59">
        <f ca="1">AVERAGE(OFFSET($BH$3,0,0,'Données projet'!$E$11+1,1))-AVERAGE(OFFSET($H$3,0,0,'Données projet'!$E$11+1,1))</f>
        <v>371.46495716091965</v>
      </c>
      <c r="BJ26" s="59">
        <f t="shared" si="38"/>
        <v>579.95059529269417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9.8418621987600545</v>
      </c>
      <c r="BQ26" s="21">
        <f>EXP(-LN(2)/25)*BQ25+(1-EXP(-LN(2)/25))/(LN(2)/25)*Calculateur!BL26*Calculateur!BN26*VLOOKUP('Données projet'!$B$11,Paramètres!$A$1:$I$89,3,0)*0.475*44/12</f>
        <v>7.7802356247306159</v>
      </c>
      <c r="BR26" s="21">
        <f>EXP(-LN(2)/2)*BR25+(1-EXP(-LN(2)/2))/(LN(2)/2)*BL26*BO26*VLOOKUP('Données projet'!$B$11,Paramètres!$A$1:$I$89,3,0)*0.475*44/12</f>
        <v>3.4639409183942447</v>
      </c>
      <c r="BS26" s="22">
        <f t="shared" si="9"/>
        <v>21.086038741884913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60.471789670302229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27.6</v>
      </c>
      <c r="BY26" s="12">
        <f>IF('Données projet'!$A$114&gt;35,BY25+BX26-CG25,IF(A26&lt;'Données projet'!$A$114,$BV$205^A26,IF(A26='Données projet'!$A$114,'Données projet'!$B$114,BY25+BX26-CG25)))</f>
        <v>124.80000000000001</v>
      </c>
      <c r="BZ26" s="13">
        <f>BY26*VLOOKUP('Données projet'!$B$12,Paramètres!$A$1:$I$89,3,0)*VLOOKUP('Données projet'!$B$12,Paramètres!$A$1:$I$89,5,0)</f>
        <v>77.875200000000007</v>
      </c>
      <c r="CA26" s="13">
        <f t="shared" si="39"/>
        <v>21.616848354491538</v>
      </c>
      <c r="CB26" s="20">
        <f t="shared" si="10"/>
        <v>173.28198421740612</v>
      </c>
      <c r="CC26" s="59">
        <f t="shared" si="11"/>
        <v>423.12299078629212</v>
      </c>
      <c r="CD26" s="59">
        <f ca="1">AVERAGE(OFFSET($CC$3,0,0,'Données projet'!$E$12+1,1))-AVERAGE(OFFSET($H$3,0,0,'Données projet'!$E$12+1,1))</f>
        <v>180.18752244216969</v>
      </c>
      <c r="CE26" s="59">
        <f t="shared" si="40"/>
        <v>350.12096474554676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51.349194807254854</v>
      </c>
      <c r="CM26" s="21">
        <f>EXP(-LN(2)/2)*CM25+(1-EXP(-LN(2)/2))/(LN(2)/2)*CG26*CJ26*VLOOKUP('Données projet'!$B$12,Paramètres!$A$1:$I$89,3,0)*0.475*44/12</f>
        <v>9.3095954228609834</v>
      </c>
      <c r="CN26" s="22">
        <f t="shared" si="12"/>
        <v>60.658790230115841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60.471789670302229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24.6</v>
      </c>
      <c r="CT26" s="12">
        <f>IF('Données projet'!$A$140&gt;35,CT25+CS26-DB25,IF(A26&lt;'Données projet'!$A$140,$CQ$205^A26,IF(A26='Données projet'!$A$140,'Données projet'!$B$140,CT25+CS26-DB25)))</f>
        <v>115.80000000000001</v>
      </c>
      <c r="CU26" s="17">
        <f>CT26*VLOOKUP('Données projet'!$B$13,Paramètres!$A$1:$I$89,3,0)*VLOOKUP('Données projet'!$B$13,Paramètres!$A$1:$I$89,5,0)</f>
        <v>92.13048000000002</v>
      </c>
      <c r="CV26" s="13">
        <f t="shared" si="41"/>
        <v>25.078343731232451</v>
      </c>
      <c r="CW26" s="20">
        <f t="shared" si="13"/>
        <v>204.13870133189653</v>
      </c>
      <c r="CX26" s="59">
        <f t="shared" si="14"/>
        <v>453.9797079007825</v>
      </c>
      <c r="CY26" s="59">
        <f ca="1">AVERAGE(OFFSET($CX$3,0,0,'Données projet'!$E$13+1,1))-AVERAGE(OFFSET($H$3,0,0,'Données projet'!$E$13+1,1))</f>
        <v>284.31574332240928</v>
      </c>
      <c r="CZ26" s="59">
        <f t="shared" si="42"/>
        <v>403.96994631683913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60.471789670302229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15.2</v>
      </c>
      <c r="DO26" s="12">
        <f>IF('Données projet'!$A$166&gt;35,DO25+DN26-DW25,IF(A26&lt;'Données projet'!$A$166,$DL$205^A26,IF(A26='Données projet'!$A$166,'Données projet'!$B$166,DO25+DN26-DW25)))</f>
        <v>69.199999999999989</v>
      </c>
      <c r="DP26" s="17">
        <f>DO26*VLOOKUP('Données projet'!$B$14,Paramètres!$A$1:$I$89,3,0)*VLOOKUP('Données projet'!$B$14,Paramètres!$A$1:$I$89,5,0)</f>
        <v>50.737439999999992</v>
      </c>
      <c r="DQ26" s="13">
        <f t="shared" si="43"/>
        <v>14.804044173556706</v>
      </c>
      <c r="DR26" s="20">
        <f t="shared" si="16"/>
        <v>114.15141826894457</v>
      </c>
      <c r="DS26" s="59">
        <f t="shared" si="17"/>
        <v>363.99242483783053</v>
      </c>
      <c r="DT26" s="59">
        <f ca="1">AVERAGE(OFFSET($DS$3,0,0,'Données projet'!$E$14+1,1))-AVERAGE(OFFSET($H$3,0,0,'Données projet'!$E$14+1,1))</f>
        <v>190.9519472160006</v>
      </c>
      <c r="DU26" s="59">
        <f t="shared" si="44"/>
        <v>170.61553500287511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19.88658220969716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19.88658220969716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60.471789670302229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17</v>
      </c>
      <c r="EJ26" s="12">
        <f>IF('Données projet'!$A$192&gt;35,EJ25+EI26-ER25,IF(A26&lt;'Données projet'!$A$192,$EG$205^A26,IF(A26='Données projet'!$A$192,'Données projet'!$B$192,EJ25+EI26-ER25)))</f>
        <v>51</v>
      </c>
      <c r="EK26" s="17">
        <f>EJ26*VLOOKUP('Données projet'!$B$15,Paramètres!$A$1:$I$89,3,0)*VLOOKUP('Données projet'!$B$15,Paramètres!$A$1:$I$89,5,0)</f>
        <v>43.758000000000003</v>
      </c>
      <c r="EL26" s="13">
        <f t="shared" si="45"/>
        <v>12.989440353385518</v>
      </c>
      <c r="EM26" s="20">
        <f t="shared" si="19"/>
        <v>98.83512528214645</v>
      </c>
      <c r="EN26" s="59">
        <f t="shared" si="20"/>
        <v>348.67613185103244</v>
      </c>
      <c r="EO26" s="59">
        <f ca="1">AVERAGE(OFFSET($EN$3,0,0,'Données projet'!$E$15+1,1))-AVERAGE(OFFSET($H$3,0,0,'Données projet'!$E$15+1,1))</f>
        <v>331.94255128154623</v>
      </c>
      <c r="EP26" s="59">
        <f t="shared" si="46"/>
        <v>258.40809812013964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60.471789670302229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22.2</v>
      </c>
      <c r="FE26" s="12">
        <f>IF('Données projet'!$A$218&gt;35,FE25+FD26-FM25,IF(A26&lt;'Données projet'!$A$218,$FB$205^A26,IF(A26='Données projet'!$A$218,'Données projet'!$B$218,FE25+FD26-FM25)))</f>
        <v>66.600000000000009</v>
      </c>
      <c r="FF26" s="17">
        <f>FE26*VLOOKUP('Données projet'!$B$16,Paramètres!$A$1:$I$89,3,0)*VLOOKUP('Données projet'!$B$16,Paramètres!$A$1:$I$89,5,0)</f>
        <v>63.376560000000012</v>
      </c>
      <c r="FG26" s="13">
        <f t="shared" si="47"/>
        <v>18.019230098447402</v>
      </c>
      <c r="FH26" s="20">
        <f t="shared" si="22"/>
        <v>141.76433442146256</v>
      </c>
      <c r="FI26" s="59">
        <f t="shared" si="23"/>
        <v>391.60534099034851</v>
      </c>
      <c r="FJ26" s="59">
        <f ca="1">AVERAGE(OFFSET($FI$3,0,0,'Données projet'!$E$16+1,1))-AVERAGE(OFFSET($H$3,0,0,'Données projet'!$E$16+1,1))</f>
        <v>290.72311302449236</v>
      </c>
      <c r="FK26" s="59">
        <f t="shared" si="48"/>
        <v>352.32552988394434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60.471789670302229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13.8</v>
      </c>
      <c r="FZ26" s="12">
        <f>IF('Données projet'!$A$244&gt;35,FZ25+FY26-GH25,IF(A26&lt;'Données projet'!$A$244,$FW$205^A26,IF(A26='Données projet'!$A$244,'Données projet'!$B$244,FZ25+FY26-GH25)))</f>
        <v>46.399999999999991</v>
      </c>
      <c r="GA26" s="17">
        <f>FZ26*VLOOKUP('Données projet'!$B$17,Paramètres!$A$1:$I$89,3,0)*VLOOKUP('Données projet'!$B$17,Paramètres!$A$1:$I$89,5,0)</f>
        <v>30.401279999999996</v>
      </c>
      <c r="GB26" s="13">
        <f t="shared" si="49"/>
        <v>9.415325106609755</v>
      </c>
      <c r="GC26" s="20">
        <f t="shared" si="25"/>
        <v>69.347253894011985</v>
      </c>
      <c r="GD26" s="59">
        <f t="shared" si="26"/>
        <v>319.18826046289797</v>
      </c>
      <c r="GE26" s="59">
        <f ca="1">AVERAGE(OFFSET($GD$3,0,0,'Données projet'!$E$17+1,1))-AVERAGE(OFFSET($H$3,0,0,'Données projet'!$E$17+1,1))</f>
        <v>123.03972959251965</v>
      </c>
      <c r="GF26" s="59">
        <f t="shared" si="50"/>
        <v>178.27657680839445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9.0692810552291405</v>
      </c>
      <c r="GN26" s="21">
        <f>EXP(-LN(2)/2)*GN25+(1-EXP(-LN(2)/2))/(LN(2)/2)*GH26*GK26*VLOOKUP('Données projet'!$B$17,Paramètres!$A$1:$I$89,3,0)*0.475*44/12</f>
        <v>2.9352095122242154</v>
      </c>
      <c r="GO26" s="21">
        <f t="shared" si="27"/>
        <v>12.004490567453356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60.471789670302229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13.04</v>
      </c>
      <c r="GU26" s="12">
        <f>IF('Données projet'!$A$270&gt;35,GU25+GT26-HC25,IF(A26&lt;'Données projet'!$A$270,$GR$205^A26,IF(A26='Données projet'!$A$270,'Données projet'!$B$270,GU25+GT26-HC25)))</f>
        <v>299.91999999999996</v>
      </c>
      <c r="GV26" s="17">
        <f>GU26*VLOOKUP('Données projet'!$B$18,Paramètres!$A$1:$I$89,3,0)*VLOOKUP('Données projet'!$B$18,Paramètres!$A$1:$I$89,5,0)</f>
        <v>201.18633599999995</v>
      </c>
      <c r="GW26" s="13">
        <f t="shared" si="51"/>
        <v>50.004798662421791</v>
      </c>
      <c r="GX26" s="20">
        <f t="shared" si="28"/>
        <v>437.49122620371782</v>
      </c>
      <c r="GY26" s="59">
        <f t="shared" si="29"/>
        <v>687.33223277260379</v>
      </c>
      <c r="GZ26" s="59">
        <f ca="1">AVERAGE(OFFSET($GY$3,0,0,'Données projet'!$E$18+1,1))-AVERAGE(OFFSET($H$3,0,0,'Données projet'!$E$18+1,1))</f>
        <v>542.25674729323623</v>
      </c>
      <c r="HA26" s="59">
        <f t="shared" si="52"/>
        <v>614.73906555680685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2.8499999999999996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10.449999999999998</v>
      </c>
      <c r="H27" s="67">
        <f t="shared" si="1"/>
        <v>214.86666666666667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60.637082817635438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10.4</v>
      </c>
      <c r="N27" s="13">
        <f>IF('Données projet'!$A$36&gt;35,N26+M27-V26,IF(A27&lt;'Données projet'!$A$36,$K$205^A27,IF(A27='Données projet'!$A$36,'Données projet'!$B$36,N26+M27-V26)))</f>
        <v>249.60000000000002</v>
      </c>
      <c r="O27" s="13">
        <f>N27*VLOOKUP('Données projet'!$B$9,Paramètres!$A$1:$I$89,3,0)*VLOOKUP('Données projet'!$B$9,Paramètres!$A$1:$I$89,5,0)</f>
        <v>218.05056000000008</v>
      </c>
      <c r="P27" s="13">
        <f t="shared" si="33"/>
        <v>53.690965335220078</v>
      </c>
      <c r="Q27" s="20">
        <f t="shared" si="2"/>
        <v>473.28315662550841</v>
      </c>
      <c r="R27" s="59">
        <f t="shared" si="0"/>
        <v>724.95246029017176</v>
      </c>
      <c r="S27" s="59">
        <f ca="1">AVERAGE(OFFSET($R$3,0,0,'Données projet'!$E$9+1,1))-AVERAGE(OFFSET($H$3,0,0,'Données projet'!$E$9+1,1))</f>
        <v>686.80970545599644</v>
      </c>
      <c r="T27" s="59">
        <f t="shared" si="34"/>
        <v>636.16485232937737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60.637082817635438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3.6388888888888888</v>
      </c>
      <c r="AI27" s="13">
        <f>IF('Données projet'!$A$62&gt;35,AI26+AH27-AQ26,IF(A27&lt;'Données projet'!$A$62,$AF$205^A27,IF(A27='Données projet'!$A$62,'Données projet'!$B$62,AI26+AH27-AQ26)))</f>
        <v>87.333333333333286</v>
      </c>
      <c r="AJ27" s="13">
        <f>AI27*VLOOKUP('Données projet'!$B$10,Paramètres!$A$1:$I$89,3,0)*VLOOKUP('Données projet'!$B$10,Paramètres!$A$1:$I$89,5,0)</f>
        <v>79.019199999999955</v>
      </c>
      <c r="AK27" s="13">
        <f t="shared" si="35"/>
        <v>21.897201531388234</v>
      </c>
      <c r="AL27" s="20">
        <f t="shared" si="4"/>
        <v>175.76273266716774</v>
      </c>
      <c r="AM27" s="59">
        <f t="shared" si="5"/>
        <v>427.432036331831</v>
      </c>
      <c r="AN27" s="59">
        <f ca="1">AVERAGE(OFFSET($AM$3,0,0,'Données projet'!$E$10+1,1))-AVERAGE(OFFSET($H$3,0,0,'Données projet'!$E$10+1,1))</f>
        <v>323.67375363913726</v>
      </c>
      <c r="AO27" s="59">
        <f t="shared" si="36"/>
        <v>266.03902815735029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60.637082817635438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25.8</v>
      </c>
      <c r="BD27" s="12">
        <f>IF('Données projet'!$A$88&gt;35,BD26+BC27-BL26,IF(A27&lt;'Données projet'!$A$88,$BA$205^A27,IF(A27='Données projet'!$A$88,'Données projet'!$B$88,BD26+BC27-BL26)))</f>
        <v>343.20000000000005</v>
      </c>
      <c r="BE27" s="13">
        <f>BD27*VLOOKUP('Données projet'!$B$11,Paramètres!$A$1:$I$89,3,0)*VLOOKUP('Données projet'!$B$11,Paramètres!$A$1:$I$89,5,0)</f>
        <v>191.84880000000004</v>
      </c>
      <c r="BF27" s="13">
        <f t="shared" si="37"/>
        <v>47.948465637272896</v>
      </c>
      <c r="BG27" s="20">
        <f t="shared" si="7"/>
        <v>417.64690431825039</v>
      </c>
      <c r="BH27" s="59">
        <f t="shared" si="8"/>
        <v>669.31620798291374</v>
      </c>
      <c r="BI27" s="59">
        <f ca="1">AVERAGE(OFFSET($BH$3,0,0,'Données projet'!$E$11+1,1))-AVERAGE(OFFSET($H$3,0,0,'Données projet'!$E$11+1,1))</f>
        <v>371.46495716091965</v>
      </c>
      <c r="BJ27" s="59">
        <f t="shared" si="38"/>
        <v>579.95059529269417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9.6488692839855705</v>
      </c>
      <c r="BQ27" s="21">
        <f>EXP(-LN(2)/25)*BQ26+(1-EXP(-LN(2)/25))/(LN(2)/25)*Calculateur!BL27*Calculateur!BN27*VLOOKUP('Données projet'!$B$11,Paramètres!$A$1:$I$89,3,0)*0.475*44/12</f>
        <v>7.5674846724275477</v>
      </c>
      <c r="BR27" s="21">
        <f>EXP(-LN(2)/2)*BR26+(1-EXP(-LN(2)/2))/(LN(2)/2)*BL27*BO27*VLOOKUP('Données projet'!$B$11,Paramètres!$A$1:$I$89,3,0)*0.475*44/12</f>
        <v>2.449376113026128</v>
      </c>
      <c r="BS27" s="22">
        <f t="shared" si="9"/>
        <v>19.665730069439249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60.637082817635438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27.6</v>
      </c>
      <c r="BY27" s="12">
        <f>IF('Données projet'!$A$114&gt;35,BY26+BX27-CG26,IF(A27&lt;'Données projet'!$A$114,$BV$205^A27,IF(A27='Données projet'!$A$114,'Données projet'!$B$114,BY26+BX27-CG26)))</f>
        <v>152.4</v>
      </c>
      <c r="BZ27" s="13">
        <f>BY27*VLOOKUP('Données projet'!$B$12,Paramètres!$A$1:$I$89,3,0)*VLOOKUP('Données projet'!$B$12,Paramètres!$A$1:$I$89,5,0)</f>
        <v>95.0976</v>
      </c>
      <c r="CA27" s="13">
        <f t="shared" si="39"/>
        <v>25.790673598910413</v>
      </c>
      <c r="CB27" s="20">
        <f t="shared" si="10"/>
        <v>210.54707651810233</v>
      </c>
      <c r="CC27" s="59">
        <f t="shared" si="11"/>
        <v>462.21638018276565</v>
      </c>
      <c r="CD27" s="59">
        <f ca="1">AVERAGE(OFFSET($CC$3,0,0,'Données projet'!$E$12+1,1))-AVERAGE(OFFSET($H$3,0,0,'Données projet'!$E$12+1,1))</f>
        <v>180.18752244216969</v>
      </c>
      <c r="CE27" s="59">
        <f t="shared" si="40"/>
        <v>350.12096474554676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49.945048374913675</v>
      </c>
      <c r="CM27" s="21">
        <f>EXP(-LN(2)/2)*CM26+(1-EXP(-LN(2)/2))/(LN(2)/2)*CG27*CJ27*VLOOKUP('Données projet'!$B$12,Paramètres!$A$1:$I$89,3,0)*0.475*44/12</f>
        <v>6.5828780536082458</v>
      </c>
      <c r="CN27" s="22">
        <f t="shared" si="12"/>
        <v>56.527926428521923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60.637082817635438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24.6</v>
      </c>
      <c r="CT27" s="12">
        <f>IF('Données projet'!$A$140&gt;35,CT26+CS27-DB26,IF(A27&lt;'Données projet'!$A$140,$CQ$205^A27,IF(A27='Données projet'!$A$140,'Données projet'!$B$140,CT26+CS27-DB26)))</f>
        <v>140.4</v>
      </c>
      <c r="CU27" s="17">
        <f>CT27*VLOOKUP('Données projet'!$B$13,Paramètres!$A$1:$I$89,3,0)*VLOOKUP('Données projet'!$B$13,Paramètres!$A$1:$I$89,5,0)</f>
        <v>111.70224</v>
      </c>
      <c r="CV27" s="13">
        <f t="shared" si="41"/>
        <v>29.731686445309627</v>
      </c>
      <c r="CW27" s="20">
        <f t="shared" si="13"/>
        <v>246.3307552255809</v>
      </c>
      <c r="CX27" s="59">
        <f t="shared" si="14"/>
        <v>498.00005889024419</v>
      </c>
      <c r="CY27" s="59">
        <f ca="1">AVERAGE(OFFSET($CX$3,0,0,'Données projet'!$E$13+1,1))-AVERAGE(OFFSET($H$3,0,0,'Données projet'!$E$13+1,1))</f>
        <v>284.31574332240928</v>
      </c>
      <c r="CZ27" s="59">
        <f t="shared" si="42"/>
        <v>403.96994631683913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60.637082817635438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15.2</v>
      </c>
      <c r="DO27" s="12">
        <f>IF('Données projet'!$A$166&gt;35,DO26+DN27-DW26,IF(A27&lt;'Données projet'!$A$166,$DL$205^A27,IF(A27='Données projet'!$A$166,'Données projet'!$B$166,DO26+DN27-DW26)))</f>
        <v>84.399999999999991</v>
      </c>
      <c r="DP27" s="17">
        <f>DO27*VLOOKUP('Données projet'!$B$14,Paramètres!$A$1:$I$89,3,0)*VLOOKUP('Données projet'!$B$14,Paramètres!$A$1:$I$89,5,0)</f>
        <v>61.882079999999988</v>
      </c>
      <c r="DQ27" s="13">
        <f t="shared" si="43"/>
        <v>17.643259144193742</v>
      </c>
      <c r="DR27" s="20">
        <f t="shared" si="16"/>
        <v>138.5066323428041</v>
      </c>
      <c r="DS27" s="59">
        <f t="shared" si="17"/>
        <v>390.17593600746739</v>
      </c>
      <c r="DT27" s="59">
        <f ca="1">AVERAGE(OFFSET($DS$3,0,0,'Données projet'!$E$14+1,1))-AVERAGE(OFFSET($H$3,0,0,'Données projet'!$E$14+1,1))</f>
        <v>190.9519472160006</v>
      </c>
      <c r="DU27" s="59">
        <f t="shared" si="44"/>
        <v>170.61553500287511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19.496618462182447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19.496618462182447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60.637082817635438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17</v>
      </c>
      <c r="EJ27" s="12">
        <f>IF('Données projet'!$A$192&gt;35,EJ26+EI27-ER26,IF(A27&lt;'Données projet'!$A$192,$EG$205^A27,IF(A27='Données projet'!$A$192,'Données projet'!$B$192,EJ26+EI27-ER26)))</f>
        <v>68</v>
      </c>
      <c r="EK27" s="17">
        <f>EJ27*VLOOKUP('Données projet'!$B$15,Paramètres!$A$1:$I$89,3,0)*VLOOKUP('Données projet'!$B$15,Paramètres!$A$1:$I$89,5,0)</f>
        <v>58.344000000000008</v>
      </c>
      <c r="EL27" s="13">
        <f t="shared" si="45"/>
        <v>16.748900697085006</v>
      </c>
      <c r="EM27" s="20">
        <f t="shared" si="19"/>
        <v>130.78680204742307</v>
      </c>
      <c r="EN27" s="59">
        <f t="shared" si="20"/>
        <v>382.45610571208636</v>
      </c>
      <c r="EO27" s="59">
        <f ca="1">AVERAGE(OFFSET($EN$3,0,0,'Données projet'!$E$15+1,1))-AVERAGE(OFFSET($H$3,0,0,'Données projet'!$E$15+1,1))</f>
        <v>331.94255128154623</v>
      </c>
      <c r="EP27" s="59">
        <f t="shared" si="46"/>
        <v>258.40809812013964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60.637082817635438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22.2</v>
      </c>
      <c r="FE27" s="12">
        <f>IF('Données projet'!$A$218&gt;35,FE26+FD27-FM26,IF(A27&lt;'Données projet'!$A$218,$FB$205^A27,IF(A27='Données projet'!$A$218,'Données projet'!$B$218,FE26+FD27-FM26)))</f>
        <v>88.800000000000011</v>
      </c>
      <c r="FF27" s="17">
        <f>FE27*VLOOKUP('Données projet'!$B$16,Paramètres!$A$1:$I$89,3,0)*VLOOKUP('Données projet'!$B$16,Paramètres!$A$1:$I$89,5,0)</f>
        <v>84.502080000000007</v>
      </c>
      <c r="FG27" s="13">
        <f t="shared" si="47"/>
        <v>23.234434074610466</v>
      </c>
      <c r="FH27" s="20">
        <f t="shared" si="22"/>
        <v>187.64109534661324</v>
      </c>
      <c r="FI27" s="59">
        <f t="shared" si="23"/>
        <v>439.31039901127656</v>
      </c>
      <c r="FJ27" s="59">
        <f ca="1">AVERAGE(OFFSET($FI$3,0,0,'Données projet'!$E$16+1,1))-AVERAGE(OFFSET($H$3,0,0,'Données projet'!$E$16+1,1))</f>
        <v>290.72311302449236</v>
      </c>
      <c r="FK27" s="59">
        <f t="shared" si="48"/>
        <v>352.32552988394434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60.637082817635438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13.8</v>
      </c>
      <c r="FZ27" s="12">
        <f>IF('Données projet'!$A$244&gt;35,FZ26+FY27-GH26,IF(A27&lt;'Données projet'!$A$244,$FW$205^A27,IF(A27='Données projet'!$A$244,'Données projet'!$B$244,FZ26+FY27-GH26)))</f>
        <v>60.199999999999989</v>
      </c>
      <c r="GA27" s="17">
        <f>FZ27*VLOOKUP('Données projet'!$B$17,Paramètres!$A$1:$I$89,3,0)*VLOOKUP('Données projet'!$B$17,Paramètres!$A$1:$I$89,5,0)</f>
        <v>39.443039999999996</v>
      </c>
      <c r="GB27" s="13">
        <f t="shared" si="49"/>
        <v>11.850904343164059</v>
      </c>
      <c r="GC27" s="20">
        <f t="shared" si="25"/>
        <v>89.336953064344058</v>
      </c>
      <c r="GD27" s="59">
        <f t="shared" si="26"/>
        <v>341.00625672900736</v>
      </c>
      <c r="GE27" s="59">
        <f ca="1">AVERAGE(OFFSET($GD$3,0,0,'Données projet'!$E$17+1,1))-AVERAGE(OFFSET($H$3,0,0,'Données projet'!$E$17+1,1))</f>
        <v>123.03972959251965</v>
      </c>
      <c r="GF27" s="59">
        <f t="shared" si="50"/>
        <v>178.27657680839445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8.8212810878411378</v>
      </c>
      <c r="GN27" s="21">
        <f>EXP(-LN(2)/2)*GN26+(1-EXP(-LN(2)/2))/(LN(2)/2)*GH27*GK27*VLOOKUP('Données projet'!$B$17,Paramètres!$A$1:$I$89,3,0)*0.475*44/12</f>
        <v>2.0755065502970012</v>
      </c>
      <c r="GO27" s="21">
        <f t="shared" si="27"/>
        <v>10.896787638138139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60.637082817635438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13.04</v>
      </c>
      <c r="GU27" s="12">
        <f>IF('Données projet'!$A$270&gt;35,GU26+GT27-HC26,IF(A27&lt;'Données projet'!$A$270,$GR$205^A27,IF(A27='Données projet'!$A$270,'Données projet'!$B$270,GU26+GT27-HC26)))</f>
        <v>312.95999999999998</v>
      </c>
      <c r="GV27" s="17">
        <f>GU27*VLOOKUP('Données projet'!$B$18,Paramètres!$A$1:$I$89,3,0)*VLOOKUP('Données projet'!$B$18,Paramètres!$A$1:$I$89,5,0)</f>
        <v>209.93356800000001</v>
      </c>
      <c r="GW27" s="13">
        <f t="shared" si="51"/>
        <v>51.921068367588802</v>
      </c>
      <c r="GX27" s="20">
        <f t="shared" si="28"/>
        <v>456.06349167355046</v>
      </c>
      <c r="GY27" s="59">
        <f t="shared" si="29"/>
        <v>707.73279533821369</v>
      </c>
      <c r="GZ27" s="59">
        <f ca="1">AVERAGE(OFFSET($GY$3,0,0,'Données projet'!$E$18+1,1))-AVERAGE(OFFSET($H$3,0,0,'Données projet'!$E$18+1,1))</f>
        <v>542.25674729323623</v>
      </c>
      <c r="HA27" s="59">
        <f t="shared" si="52"/>
        <v>614.73906555680685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2.8499999999999996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10.449999999999998</v>
      </c>
      <c r="H28" s="67">
        <f t="shared" si="1"/>
        <v>214.86666666666667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60.799508498402531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260</v>
      </c>
      <c r="L28" s="12">
        <f>VLOOKUP(A28,'Données projet'!$A$35:$I$55,9,0)</f>
        <v>10.4</v>
      </c>
      <c r="M28" s="12">
        <f t="array" ref="M28">INDEX(L:L,MIN(IF(ISNUMBER(L28:L224),ROW(L28:L224),"")))</f>
        <v>10.4</v>
      </c>
      <c r="N28" s="13">
        <f>IF('Données projet'!$A$36&gt;35,N27+M28-V27,IF(A28&lt;'Données projet'!$A$36,$K$205^A28,IF(A28='Données projet'!$A$36,'Données projet'!$B$36,N27+M28-V27)))</f>
        <v>260</v>
      </c>
      <c r="O28" s="13">
        <f>N28*VLOOKUP('Données projet'!$B$9,Paramètres!$A$1:$I$89,3,0)*VLOOKUP('Données projet'!$B$9,Paramètres!$A$1:$I$89,5,0)</f>
        <v>227.13600000000005</v>
      </c>
      <c r="P28" s="13">
        <f t="shared" si="33"/>
        <v>55.662966886685133</v>
      </c>
      <c r="Q28" s="20">
        <f t="shared" si="2"/>
        <v>492.54153399430999</v>
      </c>
      <c r="R28" s="59">
        <f t="shared" si="0"/>
        <v>746.02862071067477</v>
      </c>
      <c r="S28" s="59">
        <f ca="1">AVERAGE(OFFSET($R$3,0,0,'Données projet'!$E$9+1,1))-AVERAGE(OFFSET($H$3,0,0,'Données projet'!$E$9+1,1))</f>
        <v>686.80970545599644</v>
      </c>
      <c r="T28" s="59">
        <f t="shared" si="34"/>
        <v>636.16485232937737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60.799508498402531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3.6388888888888888</v>
      </c>
      <c r="AI28" s="13">
        <f>IF('Données projet'!$A$62&gt;35,AI27+AH28-AQ27,IF(A28&lt;'Données projet'!$A$62,$AF$205^A28,IF(A28='Données projet'!$A$62,'Données projet'!$B$62,AI27+AH28-AQ27)))</f>
        <v>90.972222222222172</v>
      </c>
      <c r="AJ28" s="13">
        <f>AI28*VLOOKUP('Données projet'!$B$10,Paramètres!$A$1:$I$89,3,0)*VLOOKUP('Données projet'!$B$10,Paramètres!$A$1:$I$89,5,0)</f>
        <v>82.311666666666625</v>
      </c>
      <c r="AK28" s="13">
        <f t="shared" si="35"/>
        <v>22.701458171644916</v>
      </c>
      <c r="AL28" s="20">
        <f t="shared" si="4"/>
        <v>182.89785909339261</v>
      </c>
      <c r="AM28" s="59">
        <f t="shared" si="5"/>
        <v>436.38494580975743</v>
      </c>
      <c r="AN28" s="59">
        <f ca="1">AVERAGE(OFFSET($AM$3,0,0,'Données projet'!$E$10+1,1))-AVERAGE(OFFSET($H$3,0,0,'Données projet'!$E$10+1,1))</f>
        <v>323.67375363913726</v>
      </c>
      <c r="AO28" s="59">
        <f t="shared" si="36"/>
        <v>266.03902815735029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60.799508498402531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369</v>
      </c>
      <c r="BB28" s="12">
        <f>VLOOKUP(A28,'Données projet'!$A$87:$I$107,9,0)</f>
        <v>25.8</v>
      </c>
      <c r="BC28" s="12">
        <f t="array" ref="BC28">INDEX(BB:BB,MIN(IF(ISNUMBER(BB28:BB224),ROW(BB28:BB224),"")))</f>
        <v>25.8</v>
      </c>
      <c r="BD28" s="12">
        <f>IF('Données projet'!$A$88&gt;35,BD27+BC28-BL27,IF(A28&lt;'Données projet'!$A$88,$BA$205^A28,IF(A28='Données projet'!$A$88,'Données projet'!$B$88,BD27+BC28-BL27)))</f>
        <v>369.00000000000006</v>
      </c>
      <c r="BE28" s="13">
        <f>BD28*VLOOKUP('Données projet'!$B$11,Paramètres!$A$1:$I$89,3,0)*VLOOKUP('Données projet'!$B$11,Paramètres!$A$1:$I$89,5,0)</f>
        <v>206.27100000000002</v>
      </c>
      <c r="BF28" s="13">
        <f t="shared" si="37"/>
        <v>51.119857609331589</v>
      </c>
      <c r="BG28" s="20">
        <f t="shared" si="7"/>
        <v>448.28907700291916</v>
      </c>
      <c r="BH28" s="59">
        <f t="shared" si="8"/>
        <v>701.776163719284</v>
      </c>
      <c r="BI28" s="59">
        <f ca="1">AVERAGE(OFFSET($BH$3,0,0,'Données projet'!$E$11+1,1))-AVERAGE(OFFSET($H$3,0,0,'Données projet'!$E$11+1,1))</f>
        <v>371.46495716091965</v>
      </c>
      <c r="BJ28" s="59">
        <f t="shared" si="38"/>
        <v>579.95059529269417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52</v>
      </c>
      <c r="BM28" s="16">
        <f>IF(ISNA(VLOOKUP(A28,'Données projet'!$A$87:$I$107,5,0)),0%,VLOOKUP(A28,'Données projet'!$A$87:$I$107,5,0)*VLOOKUP('Données projet'!$B$11,Paramètres!$A$1:$I$89,7,0))</f>
        <v>0.27500000000000002</v>
      </c>
      <c r="BN28" s="16">
        <f>IF(ISNA(VLOOKUP(A28,'Données projet'!$A$87:$I$107,6,0)),0%,VLOOKUP(A28,'Données projet'!$A$87:$I$107,6,0)*VLOOKUP('Données projet'!$B$11,Paramètres!$A$1:$I$89,7,0))</f>
        <v>0.13750000000000001</v>
      </c>
      <c r="BO28" s="16">
        <f>IF(ISNA(VLOOKUP(A28,'Données projet'!$A$87:$I$107,7,0)),0%,VLOOKUP(A28,'Données projet'!$A$87:$I$107,7,0))</f>
        <v>0.25</v>
      </c>
      <c r="BP28" s="21">
        <f>EXP(-LN(2)/35)*BP27+(1-EXP(-LN(2)/35))/(LN(2)/35)*BL28*BM28*VLOOKUP('Données projet'!$B$11,Paramètres!$A$1:$I$89,3,0)*0.475*44/12</f>
        <v>20.063819130002813</v>
      </c>
      <c r="BQ28" s="21">
        <f>EXP(-LN(2)/25)*BQ27+(1-EXP(-LN(2)/25))/(LN(2)/25)*Calculateur!BL28*Calculateur!BN28*VLOOKUP('Données projet'!$B$11,Paramètres!$A$1:$I$89,3,0)*0.475*44/12</f>
        <v>12.641754243987442</v>
      </c>
      <c r="BR28" s="21">
        <f>EXP(-LN(2)/2)*BR27+(1-EXP(-LN(2)/2))/(LN(2)/2)*BL28*BO28*VLOOKUP('Données projet'!$B$11,Paramètres!$A$1:$I$89,3,0)*0.475*44/12</f>
        <v>9.9599025653219506</v>
      </c>
      <c r="BS28" s="22">
        <f t="shared" si="9"/>
        <v>42.665475939312202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60.799508498402531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180</v>
      </c>
      <c r="BW28" s="12">
        <f>VLOOKUP(A28,'Données projet'!$A$113:$I$133,9,0)</f>
        <v>27.6</v>
      </c>
      <c r="BX28" s="12">
        <f t="array" ref="BX28">INDEX(BW:BW,MIN(IF(ISNUMBER(BW28:BW224),ROW(BW28:BW224),"")))</f>
        <v>27.6</v>
      </c>
      <c r="BY28" s="12">
        <f>IF('Données projet'!$A$114&gt;35,BY27+BX28-CG27,IF(A28&lt;'Données projet'!$A$114,$BV$205^A28,IF(A28='Données projet'!$A$114,'Données projet'!$B$114,BY27+BX28-CG27)))</f>
        <v>180</v>
      </c>
      <c r="BZ28" s="13">
        <f>BY28*VLOOKUP('Données projet'!$B$12,Paramètres!$A$1:$I$89,3,0)*VLOOKUP('Données projet'!$B$12,Paramètres!$A$1:$I$89,5,0)</f>
        <v>112.32</v>
      </c>
      <c r="CA28" s="13">
        <f t="shared" si="39"/>
        <v>29.87692891707237</v>
      </c>
      <c r="CB28" s="20">
        <f t="shared" si="10"/>
        <v>247.65965119723435</v>
      </c>
      <c r="CC28" s="59">
        <f t="shared" si="11"/>
        <v>501.14673791359917</v>
      </c>
      <c r="CD28" s="59">
        <f ca="1">AVERAGE(OFFSET($CC$3,0,0,'Données projet'!$E$12+1,1))-AVERAGE(OFFSET($H$3,0,0,'Données projet'!$E$12+1,1))</f>
        <v>180.18752244216969</v>
      </c>
      <c r="CE28" s="59">
        <f t="shared" si="40"/>
        <v>350.12096474554676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138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0.22499999999999998</v>
      </c>
      <c r="CJ28" s="16">
        <f>IF(ISNA(VLOOKUP(A28,'Données projet'!$A$113:$I$133,7,0)),0%,VLOOKUP(A28,'Données projet'!$A$113:$I$133,7,0))</f>
        <v>0.31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74.180549692141028</v>
      </c>
      <c r="CM28" s="21">
        <f>EXP(-LN(2)/2)*CM27+(1-EXP(-LN(2)/2))/(LN(2)/2)*CG28*CJ28*VLOOKUP('Données projet'!$B$12,Paramètres!$A$1:$I$89,3,0)*0.475*44/12</f>
        <v>34.879421868856184</v>
      </c>
      <c r="CN28" s="22">
        <f t="shared" si="12"/>
        <v>109.05997156099721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60.799508498402531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165</v>
      </c>
      <c r="CR28" s="12">
        <f>VLOOKUP(A28,'Données projet'!$A$139:$I$159,9,0)</f>
        <v>24.6</v>
      </c>
      <c r="CS28" s="12">
        <f t="array" ref="CS28">INDEX(CR:CR,MIN(IF(ISNUMBER(CR28:CR224),ROW(CR28:CR224),"")))</f>
        <v>24.6</v>
      </c>
      <c r="CT28" s="12">
        <f>IF('Données projet'!$A$140&gt;35,CT27+CS28-DB27,IF(A28&lt;'Données projet'!$A$140,$CQ$205^A28,IF(A28='Données projet'!$A$140,'Données projet'!$B$140,CT27+CS28-DB27)))</f>
        <v>165</v>
      </c>
      <c r="CU28" s="17">
        <f>CT28*VLOOKUP('Données projet'!$B$13,Paramètres!$A$1:$I$89,3,0)*VLOOKUP('Données projet'!$B$13,Paramètres!$A$1:$I$89,5,0)</f>
        <v>131.274</v>
      </c>
      <c r="CV28" s="13">
        <f t="shared" si="41"/>
        <v>34.290576031111669</v>
      </c>
      <c r="CW28" s="20">
        <f t="shared" si="13"/>
        <v>288.35830325418613</v>
      </c>
      <c r="CX28" s="59">
        <f t="shared" si="14"/>
        <v>541.84538997055097</v>
      </c>
      <c r="CY28" s="59">
        <f ca="1">AVERAGE(OFFSET($CX$3,0,0,'Données projet'!$E$13+1,1))-AVERAGE(OFFSET($H$3,0,0,'Données projet'!$E$13+1,1))</f>
        <v>284.31574332240928</v>
      </c>
      <c r="CZ28" s="59">
        <f t="shared" si="42"/>
        <v>403.96994631683913</v>
      </c>
      <c r="DA28" s="15">
        <f>IF(ISNA(VLOOKUP(A28,'Données projet'!$A$139:$I$159,3,0)),0,VLOOKUP(A28,'Données projet'!$A$139:$I$159,3,0))</f>
        <v>4</v>
      </c>
      <c r="DB28" s="15">
        <f>IF(ISNA(VLOOKUP(A28,'Données projet'!$A$139:$I$159,4,0)),0,VLOOKUP(A28,'Données projet'!$A$139:$I$159,4,0))</f>
        <v>123</v>
      </c>
      <c r="DC28" s="16">
        <f>IF(ISNA(VLOOKUP(A28,'Données projet'!$A$139:$I$159,5,0)),0%,VLOOKUP(A28,'Données projet'!$A$139:$I$159,5,0)*VLOOKUP('Données projet'!$B$13,Paramètres!$A$1:$I$89,7,0))</f>
        <v>0.318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34.401241518971226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34.401241518971226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60.799508498402531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15.2</v>
      </c>
      <c r="DO28" s="12">
        <f>IF('Données projet'!$A$166&gt;35,DO27+DN28-DW27,IF(A28&lt;'Données projet'!$A$166,$DL$205^A28,IF(A28='Données projet'!$A$166,'Données projet'!$B$166,DO27+DN28-DW27)))</f>
        <v>99.6</v>
      </c>
      <c r="DP28" s="17">
        <f>DO28*VLOOKUP('Données projet'!$B$14,Paramètres!$A$1:$I$89,3,0)*VLOOKUP('Données projet'!$B$14,Paramètres!$A$1:$I$89,5,0)</f>
        <v>73.026719999999997</v>
      </c>
      <c r="DQ28" s="13">
        <f t="shared" si="43"/>
        <v>20.423237073515175</v>
      </c>
      <c r="DR28" s="20">
        <f t="shared" si="16"/>
        <v>162.75867523637226</v>
      </c>
      <c r="DS28" s="59">
        <f t="shared" si="17"/>
        <v>416.2457619527371</v>
      </c>
      <c r="DT28" s="59">
        <f ca="1">AVERAGE(OFFSET($DS$3,0,0,'Données projet'!$E$14+1,1))-AVERAGE(OFFSET($H$3,0,0,'Données projet'!$E$14+1,1))</f>
        <v>190.9519472160006</v>
      </c>
      <c r="DU28" s="59">
        <f t="shared" si="44"/>
        <v>170.61553500287511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19.114301665902097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19.114301665902097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60.799508498402531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85</v>
      </c>
      <c r="EH28" s="12">
        <f>VLOOKUP(A28,'Données projet'!$A$191:$I$211,9,0)</f>
        <v>17</v>
      </c>
      <c r="EI28" s="12">
        <f t="array" ref="EI28">INDEX(EH:EH,MIN(IF(ISNUMBER(EH28:EH224),ROW(EH28:EH224),"")))</f>
        <v>17</v>
      </c>
      <c r="EJ28" s="12">
        <f>IF('Données projet'!$A$192&gt;35,EJ27+EI28-ER27,IF(A28&lt;'Données projet'!$A$192,$EG$205^A28,IF(A28='Données projet'!$A$192,'Données projet'!$B$192,EJ27+EI28-ER27)))</f>
        <v>85</v>
      </c>
      <c r="EK28" s="17">
        <f>EJ28*VLOOKUP('Données projet'!$B$15,Paramètres!$A$1:$I$89,3,0)*VLOOKUP('Données projet'!$B$15,Paramètres!$A$1:$I$89,5,0)</f>
        <v>72.930000000000007</v>
      </c>
      <c r="EL28" s="13">
        <f t="shared" si="45"/>
        <v>20.39933430140773</v>
      </c>
      <c r="EM28" s="20">
        <f t="shared" si="19"/>
        <v>162.54859057495182</v>
      </c>
      <c r="EN28" s="59">
        <f t="shared" si="20"/>
        <v>416.03567729131663</v>
      </c>
      <c r="EO28" s="59">
        <f ca="1">AVERAGE(OFFSET($EN$3,0,0,'Données projet'!$E$15+1,1))-AVERAGE(OFFSET($H$3,0,0,'Données projet'!$E$15+1,1))</f>
        <v>331.94255128154623</v>
      </c>
      <c r="EP28" s="59">
        <f t="shared" si="46"/>
        <v>258.40809812013964</v>
      </c>
      <c r="EQ28" s="15">
        <f>IF(ISNA(VLOOKUP(A28,'Données projet'!$A$191:$I$211,3,0)),0,VLOOKUP(A28,'Données projet'!$A$191:$I$211,3,0))</f>
        <v>2</v>
      </c>
      <c r="ER28" s="15">
        <f>IF(ISNA(VLOOKUP(A28,'Données projet'!$A$191:$I$211,4,0)),0,VLOOKUP(A28,'Données projet'!$A$191:$I$211,4,0))</f>
        <v>59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60.799508498402531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111</v>
      </c>
      <c r="FC28" s="12">
        <f>VLOOKUP(A28,'Données projet'!$A$217:$I$237,9,0)</f>
        <v>22.2</v>
      </c>
      <c r="FD28" s="12">
        <f t="array" ref="FD28">INDEX(FC:FC,MIN(IF(ISNUMBER(FC28:FC224),ROW(FC28:FC224),"")))</f>
        <v>22.2</v>
      </c>
      <c r="FE28" s="12">
        <f>IF('Données projet'!$A$218&gt;35,FE27+FD28-FM27,IF(A28&lt;'Données projet'!$A$218,$FB$205^A28,IF(A28='Données projet'!$A$218,'Données projet'!$B$218,FE27+FD28-FM27)))</f>
        <v>111.00000000000001</v>
      </c>
      <c r="FF28" s="17">
        <f>FE28*VLOOKUP('Données projet'!$B$16,Paramètres!$A$1:$I$89,3,0)*VLOOKUP('Données projet'!$B$16,Paramètres!$A$1:$I$89,5,0)</f>
        <v>105.62760000000002</v>
      </c>
      <c r="FG28" s="13">
        <f t="shared" si="47"/>
        <v>28.298393820824771</v>
      </c>
      <c r="FH28" s="20">
        <f t="shared" si="22"/>
        <v>233.25443923793645</v>
      </c>
      <c r="FI28" s="59">
        <f t="shared" si="23"/>
        <v>486.74152595430127</v>
      </c>
      <c r="FJ28" s="59">
        <f ca="1">AVERAGE(OFFSET($FI$3,0,0,'Données projet'!$E$16+1,1))-AVERAGE(OFFSET($H$3,0,0,'Données projet'!$E$16+1,1))</f>
        <v>290.72311302449236</v>
      </c>
      <c r="FK28" s="59">
        <f t="shared" si="48"/>
        <v>352.32552988394434</v>
      </c>
      <c r="FL28" s="15">
        <f>IF(ISNA(VLOOKUP(A28,'Données projet'!$A$217:$I$237,3,0)),0,VLOOKUP(A28,'Données projet'!$A$217:$I$237,3,0))</f>
        <v>2</v>
      </c>
      <c r="FM28" s="15">
        <f>IF(ISNA(VLOOKUP(A28,'Données projet'!$A$217:$I$237,4,0)),0,VLOOKUP(A28,'Données projet'!$A$217:$I$237,4,0))</f>
        <v>85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60.799508498402531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74</v>
      </c>
      <c r="FX28" s="12">
        <f>VLOOKUP(A28,'Données projet'!$A$243:$I$263,9,0)</f>
        <v>13.8</v>
      </c>
      <c r="FY28" s="12">
        <f t="array" ref="FY28">INDEX(FX:FX,MIN(IF(ISNUMBER(FX28:FX224),ROW(FX28:FX224),"")))</f>
        <v>13.8</v>
      </c>
      <c r="FZ28" s="12">
        <f>IF('Données projet'!$A$244&gt;35,FZ27+FY28-GH27,IF(A28&lt;'Données projet'!$A$244,$FW$205^A28,IF(A28='Données projet'!$A$244,'Données projet'!$B$244,FZ27+FY28-GH27)))</f>
        <v>73.999999999999986</v>
      </c>
      <c r="GA28" s="17">
        <f>FZ28*VLOOKUP('Données projet'!$B$17,Paramètres!$A$1:$I$89,3,0)*VLOOKUP('Données projet'!$B$17,Paramètres!$A$1:$I$89,5,0)</f>
        <v>48.484799999999986</v>
      </c>
      <c r="GB28" s="13">
        <f t="shared" si="49"/>
        <v>14.221754600605497</v>
      </c>
      <c r="GC28" s="20">
        <f t="shared" si="25"/>
        <v>109.21391592938788</v>
      </c>
      <c r="GD28" s="59">
        <f t="shared" si="26"/>
        <v>362.70100264575268</v>
      </c>
      <c r="GE28" s="59">
        <f ca="1">AVERAGE(OFFSET($GD$3,0,0,'Données projet'!$E$17+1,1))-AVERAGE(OFFSET($H$3,0,0,'Données projet'!$E$17+1,1))</f>
        <v>123.03972959251965</v>
      </c>
      <c r="GF28" s="59">
        <f t="shared" si="50"/>
        <v>178.27657680839445</v>
      </c>
      <c r="GG28" s="15">
        <f>IF(ISNA(VLOOKUP(A28,'Données projet'!$A$243:$I$263,3,0)),0,VLOOKUP(A28,'Données projet'!$A$243:$I$263,3,0))</f>
        <v>3</v>
      </c>
      <c r="GH28" s="15">
        <f>IF(ISNA(VLOOKUP(A28,'Données projet'!$A$243:$I$263,4,0)),0,VLOOKUP(A28,'Données projet'!$A$243:$I$263,4,0))</f>
        <v>63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0.215</v>
      </c>
      <c r="GK28" s="16">
        <f>IF(ISNA(VLOOKUP(A28,'Données projet'!$A$243:$I$263,7,0)),0%,VLOOKUP(A28,'Données projet'!$A$243:$I$263,7,0))</f>
        <v>0.25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18.352134517107626</v>
      </c>
      <c r="GN28" s="21">
        <f>EXP(-LN(2)/2)*GN27+(1-EXP(-LN(2)/2))/(LN(2)/2)*GH28*GK28*VLOOKUP('Données projet'!$B$17,Paramètres!$A$1:$I$89,3,0)*0.475*44/12</f>
        <v>11.20423639869095</v>
      </c>
      <c r="GO28" s="21">
        <f t="shared" si="27"/>
        <v>29.556370915798574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60.799508498402531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13.04</v>
      </c>
      <c r="GU28" s="12">
        <f>IF('Données projet'!$A$270&gt;35,GU27+GT28-HC27,IF(A28&lt;'Données projet'!$A$270,$GR$205^A28,IF(A28='Données projet'!$A$270,'Données projet'!$B$270,GU27+GT28-HC27)))</f>
        <v>326</v>
      </c>
      <c r="GV28" s="17">
        <f>GU28*VLOOKUP('Données projet'!$B$18,Paramètres!$A$1:$I$89,3,0)*VLOOKUP('Données projet'!$B$18,Paramètres!$A$1:$I$89,5,0)</f>
        <v>218.6808</v>
      </c>
      <c r="GW28" s="13">
        <f t="shared" si="51"/>
        <v>53.828063832009079</v>
      </c>
      <c r="GX28" s="20">
        <f t="shared" si="28"/>
        <v>474.61960450741572</v>
      </c>
      <c r="GY28" s="59">
        <f t="shared" si="29"/>
        <v>728.10669122378056</v>
      </c>
      <c r="GZ28" s="59">
        <f ca="1">AVERAGE(OFFSET($GY$3,0,0,'Données projet'!$E$18+1,1))-AVERAGE(OFFSET($H$3,0,0,'Données projet'!$E$18+1,1))</f>
        <v>542.25674729323623</v>
      </c>
      <c r="HA28" s="59">
        <f t="shared" si="52"/>
        <v>614.73906555680685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0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2.8499999999999996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10.449999999999998</v>
      </c>
      <c r="H29" s="67">
        <f t="shared" si="1"/>
        <v>214.86666666666667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60.959116456737746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10.4</v>
      </c>
      <c r="N29" s="13">
        <f>IF('Données projet'!$A$36&gt;35,N28+M29-V28,IF(A29&lt;'Données projet'!$A$36,$K$205^A29,IF(A29='Données projet'!$A$36,'Données projet'!$B$36,N28+M29-V28)))</f>
        <v>270.39999999999998</v>
      </c>
      <c r="O29" s="13">
        <f>N29*VLOOKUP('Données projet'!$B$9,Paramètres!$A$1:$I$89,3,0)*VLOOKUP('Données projet'!$B$9,Paramètres!$A$1:$I$89,5,0)</f>
        <v>236.22144000000003</v>
      </c>
      <c r="P29" s="13">
        <f t="shared" si="33"/>
        <v>57.625805560019025</v>
      </c>
      <c r="Q29" s="20">
        <f t="shared" si="2"/>
        <v>511.78395268369985</v>
      </c>
      <c r="R29" s="59">
        <f t="shared" si="0"/>
        <v>767.07849080284939</v>
      </c>
      <c r="S29" s="59">
        <f ca="1">AVERAGE(OFFSET($R$3,0,0,'Données projet'!$E$9+1,1))-AVERAGE(OFFSET($H$3,0,0,'Données projet'!$E$9+1,1))</f>
        <v>686.80970545599644</v>
      </c>
      <c r="T29" s="59">
        <f t="shared" si="34"/>
        <v>636.16485232937737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60.959116456737746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3.6388888888888888</v>
      </c>
      <c r="AI29" s="13">
        <f>IF('Données projet'!$A$62&gt;35,AI28+AH29-AQ28,IF(A29&lt;'Données projet'!$A$62,$AF$205^A29,IF(A29='Données projet'!$A$62,'Données projet'!$B$62,AI28+AH29-AQ28)))</f>
        <v>94.611111111111057</v>
      </c>
      <c r="AJ29" s="13">
        <f>AI29*VLOOKUP('Données projet'!$B$10,Paramètres!$A$1:$I$89,3,0)*VLOOKUP('Données projet'!$B$10,Paramètres!$A$1:$I$89,5,0)</f>
        <v>85.60413333333328</v>
      </c>
      <c r="AK29" s="13">
        <f t="shared" si="35"/>
        <v>23.501977844465927</v>
      </c>
      <c r="AL29" s="20">
        <f t="shared" si="4"/>
        <v>190.02647696800031</v>
      </c>
      <c r="AM29" s="59">
        <f t="shared" si="5"/>
        <v>445.32101508714982</v>
      </c>
      <c r="AN29" s="59">
        <f ca="1">AVERAGE(OFFSET($AM$3,0,0,'Données projet'!$E$10+1,1))-AVERAGE(OFFSET($H$3,0,0,'Données projet'!$E$10+1,1))</f>
        <v>323.67375363913726</v>
      </c>
      <c r="AO29" s="59">
        <f t="shared" si="36"/>
        <v>266.03902815735029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60.959116456737746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24.6</v>
      </c>
      <c r="BD29" s="12">
        <f>IF('Données projet'!$A$88&gt;35,BD28+BC29-BL28,IF(A29&lt;'Données projet'!$A$88,$BA$205^A29,IF(A29='Données projet'!$A$88,'Données projet'!$B$88,BD28+BC29-BL28)))</f>
        <v>341.60000000000008</v>
      </c>
      <c r="BE29" s="13">
        <f>BD29*VLOOKUP('Données projet'!$B$11,Paramètres!$A$1:$I$89,3,0)*VLOOKUP('Données projet'!$B$11,Paramètres!$A$1:$I$89,5,0)</f>
        <v>190.95440000000005</v>
      </c>
      <c r="BF29" s="13">
        <f t="shared" si="37"/>
        <v>47.750895568819487</v>
      </c>
      <c r="BG29" s="20">
        <f t="shared" si="7"/>
        <v>415.74505644902729</v>
      </c>
      <c r="BH29" s="59">
        <f t="shared" si="8"/>
        <v>671.03959456817677</v>
      </c>
      <c r="BI29" s="59">
        <f ca="1">AVERAGE(OFFSET($BH$3,0,0,'Données projet'!$E$11+1,1))-AVERAGE(OFFSET($H$3,0,0,'Données projet'!$E$11+1,1))</f>
        <v>371.46495716091965</v>
      </c>
      <c r="BJ29" s="59">
        <f t="shared" si="38"/>
        <v>579.95059529269417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19.670379874584754</v>
      </c>
      <c r="BQ29" s="21">
        <f>EXP(-LN(2)/25)*BQ28+(1-EXP(-LN(2)/25))/(LN(2)/25)*Calculateur!BL29*Calculateur!BN29*VLOOKUP('Données projet'!$B$11,Paramètres!$A$1:$I$89,3,0)*0.475*44/12</f>
        <v>12.296064809384644</v>
      </c>
      <c r="BR29" s="21">
        <f>EXP(-LN(2)/2)*BR28+(1-EXP(-LN(2)/2))/(LN(2)/2)*BL29*BO29*VLOOKUP('Données projet'!$B$11,Paramètres!$A$1:$I$89,3,0)*0.475*44/12</f>
        <v>7.0427146438964421</v>
      </c>
      <c r="BS29" s="22">
        <f t="shared" si="9"/>
        <v>39.009159327865845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60.959116456737746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35.799999999999997</v>
      </c>
      <c r="BY29" s="12">
        <f>IF('Données projet'!$A$114&gt;35,BY28+BX29-CG28,IF(A29&lt;'Données projet'!$A$114,$BV$205^A29,IF(A29='Données projet'!$A$114,'Données projet'!$B$114,BY28+BX29-CG28)))</f>
        <v>77.800000000000011</v>
      </c>
      <c r="BZ29" s="13">
        <f>BY29*VLOOKUP('Données projet'!$B$12,Paramètres!$A$1:$I$89,3,0)*VLOOKUP('Données projet'!$B$12,Paramètres!$A$1:$I$89,5,0)</f>
        <v>48.547200000000004</v>
      </c>
      <c r="CA29" s="13">
        <f t="shared" si="39"/>
        <v>14.237926288575743</v>
      </c>
      <c r="CB29" s="20">
        <f t="shared" si="10"/>
        <v>109.35076161926942</v>
      </c>
      <c r="CC29" s="59">
        <f t="shared" si="11"/>
        <v>364.64529973841894</v>
      </c>
      <c r="CD29" s="59">
        <f ca="1">AVERAGE(OFFSET($CC$3,0,0,'Données projet'!$E$12+1,1))-AVERAGE(OFFSET($H$3,0,0,'Données projet'!$E$12+1,1))</f>
        <v>180.18752244216969</v>
      </c>
      <c r="CE29" s="59">
        <f t="shared" si="40"/>
        <v>350.12096474554676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72.152078659823871</v>
      </c>
      <c r="CM29" s="21">
        <f>EXP(-LN(2)/2)*CM28+(1-EXP(-LN(2)/2))/(LN(2)/2)*CG29*CJ29*VLOOKUP('Données projet'!$B$12,Paramètres!$A$1:$I$89,3,0)*0.475*44/12</f>
        <v>24.663475727334571</v>
      </c>
      <c r="CN29" s="22">
        <f t="shared" si="12"/>
        <v>96.815554387158443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60.959116456737746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32.6</v>
      </c>
      <c r="CT29" s="12">
        <f>IF('Données projet'!$A$140&gt;35,CT28+CS29-DB28,IF(A29&lt;'Données projet'!$A$140,$CQ$205^A29,IF(A29='Données projet'!$A$140,'Données projet'!$B$140,CT28+CS29-DB28)))</f>
        <v>74.599999999999994</v>
      </c>
      <c r="CU29" s="17">
        <f>CT29*VLOOKUP('Données projet'!$B$13,Paramètres!$A$1:$I$89,3,0)*VLOOKUP('Données projet'!$B$13,Paramètres!$A$1:$I$89,5,0)</f>
        <v>59.351759999999999</v>
      </c>
      <c r="CV29" s="13">
        <f t="shared" si="41"/>
        <v>17.004270128994026</v>
      </c>
      <c r="CW29" s="20">
        <f t="shared" si="13"/>
        <v>132.9867524746646</v>
      </c>
      <c r="CX29" s="59">
        <f t="shared" si="14"/>
        <v>388.28129059381411</v>
      </c>
      <c r="CY29" s="59">
        <f ca="1">AVERAGE(OFFSET($CX$3,0,0,'Données projet'!$E$13+1,1))-AVERAGE(OFFSET($H$3,0,0,'Données projet'!$E$13+1,1))</f>
        <v>284.31574332240928</v>
      </c>
      <c r="CZ29" s="59">
        <f t="shared" si="42"/>
        <v>403.96994631683913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33.72665415546966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33.72665415546966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60.959116456737746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15.2</v>
      </c>
      <c r="DO29" s="12">
        <f>IF('Données projet'!$A$166&gt;35,DO28+DN29-DW28,IF(A29&lt;'Données projet'!$A$166,$DL$205^A29,IF(A29='Données projet'!$A$166,'Données projet'!$B$166,DO28+DN29-DW28)))</f>
        <v>114.8</v>
      </c>
      <c r="DP29" s="17">
        <f>DO29*VLOOKUP('Données projet'!$B$14,Paramètres!$A$1:$I$89,3,0)*VLOOKUP('Données projet'!$B$14,Paramètres!$A$1:$I$89,5,0)</f>
        <v>84.171359999999993</v>
      </c>
      <c r="DQ29" s="13">
        <f t="shared" si="43"/>
        <v>23.154066673803449</v>
      </c>
      <c r="DR29" s="20">
        <f t="shared" si="16"/>
        <v>186.92511812354098</v>
      </c>
      <c r="DS29" s="59">
        <f t="shared" si="17"/>
        <v>442.21965624269046</v>
      </c>
      <c r="DT29" s="59">
        <f ca="1">AVERAGE(OFFSET($DS$3,0,0,'Données projet'!$E$14+1,1))-AVERAGE(OFFSET($H$3,0,0,'Données projet'!$E$14+1,1))</f>
        <v>190.9519472160006</v>
      </c>
      <c r="DU29" s="59">
        <f t="shared" si="44"/>
        <v>170.61553500287511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18.739481868806585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18.739481868806585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60.959116456737746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17</v>
      </c>
      <c r="EJ29" s="12">
        <f>IF('Données projet'!$A$192&gt;35,EJ28+EI29-ER28,IF(A29&lt;'Données projet'!$A$192,$EG$205^A29,IF(A29='Données projet'!$A$192,'Données projet'!$B$192,EJ28+EI29-ER28)))</f>
        <v>43</v>
      </c>
      <c r="EK29" s="17">
        <f>EJ29*VLOOKUP('Données projet'!$B$15,Paramètres!$A$1:$I$89,3,0)*VLOOKUP('Données projet'!$B$15,Paramètres!$A$1:$I$89,5,0)</f>
        <v>36.894000000000005</v>
      </c>
      <c r="EL29" s="13">
        <f t="shared" si="45"/>
        <v>11.17156867911179</v>
      </c>
      <c r="EM29" s="20">
        <f t="shared" si="19"/>
        <v>83.714198782786369</v>
      </c>
      <c r="EN29" s="59">
        <f t="shared" si="20"/>
        <v>339.00873690193589</v>
      </c>
      <c r="EO29" s="59">
        <f ca="1">AVERAGE(OFFSET($EN$3,0,0,'Données projet'!$E$15+1,1))-AVERAGE(OFFSET($H$3,0,0,'Données projet'!$E$15+1,1))</f>
        <v>331.94255128154623</v>
      </c>
      <c r="EP29" s="59">
        <f t="shared" si="46"/>
        <v>258.40809812013964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60.959116456737746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24</v>
      </c>
      <c r="FE29" s="12">
        <f>IF('Données projet'!$A$218&gt;35,FE28+FD29-FM28,IF(A29&lt;'Données projet'!$A$218,$FB$205^A29,IF(A29='Données projet'!$A$218,'Données projet'!$B$218,FE28+FD29-FM28)))</f>
        <v>50</v>
      </c>
      <c r="FF29" s="17">
        <f>FE29*VLOOKUP('Données projet'!$B$16,Paramètres!$A$1:$I$89,3,0)*VLOOKUP('Données projet'!$B$16,Paramètres!$A$1:$I$89,5,0)</f>
        <v>47.58</v>
      </c>
      <c r="FG29" s="13">
        <f t="shared" si="47"/>
        <v>13.986991083433242</v>
      </c>
      <c r="FH29" s="20">
        <f t="shared" si="22"/>
        <v>107.22917613697955</v>
      </c>
      <c r="FI29" s="59">
        <f t="shared" si="23"/>
        <v>362.52371425612904</v>
      </c>
      <c r="FJ29" s="59">
        <f ca="1">AVERAGE(OFFSET($FI$3,0,0,'Données projet'!$E$16+1,1))-AVERAGE(OFFSET($H$3,0,0,'Données projet'!$E$16+1,1))</f>
        <v>290.72311302449236</v>
      </c>
      <c r="FK29" s="59">
        <f t="shared" si="48"/>
        <v>352.32552988394434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60.959116456737746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15.6</v>
      </c>
      <c r="FZ29" s="12">
        <f>IF('Données projet'!$A$244&gt;35,FZ28+FY29-GH28,IF(A29&lt;'Données projet'!$A$244,$FW$205^A29,IF(A29='Données projet'!$A$244,'Données projet'!$B$244,FZ28+FY29-GH28)))</f>
        <v>26.59999999999998</v>
      </c>
      <c r="GA29" s="17">
        <f>FZ29*VLOOKUP('Données projet'!$B$17,Paramètres!$A$1:$I$89,3,0)*VLOOKUP('Données projet'!$B$17,Paramètres!$A$1:$I$89,5,0)</f>
        <v>17.428319999999989</v>
      </c>
      <c r="GB29" s="13">
        <f t="shared" si="49"/>
        <v>5.7587131616514986</v>
      </c>
      <c r="GC29" s="20">
        <f t="shared" si="25"/>
        <v>40.384082756543009</v>
      </c>
      <c r="GD29" s="59">
        <f t="shared" si="26"/>
        <v>295.6786208756925</v>
      </c>
      <c r="GE29" s="59">
        <f ca="1">AVERAGE(OFFSET($GD$3,0,0,'Données projet'!$E$17+1,1))-AVERAGE(OFFSET($H$3,0,0,'Données projet'!$E$17+1,1))</f>
        <v>123.03972959251965</v>
      </c>
      <c r="GF29" s="59">
        <f t="shared" si="50"/>
        <v>178.27657680839445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17.850294433640506</v>
      </c>
      <c r="GN29" s="21">
        <f>EXP(-LN(2)/2)*GN28+(1-EXP(-LN(2)/2))/(LN(2)/2)*GH29*GK29*VLOOKUP('Données projet'!$B$17,Paramètres!$A$1:$I$89,3,0)*0.475*44/12</f>
        <v>7.922591535531514</v>
      </c>
      <c r="GO29" s="21">
        <f t="shared" si="27"/>
        <v>25.77288596917202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60.959116456737746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13.04</v>
      </c>
      <c r="GU29" s="12">
        <f>IF('Données projet'!$A$270&gt;35,GU28+GT29-HC28,IF(A29&lt;'Données projet'!$A$270,$GR$205^A29,IF(A29='Données projet'!$A$270,'Données projet'!$B$270,GU28+GT29-HC28)))</f>
        <v>339.04</v>
      </c>
      <c r="GV29" s="17">
        <f>GU29*VLOOKUP('Données projet'!$B$18,Paramètres!$A$1:$I$89,3,0)*VLOOKUP('Données projet'!$B$18,Paramètres!$A$1:$I$89,5,0)</f>
        <v>227.42803200000003</v>
      </c>
      <c r="GW29" s="13">
        <f t="shared" si="51"/>
        <v>55.726198468188997</v>
      </c>
      <c r="GX29" s="20">
        <f t="shared" si="28"/>
        <v>493.16028473209582</v>
      </c>
      <c r="GY29" s="59">
        <f t="shared" si="29"/>
        <v>748.45482285124535</v>
      </c>
      <c r="GZ29" s="59">
        <f ca="1">AVERAGE(OFFSET($GY$3,0,0,'Données projet'!$E$18+1,1))-AVERAGE(OFFSET($H$3,0,0,'Données projet'!$E$18+1,1))</f>
        <v>542.25674729323623</v>
      </c>
      <c r="HA29" s="59">
        <f t="shared" si="52"/>
        <v>614.73906555680685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0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2.8499999999999996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10.449999999999998</v>
      </c>
      <c r="H30" s="67">
        <f t="shared" si="1"/>
        <v>214.86666666666667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61.115955573825772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10.4</v>
      </c>
      <c r="N30" s="13">
        <f>IF('Données projet'!$A$36&gt;35,N29+M30-V29,IF(A30&lt;'Données projet'!$A$36,$K$205^A30,IF(A30='Données projet'!$A$36,'Données projet'!$B$36,N29+M30-V29)))</f>
        <v>280.79999999999995</v>
      </c>
      <c r="O30" s="13">
        <f>N30*VLOOKUP('Données projet'!$B$9,Paramètres!$A$1:$I$89,3,0)*VLOOKUP('Données projet'!$B$9,Paramètres!$A$1:$I$89,5,0)</f>
        <v>245.30688000000001</v>
      </c>
      <c r="P30" s="13">
        <f t="shared" si="33"/>
        <v>59.579874112906374</v>
      </c>
      <c r="Q30" s="20">
        <f t="shared" si="2"/>
        <v>531.01109674664531</v>
      </c>
      <c r="R30" s="59">
        <f t="shared" si="0"/>
        <v>788.10293385067314</v>
      </c>
      <c r="S30" s="59">
        <f ca="1">AVERAGE(OFFSET($R$3,0,0,'Données projet'!$E$9+1,1))-AVERAGE(OFFSET($H$3,0,0,'Données projet'!$E$9+1,1))</f>
        <v>686.80970545599644</v>
      </c>
      <c r="T30" s="59">
        <f t="shared" si="34"/>
        <v>636.16485232937737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61.115955573825772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3.6388888888888888</v>
      </c>
      <c r="AI30" s="13">
        <f>IF('Données projet'!$A$62&gt;35,AI29+AH30-AQ29,IF(A30&lt;'Données projet'!$A$62,$AF$205^A30,IF(A30='Données projet'!$A$62,'Données projet'!$B$62,AI29+AH30-AQ29)))</f>
        <v>98.249999999999943</v>
      </c>
      <c r="AJ30" s="13">
        <f>AI30*VLOOKUP('Données projet'!$B$10,Paramètres!$A$1:$I$89,3,0)*VLOOKUP('Données projet'!$B$10,Paramètres!$A$1:$I$89,5,0)</f>
        <v>88.89659999999995</v>
      </c>
      <c r="AK30" s="13">
        <f t="shared" si="35"/>
        <v>24.29892073125465</v>
      </c>
      <c r="AL30" s="20">
        <f t="shared" si="4"/>
        <v>197.14886527360179</v>
      </c>
      <c r="AM30" s="59">
        <f t="shared" si="5"/>
        <v>454.24070237762965</v>
      </c>
      <c r="AN30" s="59">
        <f ca="1">AVERAGE(OFFSET($AM$3,0,0,'Données projet'!$E$10+1,1))-AVERAGE(OFFSET($H$3,0,0,'Données projet'!$E$10+1,1))</f>
        <v>323.67375363913726</v>
      </c>
      <c r="AO30" s="59">
        <f t="shared" si="36"/>
        <v>266.03902815735029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61.115955573825772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24.6</v>
      </c>
      <c r="BD30" s="12">
        <f>IF('Données projet'!$A$88&gt;35,BD29+BC30-BL29,IF(A30&lt;'Données projet'!$A$88,$BA$205^A30,IF(A30='Données projet'!$A$88,'Données projet'!$B$88,BD29+BC30-BL29)))</f>
        <v>366.2000000000001</v>
      </c>
      <c r="BE30" s="13">
        <f>BD30*VLOOKUP('Données projet'!$B$11,Paramètres!$A$1:$I$89,3,0)*VLOOKUP('Données projet'!$B$11,Paramètres!$A$1:$I$89,5,0)</f>
        <v>204.70580000000007</v>
      </c>
      <c r="BF30" s="13">
        <f t="shared" si="37"/>
        <v>50.776956172604621</v>
      </c>
      <c r="BG30" s="20">
        <f t="shared" si="7"/>
        <v>444.96580033395315</v>
      </c>
      <c r="BH30" s="59">
        <f t="shared" si="8"/>
        <v>702.05763743798093</v>
      </c>
      <c r="BI30" s="59">
        <f ca="1">AVERAGE(OFFSET($BH$3,0,0,'Données projet'!$E$11+1,1))-AVERAGE(OFFSET($H$3,0,0,'Données projet'!$E$11+1,1))</f>
        <v>371.46495716091965</v>
      </c>
      <c r="BJ30" s="59">
        <f t="shared" si="38"/>
        <v>579.95059529269417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19.284655722991189</v>
      </c>
      <c r="BQ30" s="21">
        <f>EXP(-LN(2)/25)*BQ29+(1-EXP(-LN(2)/25))/(LN(2)/25)*Calculateur!BL30*Calculateur!BN30*VLOOKUP('Données projet'!$B$11,Paramètres!$A$1:$I$89,3,0)*0.475*44/12</f>
        <v>11.959828270550076</v>
      </c>
      <c r="BR30" s="21">
        <f>EXP(-LN(2)/2)*BR29+(1-EXP(-LN(2)/2))/(LN(2)/2)*BL30*BO30*VLOOKUP('Données projet'!$B$11,Paramètres!$A$1:$I$89,3,0)*0.475*44/12</f>
        <v>4.9799512826609762</v>
      </c>
      <c r="BS30" s="22">
        <f t="shared" si="9"/>
        <v>36.224435276202243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61.115955573825772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35.799999999999997</v>
      </c>
      <c r="BY30" s="12">
        <f>IF('Données projet'!$A$114&gt;35,BY29+BX30-CG29,IF(A30&lt;'Données projet'!$A$114,$BV$205^A30,IF(A30='Données projet'!$A$114,'Données projet'!$B$114,BY29+BX30-CG29)))</f>
        <v>113.60000000000001</v>
      </c>
      <c r="BZ30" s="13">
        <f>BY30*VLOOKUP('Données projet'!$B$12,Paramètres!$A$1:$I$89,3,0)*VLOOKUP('Données projet'!$B$12,Paramètres!$A$1:$I$89,5,0)</f>
        <v>70.886399999999995</v>
      </c>
      <c r="CA30" s="13">
        <f t="shared" si="39"/>
        <v>19.89342046454275</v>
      </c>
      <c r="CB30" s="20">
        <f t="shared" si="10"/>
        <v>158.10818730907863</v>
      </c>
      <c r="CC30" s="59">
        <f t="shared" si="11"/>
        <v>415.20002441310646</v>
      </c>
      <c r="CD30" s="59">
        <f ca="1">AVERAGE(OFFSET($CC$3,0,0,'Données projet'!$E$12+1,1))-AVERAGE(OFFSET($H$3,0,0,'Données projet'!$E$12+1,1))</f>
        <v>180.18752244216969</v>
      </c>
      <c r="CE30" s="59">
        <f t="shared" si="40"/>
        <v>350.12096474554676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70.179076274558071</v>
      </c>
      <c r="CM30" s="21">
        <f>EXP(-LN(2)/2)*CM29+(1-EXP(-LN(2)/2))/(LN(2)/2)*CG30*CJ30*VLOOKUP('Données projet'!$B$12,Paramètres!$A$1:$I$89,3,0)*0.475*44/12</f>
        <v>17.439710934428096</v>
      </c>
      <c r="CN30" s="22">
        <f t="shared" si="12"/>
        <v>87.618787208986163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61.115955573825772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32.6</v>
      </c>
      <c r="CT30" s="12">
        <f>IF('Données projet'!$A$140&gt;35,CT29+CS30-DB29,IF(A30&lt;'Données projet'!$A$140,$CQ$205^A30,IF(A30='Données projet'!$A$140,'Données projet'!$B$140,CT29+CS30-DB29)))</f>
        <v>107.19999999999999</v>
      </c>
      <c r="CU30" s="17">
        <f>CT30*VLOOKUP('Données projet'!$B$13,Paramètres!$A$1:$I$89,3,0)*VLOOKUP('Données projet'!$B$13,Paramètres!$A$1:$I$89,5,0)</f>
        <v>85.288319999999999</v>
      </c>
      <c r="CV30" s="13">
        <f t="shared" si="41"/>
        <v>23.425349540470684</v>
      </c>
      <c r="CW30" s="20">
        <f t="shared" si="13"/>
        <v>189.34297444965307</v>
      </c>
      <c r="CX30" s="59">
        <f t="shared" si="14"/>
        <v>446.4348115536809</v>
      </c>
      <c r="CY30" s="59">
        <f ca="1">AVERAGE(OFFSET($CX$3,0,0,'Données projet'!$E$13+1,1))-AVERAGE(OFFSET($H$3,0,0,'Données projet'!$E$13+1,1))</f>
        <v>284.31574332240928</v>
      </c>
      <c r="CZ30" s="59">
        <f t="shared" si="42"/>
        <v>403.96994631683913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33.065295038708697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33.065295038708697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61.115955573825772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>
        <f>VLOOKUP(A30,'Données projet'!$A$165:$I$185,2,0)</f>
        <v>130</v>
      </c>
      <c r="DM30" s="12">
        <f>VLOOKUP(A30,'Données projet'!$A$165:$I$185,9,0)</f>
        <v>15.2</v>
      </c>
      <c r="DN30" s="12">
        <f t="array" ref="DN30">INDEX(DM:DM,MIN(IF(ISNUMBER(DM30:DM226),ROW(DM30:DM226),"")))</f>
        <v>15.2</v>
      </c>
      <c r="DO30" s="12">
        <f>IF('Données projet'!$A$166&gt;35,DO29+DN30-DW29,IF(A30&lt;'Données projet'!$A$166,$DL$205^A30,IF(A30='Données projet'!$A$166,'Données projet'!$B$166,DO29+DN30-DW29)))</f>
        <v>130</v>
      </c>
      <c r="DP30" s="17">
        <f>DO30*VLOOKUP('Données projet'!$B$14,Paramètres!$A$1:$I$89,3,0)*VLOOKUP('Données projet'!$B$14,Paramètres!$A$1:$I$89,5,0)</f>
        <v>95.315999999999988</v>
      </c>
      <c r="DQ30" s="13">
        <f t="shared" si="43"/>
        <v>25.843002723192381</v>
      </c>
      <c r="DR30" s="20">
        <f t="shared" si="16"/>
        <v>211.01859640956005</v>
      </c>
      <c r="DS30" s="59">
        <f t="shared" si="17"/>
        <v>468.11043351358785</v>
      </c>
      <c r="DT30" s="59">
        <f ca="1">AVERAGE(OFFSET($DS$3,0,0,'Données projet'!$E$14+1,1))-AVERAGE(OFFSET($H$3,0,0,'Données projet'!$E$14+1,1))</f>
        <v>190.9519472160006</v>
      </c>
      <c r="DU30" s="59">
        <f t="shared" si="44"/>
        <v>170.61553500287511</v>
      </c>
      <c r="DV30" s="15">
        <f>IF(ISNA(VLOOKUP(A30,'Données projet'!$A$165:$I$185,3,0)),0,VLOOKUP(A30,'Données projet'!$A$165:$I$185,3,0))</f>
        <v>5</v>
      </c>
      <c r="DW30" s="15">
        <f>IF(ISNA(VLOOKUP(A30,'Données projet'!$A$165:$I$185,4,0)),0,VLOOKUP(A30,'Données projet'!$A$165:$I$185,4,0))</f>
        <v>92</v>
      </c>
      <c r="DX30" s="16">
        <f>IF(ISNA(VLOOKUP(A30,'Données projet'!$A$165:$I$185,5,0)),0%,VLOOKUP(A30,'Données projet'!$A$165:$I$185,5,0)*VLOOKUP('Données projet'!$B$14,Paramètres!$A$1:$I$89,7,0))</f>
        <v>0.34400000000000003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44.023693421508213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44.023693421508213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61.115955573825772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17</v>
      </c>
      <c r="EJ30" s="12">
        <f>IF('Données projet'!$A$192&gt;35,EJ29+EI30-ER29,IF(A30&lt;'Données projet'!$A$192,$EG$205^A30,IF(A30='Données projet'!$A$192,'Données projet'!$B$192,EJ29+EI30-ER29)))</f>
        <v>60</v>
      </c>
      <c r="EK30" s="17">
        <f>EJ30*VLOOKUP('Données projet'!$B$15,Paramètres!$A$1:$I$89,3,0)*VLOOKUP('Données projet'!$B$15,Paramètres!$A$1:$I$89,5,0)</f>
        <v>51.480000000000004</v>
      </c>
      <c r="EL30" s="13">
        <f t="shared" si="45"/>
        <v>14.995324806875232</v>
      </c>
      <c r="EM30" s="20">
        <f t="shared" si="19"/>
        <v>115.77785737197435</v>
      </c>
      <c r="EN30" s="59">
        <f t="shared" si="20"/>
        <v>372.86969447600217</v>
      </c>
      <c r="EO30" s="59">
        <f ca="1">AVERAGE(OFFSET($EN$3,0,0,'Données projet'!$E$15+1,1))-AVERAGE(OFFSET($H$3,0,0,'Données projet'!$E$15+1,1))</f>
        <v>331.94255128154623</v>
      </c>
      <c r="EP30" s="59">
        <f t="shared" si="46"/>
        <v>258.40809812013964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61.115955573825772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24</v>
      </c>
      <c r="FE30" s="12">
        <f>IF('Données projet'!$A$218&gt;35,FE29+FD30-FM29,IF(A30&lt;'Données projet'!$A$218,$FB$205^A30,IF(A30='Données projet'!$A$218,'Données projet'!$B$218,FE29+FD30-FM29)))</f>
        <v>74</v>
      </c>
      <c r="FF30" s="17">
        <f>FE30*VLOOKUP('Données projet'!$B$16,Paramètres!$A$1:$I$89,3,0)*VLOOKUP('Données projet'!$B$16,Paramètres!$A$1:$I$89,5,0)</f>
        <v>70.418400000000005</v>
      </c>
      <c r="FG30" s="13">
        <f t="shared" si="47"/>
        <v>19.777324972922738</v>
      </c>
      <c r="FH30" s="20">
        <f t="shared" si="22"/>
        <v>157.09088766117378</v>
      </c>
      <c r="FI30" s="59">
        <f t="shared" si="23"/>
        <v>414.18272476520161</v>
      </c>
      <c r="FJ30" s="59">
        <f ca="1">AVERAGE(OFFSET($FI$3,0,0,'Données projet'!$E$16+1,1))-AVERAGE(OFFSET($H$3,0,0,'Données projet'!$E$16+1,1))</f>
        <v>290.72311302449236</v>
      </c>
      <c r="FK30" s="59">
        <f t="shared" si="48"/>
        <v>352.32552988394434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61.115955573825772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15.6</v>
      </c>
      <c r="FZ30" s="12">
        <f>IF('Données projet'!$A$244&gt;35,FZ29+FY30-GH29,IF(A30&lt;'Données projet'!$A$244,$FW$205^A30,IF(A30='Données projet'!$A$244,'Données projet'!$B$244,FZ29+FY30-GH29)))</f>
        <v>42.199999999999982</v>
      </c>
      <c r="GA30" s="17">
        <f>FZ30*VLOOKUP('Données projet'!$B$17,Paramètres!$A$1:$I$89,3,0)*VLOOKUP('Données projet'!$B$17,Paramètres!$A$1:$I$89,5,0)</f>
        <v>27.649439999999991</v>
      </c>
      <c r="GB30" s="13">
        <f t="shared" si="49"/>
        <v>8.6581701169609833</v>
      </c>
      <c r="GC30" s="20">
        <f t="shared" si="25"/>
        <v>63.235754287040358</v>
      </c>
      <c r="GD30" s="59">
        <f t="shared" si="26"/>
        <v>320.32759139106821</v>
      </c>
      <c r="GE30" s="59">
        <f ca="1">AVERAGE(OFFSET($GD$3,0,0,'Données projet'!$E$17+1,1))-AVERAGE(OFFSET($H$3,0,0,'Données projet'!$E$17+1,1))</f>
        <v>123.03972959251965</v>
      </c>
      <c r="GF30" s="59">
        <f t="shared" si="50"/>
        <v>178.27657680839445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17.362177193646421</v>
      </c>
      <c r="GN30" s="21">
        <f>EXP(-LN(2)/2)*GN29+(1-EXP(-LN(2)/2))/(LN(2)/2)*GH30*GK30*VLOOKUP('Données projet'!$B$17,Paramètres!$A$1:$I$89,3,0)*0.475*44/12</f>
        <v>5.6021181993454761</v>
      </c>
      <c r="GO30" s="21">
        <f t="shared" si="27"/>
        <v>22.964295392991897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61.115955573825772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13.04</v>
      </c>
      <c r="GU30" s="12">
        <f>IF('Données projet'!$A$270&gt;35,GU29+GT30-HC29,IF(A30&lt;'Données projet'!$A$270,$GR$205^A30,IF(A30='Données projet'!$A$270,'Données projet'!$B$270,GU29+GT30-HC29)))</f>
        <v>352.08000000000004</v>
      </c>
      <c r="GV30" s="17">
        <f>GU30*VLOOKUP('Données projet'!$B$18,Paramètres!$A$1:$I$89,3,0)*VLOOKUP('Données projet'!$B$18,Paramètres!$A$1:$I$89,5,0)</f>
        <v>236.17526400000003</v>
      </c>
      <c r="GW30" s="13">
        <f t="shared" si="51"/>
        <v>57.615852086744226</v>
      </c>
      <c r="GX30" s="20">
        <f t="shared" si="28"/>
        <v>511.68619385107951</v>
      </c>
      <c r="GY30" s="59">
        <f t="shared" si="29"/>
        <v>768.7780309551074</v>
      </c>
      <c r="GZ30" s="59">
        <f ca="1">AVERAGE(OFFSET($GY$3,0,0,'Données projet'!$E$18+1,1))-AVERAGE(OFFSET($H$3,0,0,'Données projet'!$E$18+1,1))</f>
        <v>542.25674729323623</v>
      </c>
      <c r="HA30" s="59">
        <f t="shared" si="52"/>
        <v>614.73906555680685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0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2.8499999999999996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10.449999999999998</v>
      </c>
      <c r="H31" s="67">
        <f t="shared" si="1"/>
        <v>214.86666666666667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61.270073882872069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10.4</v>
      </c>
      <c r="N31" s="13">
        <f>IF('Données projet'!$A$36&gt;35,N30+M31-V30,IF(A31&lt;'Données projet'!$A$36,$K$205^A31,IF(A31='Données projet'!$A$36,'Données projet'!$B$36,N30+M31-V30)))</f>
        <v>291.19999999999993</v>
      </c>
      <c r="O31" s="13">
        <f>N31*VLOOKUP('Données projet'!$B$9,Paramètres!$A$1:$I$89,3,0)*VLOOKUP('Données projet'!$B$9,Paramètres!$A$1:$I$89,5,0)</f>
        <v>254.39231999999996</v>
      </c>
      <c r="P31" s="13">
        <f t="shared" si="33"/>
        <v>61.52553456145921</v>
      </c>
      <c r="Q31" s="20">
        <f t="shared" si="2"/>
        <v>550.22359669454136</v>
      </c>
      <c r="R31" s="59">
        <f t="shared" si="0"/>
        <v>809.10275648729453</v>
      </c>
      <c r="S31" s="59">
        <f ca="1">AVERAGE(OFFSET($R$3,0,0,'Données projet'!$E$9+1,1))-AVERAGE(OFFSET($H$3,0,0,'Données projet'!$E$9+1,1))</f>
        <v>686.80970545599644</v>
      </c>
      <c r="T31" s="59">
        <f t="shared" si="34"/>
        <v>636.16485232937737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61.270073882872069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3.6388888888888888</v>
      </c>
      <c r="AI31" s="13">
        <f>IF('Données projet'!$A$62&gt;35,AI30+AH31-AQ30,IF(A31&lt;'Données projet'!$A$62,$AF$205^A31,IF(A31='Données projet'!$A$62,'Données projet'!$B$62,AI30+AH31-AQ30)))</f>
        <v>101.88888888888883</v>
      </c>
      <c r="AJ31" s="13">
        <f>AI31*VLOOKUP('Données projet'!$B$10,Paramètres!$A$1:$I$89,3,0)*VLOOKUP('Données projet'!$B$10,Paramètres!$A$1:$I$89,5,0)</f>
        <v>92.189066666666605</v>
      </c>
      <c r="AK31" s="13">
        <f t="shared" si="35"/>
        <v>25.092434475841106</v>
      </c>
      <c r="AL31" s="20">
        <f t="shared" si="4"/>
        <v>204.26528115653423</v>
      </c>
      <c r="AM31" s="59">
        <f t="shared" si="5"/>
        <v>463.14444094928734</v>
      </c>
      <c r="AN31" s="59">
        <f ca="1">AVERAGE(OFFSET($AM$3,0,0,'Données projet'!$E$10+1,1))-AVERAGE(OFFSET($H$3,0,0,'Données projet'!$E$10+1,1))</f>
        <v>323.67375363913726</v>
      </c>
      <c r="AO31" s="59">
        <f t="shared" si="36"/>
        <v>266.03902815735029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61.270073882872069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24.6</v>
      </c>
      <c r="BD31" s="12">
        <f>IF('Données projet'!$A$88&gt;35,BD30+BC31-BL30,IF(A31&lt;'Données projet'!$A$88,$BA$205^A31,IF(A31='Données projet'!$A$88,'Données projet'!$B$88,BD30+BC31-BL30)))</f>
        <v>390.80000000000013</v>
      </c>
      <c r="BE31" s="13">
        <f>BD31*VLOOKUP('Données projet'!$B$11,Paramètres!$A$1:$I$89,3,0)*VLOOKUP('Données projet'!$B$11,Paramètres!$A$1:$I$89,5,0)</f>
        <v>218.45720000000006</v>
      </c>
      <c r="BF31" s="13">
        <f t="shared" si="37"/>
        <v>53.779428547055552</v>
      </c>
      <c r="BG31" s="20">
        <f t="shared" si="7"/>
        <v>474.14546138612178</v>
      </c>
      <c r="BH31" s="59">
        <f t="shared" si="8"/>
        <v>733.0246211788749</v>
      </c>
      <c r="BI31" s="59">
        <f ca="1">AVERAGE(OFFSET($BH$3,0,0,'Données projet'!$E$11+1,1))-AVERAGE(OFFSET($H$3,0,0,'Données projet'!$E$11+1,1))</f>
        <v>371.46495716091965</v>
      </c>
      <c r="BJ31" s="59">
        <f t="shared" si="38"/>
        <v>579.95059529269417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18.906495386741874</v>
      </c>
      <c r="BQ31" s="21">
        <f>EXP(-LN(2)/25)*BQ30+(1-EXP(-LN(2)/25))/(LN(2)/25)*Calculateur!BL31*Calculateur!BN31*VLOOKUP('Données projet'!$B$11,Paramètres!$A$1:$I$89,3,0)*0.475*44/12</f>
        <v>11.63278613755185</v>
      </c>
      <c r="BR31" s="21">
        <f>EXP(-LN(2)/2)*BR30+(1-EXP(-LN(2)/2))/(LN(2)/2)*BL31*BO31*VLOOKUP('Données projet'!$B$11,Paramètres!$A$1:$I$89,3,0)*0.475*44/12</f>
        <v>3.5213573219482219</v>
      </c>
      <c r="BS31" s="22">
        <f t="shared" si="9"/>
        <v>34.060638846241943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61.270073882872069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35.799999999999997</v>
      </c>
      <c r="BY31" s="12">
        <f>IF('Données projet'!$A$114&gt;35,BY30+BX31-CG30,IF(A31&lt;'Données projet'!$A$114,$BV$205^A31,IF(A31='Données projet'!$A$114,'Données projet'!$B$114,BY30+BX31-CG30)))</f>
        <v>149.4</v>
      </c>
      <c r="BZ31" s="13">
        <f>BY31*VLOOKUP('Données projet'!$B$12,Paramètres!$A$1:$I$89,3,0)*VLOOKUP('Données projet'!$B$12,Paramètres!$A$1:$I$89,5,0)</f>
        <v>93.225600000000014</v>
      </c>
      <c r="CA31" s="13">
        <f t="shared" si="39"/>
        <v>25.341560592852286</v>
      </c>
      <c r="CB31" s="20">
        <f t="shared" si="10"/>
        <v>206.50447136588443</v>
      </c>
      <c r="CC31" s="59">
        <f t="shared" si="11"/>
        <v>465.38363115863751</v>
      </c>
      <c r="CD31" s="59">
        <f ca="1">AVERAGE(OFFSET($CC$3,0,0,'Données projet'!$E$12+1,1))-AVERAGE(OFFSET($H$3,0,0,'Données projet'!$E$12+1,1))</f>
        <v>180.18752244216969</v>
      </c>
      <c r="CE31" s="59">
        <f t="shared" si="40"/>
        <v>350.12096474554676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68.260025743273061</v>
      </c>
      <c r="CM31" s="21">
        <f>EXP(-LN(2)/2)*CM30+(1-EXP(-LN(2)/2))/(LN(2)/2)*CG31*CJ31*VLOOKUP('Données projet'!$B$12,Paramètres!$A$1:$I$89,3,0)*0.475*44/12</f>
        <v>12.331737863667289</v>
      </c>
      <c r="CN31" s="22">
        <f t="shared" si="12"/>
        <v>80.591763606940347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61.270073882872069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32.6</v>
      </c>
      <c r="CT31" s="12">
        <f>IF('Données projet'!$A$140&gt;35,CT30+CS31-DB30,IF(A31&lt;'Données projet'!$A$140,$CQ$205^A31,IF(A31='Données projet'!$A$140,'Données projet'!$B$140,CT30+CS31-DB30)))</f>
        <v>139.79999999999998</v>
      </c>
      <c r="CU31" s="17">
        <f>CT31*VLOOKUP('Données projet'!$B$13,Paramètres!$A$1:$I$89,3,0)*VLOOKUP('Données projet'!$B$13,Paramètres!$A$1:$I$89,5,0)</f>
        <v>111.22487999999998</v>
      </c>
      <c r="CV31" s="13">
        <f t="shared" si="41"/>
        <v>29.619389596563099</v>
      </c>
      <c r="CW31" s="20">
        <f t="shared" si="13"/>
        <v>245.3037695473474</v>
      </c>
      <c r="CX31" s="59">
        <f t="shared" si="14"/>
        <v>504.18292934010049</v>
      </c>
      <c r="CY31" s="59">
        <f ca="1">AVERAGE(OFFSET($CX$3,0,0,'Données projet'!$E$13+1,1))-AVERAGE(OFFSET($H$3,0,0,'Données projet'!$E$13+1,1))</f>
        <v>284.31574332240928</v>
      </c>
      <c r="CZ31" s="59">
        <f t="shared" si="42"/>
        <v>403.96994631683913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32.416904770838187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32.416904770838187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61.270073882872069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12.25</v>
      </c>
      <c r="DO31" s="12">
        <f>IF('Données projet'!$A$166&gt;35,DO30+DN31-DW30,IF(A31&lt;'Données projet'!$A$166,$DL$205^A31,IF(A31='Données projet'!$A$166,'Données projet'!$B$166,DO30+DN31-DW30)))</f>
        <v>50.25</v>
      </c>
      <c r="DP31" s="17">
        <f>DO31*VLOOKUP('Données projet'!$B$14,Paramètres!$A$1:$I$89,3,0)*VLOOKUP('Données projet'!$B$14,Paramètres!$A$1:$I$89,5,0)</f>
        <v>36.843299999999999</v>
      </c>
      <c r="DQ31" s="13">
        <f t="shared" si="43"/>
        <v>11.158002522273675</v>
      </c>
      <c r="DR31" s="20">
        <f t="shared" si="16"/>
        <v>83.602268559626637</v>
      </c>
      <c r="DS31" s="59">
        <f t="shared" si="17"/>
        <v>342.48142835237974</v>
      </c>
      <c r="DT31" s="59">
        <f ca="1">AVERAGE(OFFSET($DS$3,0,0,'Données projet'!$E$14+1,1))-AVERAGE(OFFSET($H$3,0,0,'Données projet'!$E$14+1,1))</f>
        <v>190.9519472160006</v>
      </c>
      <c r="DU31" s="59">
        <f t="shared" si="44"/>
        <v>170.61553500287511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43.160415645314032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43.160415645314032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61.270073882872069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17</v>
      </c>
      <c r="EJ31" s="12">
        <f>IF('Données projet'!$A$192&gt;35,EJ30+EI31-ER30,IF(A31&lt;'Données projet'!$A$192,$EG$205^A31,IF(A31='Données projet'!$A$192,'Données projet'!$B$192,EJ30+EI31-ER30)))</f>
        <v>77</v>
      </c>
      <c r="EK31" s="17">
        <f>EJ31*VLOOKUP('Données projet'!$B$15,Paramètres!$A$1:$I$89,3,0)*VLOOKUP('Données projet'!$B$15,Paramètres!$A$1:$I$89,5,0)</f>
        <v>66.066000000000003</v>
      </c>
      <c r="EL31" s="13">
        <f t="shared" si="45"/>
        <v>18.69324238096624</v>
      </c>
      <c r="EM31" s="20">
        <f t="shared" si="19"/>
        <v>147.62234714684953</v>
      </c>
      <c r="EN31" s="59">
        <f t="shared" si="20"/>
        <v>406.50150693960268</v>
      </c>
      <c r="EO31" s="59">
        <f ca="1">AVERAGE(OFFSET($EN$3,0,0,'Données projet'!$E$15+1,1))-AVERAGE(OFFSET($H$3,0,0,'Données projet'!$E$15+1,1))</f>
        <v>331.94255128154623</v>
      </c>
      <c r="EP31" s="59">
        <f t="shared" si="46"/>
        <v>258.40809812013964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61.270073882872069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24</v>
      </c>
      <c r="FE31" s="12">
        <f>IF('Données projet'!$A$218&gt;35,FE30+FD31-FM30,IF(A31&lt;'Données projet'!$A$218,$FB$205^A31,IF(A31='Données projet'!$A$218,'Données projet'!$B$218,FE30+FD31-FM30)))</f>
        <v>98</v>
      </c>
      <c r="FF31" s="17">
        <f>FE31*VLOOKUP('Données projet'!$B$16,Paramètres!$A$1:$I$89,3,0)*VLOOKUP('Données projet'!$B$16,Paramètres!$A$1:$I$89,5,0)</f>
        <v>93.256799999999998</v>
      </c>
      <c r="FG31" s="13">
        <f t="shared" si="47"/>
        <v>25.34905435685781</v>
      </c>
      <c r="FH31" s="20">
        <f t="shared" si="22"/>
        <v>206.57186300486069</v>
      </c>
      <c r="FI31" s="59">
        <f t="shared" si="23"/>
        <v>465.4510227976138</v>
      </c>
      <c r="FJ31" s="59">
        <f ca="1">AVERAGE(OFFSET($FI$3,0,0,'Données projet'!$E$16+1,1))-AVERAGE(OFFSET($H$3,0,0,'Données projet'!$E$16+1,1))</f>
        <v>290.72311302449236</v>
      </c>
      <c r="FK31" s="59">
        <f t="shared" si="48"/>
        <v>352.32552988394434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61.270073882872069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15.6</v>
      </c>
      <c r="FZ31" s="12">
        <f>IF('Données projet'!$A$244&gt;35,FZ30+FY31-GH30,IF(A31&lt;'Données projet'!$A$244,$FW$205^A31,IF(A31='Données projet'!$A$244,'Données projet'!$B$244,FZ30+FY31-GH30)))</f>
        <v>57.799999999999983</v>
      </c>
      <c r="GA31" s="17">
        <f>FZ31*VLOOKUP('Données projet'!$B$17,Paramètres!$A$1:$I$89,3,0)*VLOOKUP('Données projet'!$B$17,Paramètres!$A$1:$I$89,5,0)</f>
        <v>37.87055999999999</v>
      </c>
      <c r="GB31" s="13">
        <f t="shared" si="49"/>
        <v>11.432454220726362</v>
      </c>
      <c r="GC31" s="20">
        <f t="shared" si="25"/>
        <v>85.869416434431727</v>
      </c>
      <c r="GD31" s="59">
        <f t="shared" si="26"/>
        <v>344.74857622718486</v>
      </c>
      <c r="GE31" s="59">
        <f ca="1">AVERAGE(OFFSET($GD$3,0,0,'Données projet'!$E$17+1,1))-AVERAGE(OFFSET($H$3,0,0,'Données projet'!$E$17+1,1))</f>
        <v>123.03972959251965</v>
      </c>
      <c r="GF31" s="59">
        <f t="shared" si="50"/>
        <v>178.27657680839445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16.887407545248941</v>
      </c>
      <c r="GN31" s="21">
        <f>EXP(-LN(2)/2)*GN30+(1-EXP(-LN(2)/2))/(LN(2)/2)*GH31*GK31*VLOOKUP('Données projet'!$B$17,Paramètres!$A$1:$I$89,3,0)*0.475*44/12</f>
        <v>3.9612957677657574</v>
      </c>
      <c r="GO31" s="21">
        <f t="shared" si="27"/>
        <v>20.848703313014699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61.270073882872069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13.04</v>
      </c>
      <c r="GU31" s="12">
        <f>IF('Données projet'!$A$270&gt;35,GU30+GT31-HC30,IF(A31&lt;'Données projet'!$A$270,$GR$205^A31,IF(A31='Données projet'!$A$270,'Données projet'!$B$270,GU30+GT31-HC30)))</f>
        <v>365.12000000000006</v>
      </c>
      <c r="GV31" s="17">
        <f>GU31*VLOOKUP('Données projet'!$B$18,Paramètres!$A$1:$I$89,3,0)*VLOOKUP('Données projet'!$B$18,Paramètres!$A$1:$I$89,5,0)</f>
        <v>244.92249600000005</v>
      </c>
      <c r="GW31" s="13">
        <f t="shared" si="51"/>
        <v>59.497374770098936</v>
      </c>
      <c r="GX31" s="20">
        <f t="shared" si="28"/>
        <v>530.1979415912557</v>
      </c>
      <c r="GY31" s="59">
        <f t="shared" si="29"/>
        <v>789.07710138400876</v>
      </c>
      <c r="GZ31" s="59">
        <f ca="1">AVERAGE(OFFSET($GY$3,0,0,'Données projet'!$E$18+1,1))-AVERAGE(OFFSET($H$3,0,0,'Données projet'!$E$18+1,1))</f>
        <v>542.25674729323623</v>
      </c>
      <c r="HA31" s="59">
        <f t="shared" si="52"/>
        <v>614.73906555680685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0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2.8499999999999996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10.449999999999998</v>
      </c>
      <c r="H32" s="67">
        <f t="shared" si="1"/>
        <v>214.86666666666667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61.421518583813324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10.4</v>
      </c>
      <c r="N32" s="13">
        <f>IF('Données projet'!$A$36&gt;35,N31+M32-V31,IF(A32&lt;'Données projet'!$A$36,$K$205^A32,IF(A32='Données projet'!$A$36,'Données projet'!$B$36,N31+M32-V31)))</f>
        <v>301.59999999999991</v>
      </c>
      <c r="O32" s="13">
        <f>N32*VLOOKUP('Données projet'!$B$9,Paramètres!$A$1:$I$89,3,0)*VLOOKUP('Données projet'!$B$9,Paramètres!$A$1:$I$89,5,0)</f>
        <v>263.47775999999993</v>
      </c>
      <c r="P32" s="13">
        <f t="shared" si="33"/>
        <v>63.46312159763346</v>
      </c>
      <c r="Q32" s="20">
        <f t="shared" si="2"/>
        <v>569.42203544921142</v>
      </c>
      <c r="R32" s="59">
        <f t="shared" si="0"/>
        <v>830.07871470097143</v>
      </c>
      <c r="S32" s="59">
        <f ca="1">AVERAGE(OFFSET($R$3,0,0,'Données projet'!$E$9+1,1))-AVERAGE(OFFSET($H$3,0,0,'Données projet'!$E$9+1,1))</f>
        <v>686.80970545599644</v>
      </c>
      <c r="T32" s="59">
        <f t="shared" si="34"/>
        <v>636.16485232937737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61.421518583813324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3.6388888888888888</v>
      </c>
      <c r="AI32" s="13">
        <f>IF('Données projet'!$A$62&gt;35,AI31+AH32-AQ31,IF(A32&lt;'Données projet'!$A$62,$AF$205^A32,IF(A32='Données projet'!$A$62,'Données projet'!$B$62,AI31+AH32-AQ31)))</f>
        <v>105.52777777777771</v>
      </c>
      <c r="AJ32" s="13">
        <f>AI32*VLOOKUP('Données projet'!$B$10,Paramètres!$A$1:$I$89,3,0)*VLOOKUP('Données projet'!$B$10,Paramètres!$A$1:$I$89,5,0)</f>
        <v>95.481533333333275</v>
      </c>
      <c r="AK32" s="13">
        <f t="shared" si="35"/>
        <v>25.882655578233575</v>
      </c>
      <c r="AL32" s="20">
        <f t="shared" si="4"/>
        <v>211.37596235431226</v>
      </c>
      <c r="AM32" s="59">
        <f t="shared" si="5"/>
        <v>472.03264160607222</v>
      </c>
      <c r="AN32" s="59">
        <f ca="1">AVERAGE(OFFSET($AM$3,0,0,'Données projet'!$E$10+1,1))-AVERAGE(OFFSET($H$3,0,0,'Données projet'!$E$10+1,1))</f>
        <v>323.67375363913726</v>
      </c>
      <c r="AO32" s="59">
        <f t="shared" si="36"/>
        <v>266.03902815735029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61.421518583813324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24.6</v>
      </c>
      <c r="BD32" s="12">
        <f>IF('Données projet'!$A$88&gt;35,BD31+BC32-BL31,IF(A32&lt;'Données projet'!$A$88,$BA$205^A32,IF(A32='Données projet'!$A$88,'Données projet'!$B$88,BD31+BC32-BL31)))</f>
        <v>415.40000000000015</v>
      </c>
      <c r="BE32" s="13">
        <f>BD32*VLOOKUP('Données projet'!$B$11,Paramètres!$A$1:$I$89,3,0)*VLOOKUP('Données projet'!$B$11,Paramètres!$A$1:$I$89,5,0)</f>
        <v>232.2086000000001</v>
      </c>
      <c r="BF32" s="13">
        <f t="shared" si="37"/>
        <v>56.759966547343083</v>
      </c>
      <c r="BG32" s="20">
        <f t="shared" si="7"/>
        <v>503.28692006995601</v>
      </c>
      <c r="BH32" s="59">
        <f t="shared" si="8"/>
        <v>763.94359932171596</v>
      </c>
      <c r="BI32" s="59">
        <f ca="1">AVERAGE(OFFSET($BH$3,0,0,'Données projet'!$E$11+1,1))-AVERAGE(OFFSET($H$3,0,0,'Données projet'!$E$11+1,1))</f>
        <v>371.46495716091965</v>
      </c>
      <c r="BJ32" s="59">
        <f t="shared" si="38"/>
        <v>579.95059529269417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18.53575054403138</v>
      </c>
      <c r="BQ32" s="21">
        <f>EXP(-LN(2)/25)*BQ31+(1-EXP(-LN(2)/25))/(LN(2)/25)*Calculateur!BL32*Calculateur!BN32*VLOOKUP('Données projet'!$B$11,Paramètres!$A$1:$I$89,3,0)*0.475*44/12</f>
        <v>11.31468698887886</v>
      </c>
      <c r="BR32" s="21">
        <f>EXP(-LN(2)/2)*BR31+(1-EXP(-LN(2)/2))/(LN(2)/2)*BL32*BO32*VLOOKUP('Données projet'!$B$11,Paramètres!$A$1:$I$89,3,0)*0.475*44/12</f>
        <v>2.4899756413304885</v>
      </c>
      <c r="BS32" s="22">
        <f t="shared" si="9"/>
        <v>32.34041317424073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61.421518583813324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35.799999999999997</v>
      </c>
      <c r="BY32" s="12">
        <f>IF('Données projet'!$A$114&gt;35,BY31+BX32-CG31,IF(A32&lt;'Données projet'!$A$114,$BV$205^A32,IF(A32='Données projet'!$A$114,'Données projet'!$B$114,BY31+BX32-CG31)))</f>
        <v>185.2</v>
      </c>
      <c r="BZ32" s="13">
        <f>BY32*VLOOKUP('Données projet'!$B$12,Paramètres!$A$1:$I$89,3,0)*VLOOKUP('Données projet'!$B$12,Paramètres!$A$1:$I$89,5,0)</f>
        <v>115.56479999999999</v>
      </c>
      <c r="CA32" s="13">
        <f t="shared" si="39"/>
        <v>30.638305361236441</v>
      </c>
      <c r="CB32" s="20">
        <f t="shared" si="10"/>
        <v>254.63707517082011</v>
      </c>
      <c r="CC32" s="59">
        <f t="shared" si="11"/>
        <v>515.29375442258004</v>
      </c>
      <c r="CD32" s="59">
        <f ca="1">AVERAGE(OFFSET($CC$3,0,0,'Données projet'!$E$12+1,1))-AVERAGE(OFFSET($H$3,0,0,'Données projet'!$E$12+1,1))</f>
        <v>180.18752244216969</v>
      </c>
      <c r="CE32" s="59">
        <f t="shared" si="40"/>
        <v>350.12096474554676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66.393451749684516</v>
      </c>
      <c r="CM32" s="21">
        <f>EXP(-LN(2)/2)*CM31+(1-EXP(-LN(2)/2))/(LN(2)/2)*CG32*CJ32*VLOOKUP('Données projet'!$B$12,Paramètres!$A$1:$I$89,3,0)*0.475*44/12</f>
        <v>8.7198554672140496</v>
      </c>
      <c r="CN32" s="22">
        <f t="shared" si="12"/>
        <v>75.113307216898562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61.421518583813324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32.6</v>
      </c>
      <c r="CT32" s="12">
        <f>IF('Données projet'!$A$140&gt;35,CT31+CS32-DB31,IF(A32&lt;'Données projet'!$A$140,$CQ$205^A32,IF(A32='Données projet'!$A$140,'Données projet'!$B$140,CT31+CS32-DB31)))</f>
        <v>172.39999999999998</v>
      </c>
      <c r="CU32" s="17">
        <f>CT32*VLOOKUP('Données projet'!$B$13,Paramètres!$A$1:$I$89,3,0)*VLOOKUP('Données projet'!$B$13,Paramètres!$A$1:$I$89,5,0)</f>
        <v>137.16144</v>
      </c>
      <c r="CV32" s="13">
        <f t="shared" si="41"/>
        <v>35.64595806367339</v>
      </c>
      <c r="CW32" s="20">
        <f t="shared" si="13"/>
        <v>300.97288496089783</v>
      </c>
      <c r="CX32" s="59">
        <f t="shared" si="14"/>
        <v>561.62956421265778</v>
      </c>
      <c r="CY32" s="59">
        <f ca="1">AVERAGE(OFFSET($CX$3,0,0,'Données projet'!$E$13+1,1))-AVERAGE(OFFSET($H$3,0,0,'Données projet'!$E$13+1,1))</f>
        <v>284.31574332240928</v>
      </c>
      <c r="CZ32" s="59">
        <f t="shared" si="42"/>
        <v>403.96994631683913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31.781229040641602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31.781229040641602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61.421518583813324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12.25</v>
      </c>
      <c r="DO32" s="12">
        <f>IF('Données projet'!$A$166&gt;35,DO31+DN32-DW31,IF(A32&lt;'Données projet'!$A$166,$DL$205^A32,IF(A32='Données projet'!$A$166,'Données projet'!$B$166,DO31+DN32-DW31)))</f>
        <v>62.5</v>
      </c>
      <c r="DP32" s="17">
        <f>DO32*VLOOKUP('Données projet'!$B$14,Paramètres!$A$1:$I$89,3,0)*VLOOKUP('Données projet'!$B$14,Paramètres!$A$1:$I$89,5,0)</f>
        <v>45.825000000000003</v>
      </c>
      <c r="DQ32" s="13">
        <f t="shared" si="43"/>
        <v>13.530137513576218</v>
      </c>
      <c r="DR32" s="20">
        <f t="shared" si="16"/>
        <v>103.37686450281193</v>
      </c>
      <c r="DS32" s="59">
        <f t="shared" si="17"/>
        <v>364.03354375457189</v>
      </c>
      <c r="DT32" s="59">
        <f ca="1">AVERAGE(OFFSET($DS$3,0,0,'Données projet'!$E$14+1,1))-AVERAGE(OFFSET($H$3,0,0,'Données projet'!$E$14+1,1))</f>
        <v>190.9519472160006</v>
      </c>
      <c r="DU32" s="59">
        <f t="shared" si="44"/>
        <v>170.61553500287511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42.314066219763568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42.314066219763568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61.421518583813324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17</v>
      </c>
      <c r="EJ32" s="12">
        <f>IF('Données projet'!$A$192&gt;35,EJ31+EI32-ER31,IF(A32&lt;'Données projet'!$A$192,$EG$205^A32,IF(A32='Données projet'!$A$192,'Données projet'!$B$192,EJ31+EI32-ER31)))</f>
        <v>94</v>
      </c>
      <c r="EK32" s="17">
        <f>EJ32*VLOOKUP('Données projet'!$B$15,Paramètres!$A$1:$I$89,3,0)*VLOOKUP('Données projet'!$B$15,Paramètres!$A$1:$I$89,5,0)</f>
        <v>80.652000000000001</v>
      </c>
      <c r="EL32" s="13">
        <f t="shared" si="45"/>
        <v>22.296526130116245</v>
      </c>
      <c r="EM32" s="20">
        <f t="shared" si="19"/>
        <v>179.3020163432858</v>
      </c>
      <c r="EN32" s="59">
        <f t="shared" si="20"/>
        <v>439.95869559504575</v>
      </c>
      <c r="EO32" s="59">
        <f ca="1">AVERAGE(OFFSET($EN$3,0,0,'Données projet'!$E$15+1,1))-AVERAGE(OFFSET($H$3,0,0,'Données projet'!$E$15+1,1))</f>
        <v>331.94255128154623</v>
      </c>
      <c r="EP32" s="59">
        <f t="shared" si="46"/>
        <v>258.40809812013964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61.421518583813324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24</v>
      </c>
      <c r="FE32" s="12">
        <f>IF('Données projet'!$A$218&gt;35,FE31+FD32-FM31,IF(A32&lt;'Données projet'!$A$218,$FB$205^A32,IF(A32='Données projet'!$A$218,'Données projet'!$B$218,FE31+FD32-FM31)))</f>
        <v>122</v>
      </c>
      <c r="FF32" s="17">
        <f>FE32*VLOOKUP('Données projet'!$B$16,Paramètres!$A$1:$I$89,3,0)*VLOOKUP('Données projet'!$B$16,Paramètres!$A$1:$I$89,5,0)</f>
        <v>116.09520000000001</v>
      </c>
      <c r="FG32" s="13">
        <f t="shared" si="47"/>
        <v>30.762522798718759</v>
      </c>
      <c r="FH32" s="20">
        <f t="shared" si="22"/>
        <v>255.77720054110179</v>
      </c>
      <c r="FI32" s="59">
        <f t="shared" si="23"/>
        <v>516.43387979286172</v>
      </c>
      <c r="FJ32" s="59">
        <f ca="1">AVERAGE(OFFSET($FI$3,0,0,'Données projet'!$E$16+1,1))-AVERAGE(OFFSET($H$3,0,0,'Données projet'!$E$16+1,1))</f>
        <v>290.72311302449236</v>
      </c>
      <c r="FK32" s="59">
        <f t="shared" si="48"/>
        <v>352.32552988394434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61.421518583813324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15.6</v>
      </c>
      <c r="FZ32" s="12">
        <f>IF('Données projet'!$A$244&gt;35,FZ31+FY32-GH31,IF(A32&lt;'Données projet'!$A$244,$FW$205^A32,IF(A32='Données projet'!$A$244,'Données projet'!$B$244,FZ31+FY32-GH31)))</f>
        <v>73.399999999999977</v>
      </c>
      <c r="GA32" s="17">
        <f>FZ32*VLOOKUP('Données projet'!$B$17,Paramètres!$A$1:$I$89,3,0)*VLOOKUP('Données projet'!$B$17,Paramètres!$A$1:$I$89,5,0)</f>
        <v>48.091679999999982</v>
      </c>
      <c r="GB32" s="13">
        <f t="shared" si="49"/>
        <v>14.119817111769649</v>
      </c>
      <c r="GC32" s="20">
        <f t="shared" si="25"/>
        <v>108.35169080299879</v>
      </c>
      <c r="GD32" s="59">
        <f t="shared" si="26"/>
        <v>369.00837005475876</v>
      </c>
      <c r="GE32" s="59">
        <f ca="1">AVERAGE(OFFSET($GD$3,0,0,'Données projet'!$E$17+1,1))-AVERAGE(OFFSET($H$3,0,0,'Données projet'!$E$17+1,1))</f>
        <v>123.03972959251965</v>
      </c>
      <c r="GF32" s="59">
        <f t="shared" si="50"/>
        <v>178.27657680839445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16.425620497853942</v>
      </c>
      <c r="GN32" s="21">
        <f>EXP(-LN(2)/2)*GN31+(1-EXP(-LN(2)/2))/(LN(2)/2)*GH32*GK32*VLOOKUP('Données projet'!$B$17,Paramètres!$A$1:$I$89,3,0)*0.475*44/12</f>
        <v>2.8010590996727385</v>
      </c>
      <c r="GO32" s="21">
        <f t="shared" si="27"/>
        <v>19.22667959752668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61.421518583813324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13.04</v>
      </c>
      <c r="GU32" s="12">
        <f>IF('Données projet'!$A$270&gt;35,GU31+GT32-HC31,IF(A32&lt;'Données projet'!$A$270,$GR$205^A32,IF(A32='Données projet'!$A$270,'Données projet'!$B$270,GU31+GT32-HC31)))</f>
        <v>378.16000000000008</v>
      </c>
      <c r="GV32" s="17">
        <f>GU32*VLOOKUP('Données projet'!$B$18,Paramètres!$A$1:$I$89,3,0)*VLOOKUP('Données projet'!$B$18,Paramètres!$A$1:$I$89,5,0)</f>
        <v>253.66972800000005</v>
      </c>
      <c r="GW32" s="13">
        <f t="shared" si="51"/>
        <v>61.37109017724886</v>
      </c>
      <c r="GX32" s="20">
        <f t="shared" si="28"/>
        <v>548.6960916587085</v>
      </c>
      <c r="GY32" s="59">
        <f t="shared" si="29"/>
        <v>809.35277091046851</v>
      </c>
      <c r="GZ32" s="59">
        <f ca="1">AVERAGE(OFFSET($GY$3,0,0,'Données projet'!$E$18+1,1))-AVERAGE(OFFSET($H$3,0,0,'Données projet'!$E$18+1,1))</f>
        <v>542.25674729323623</v>
      </c>
      <c r="HA32" s="59">
        <f t="shared" si="52"/>
        <v>614.73906555680685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0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2.8499999999999996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10.449999999999998</v>
      </c>
      <c r="H33" s="67">
        <f t="shared" si="1"/>
        <v>214.86666666666667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61.570336057772877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312</v>
      </c>
      <c r="L33" s="12">
        <f>VLOOKUP(A33,'Données projet'!$A$35:$I$55,9,0)</f>
        <v>10.4</v>
      </c>
      <c r="M33" s="12">
        <f t="array" ref="M33">INDEX(L:L,MIN(IF(ISNUMBER(L33:L229),ROW(L33:L229),"")))</f>
        <v>10.4</v>
      </c>
      <c r="N33" s="13">
        <f>IF('Données projet'!$A$36&gt;35,N32+M33-V32,IF(A33&lt;'Données projet'!$A$36,$K$205^A33,IF(A33='Données projet'!$A$36,'Données projet'!$B$36,N32+M33-V32)))</f>
        <v>311.99999999999989</v>
      </c>
      <c r="O33" s="13">
        <f>N33*VLOOKUP('Données projet'!$B$9,Paramètres!$A$1:$I$89,3,0)*VLOOKUP('Données projet'!$B$9,Paramètres!$A$1:$I$89,5,0)</f>
        <v>272.56319999999994</v>
      </c>
      <c r="P33" s="13">
        <f t="shared" si="33"/>
        <v>65.392945522034609</v>
      </c>
      <c r="Q33" s="20">
        <f t="shared" si="2"/>
        <v>588.60695345087686</v>
      </c>
      <c r="R33" s="59">
        <f t="shared" si="0"/>
        <v>851.03151899604404</v>
      </c>
      <c r="S33" s="59">
        <f ca="1">AVERAGE(OFFSET($R$3,0,0,'Données projet'!$E$9+1,1))-AVERAGE(OFFSET($H$3,0,0,'Données projet'!$E$9+1,1))</f>
        <v>686.80970545599644</v>
      </c>
      <c r="T33" s="59">
        <f t="shared" si="34"/>
        <v>636.16485232937737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61.570336057772877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3.6388888888888888</v>
      </c>
      <c r="AI33" s="13">
        <f>IF('Données projet'!$A$62&gt;35,AI32+AH33-AQ32,IF(A33&lt;'Données projet'!$A$62,$AF$205^A33,IF(A33='Données projet'!$A$62,'Données projet'!$B$62,AI32+AH33-AQ32)))</f>
        <v>109.1666666666666</v>
      </c>
      <c r="AJ33" s="13">
        <f>AI33*VLOOKUP('Données projet'!$B$10,Paramètres!$A$1:$I$89,3,0)*VLOOKUP('Données projet'!$B$10,Paramètres!$A$1:$I$89,5,0)</f>
        <v>98.773999999999944</v>
      </c>
      <c r="AK33" s="13">
        <f t="shared" si="35"/>
        <v>26.669710590727178</v>
      </c>
      <c r="AL33" s="20">
        <f t="shared" si="4"/>
        <v>218.48112927884972</v>
      </c>
      <c r="AM33" s="59">
        <f t="shared" si="5"/>
        <v>480.90569482401696</v>
      </c>
      <c r="AN33" s="59">
        <f ca="1">AVERAGE(OFFSET($AM$3,0,0,'Données projet'!$E$10+1,1))-AVERAGE(OFFSET($H$3,0,0,'Données projet'!$E$10+1,1))</f>
        <v>323.67375363913726</v>
      </c>
      <c r="AO33" s="59">
        <f t="shared" si="36"/>
        <v>266.03902815735029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61.570336057772877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440</v>
      </c>
      <c r="BB33" s="12">
        <f>VLOOKUP(A33,'Données projet'!$A$87:$I$107,9,0)</f>
        <v>24.6</v>
      </c>
      <c r="BC33" s="12">
        <f t="array" ref="BC33">INDEX(BB:BB,MIN(IF(ISNUMBER(BB33:BB229),ROW(BB33:BB229),"")))</f>
        <v>24.6</v>
      </c>
      <c r="BD33" s="12">
        <f>IF('Données projet'!$A$88&gt;35,BD32+BC33-BL32,IF(A33&lt;'Données projet'!$A$88,$BA$205^A33,IF(A33='Données projet'!$A$88,'Données projet'!$B$88,BD32+BC33-BL32)))</f>
        <v>440.00000000000017</v>
      </c>
      <c r="BE33" s="13">
        <f>BD33*VLOOKUP('Données projet'!$B$11,Paramètres!$A$1:$I$89,3,0)*VLOOKUP('Données projet'!$B$11,Paramètres!$A$1:$I$89,5,0)</f>
        <v>245.96000000000009</v>
      </c>
      <c r="BF33" s="13">
        <f t="shared" si="37"/>
        <v>59.720017079919756</v>
      </c>
      <c r="BG33" s="20">
        <f t="shared" si="7"/>
        <v>532.39269641419367</v>
      </c>
      <c r="BH33" s="59">
        <f t="shared" si="8"/>
        <v>794.81726195936085</v>
      </c>
      <c r="BI33" s="59">
        <f ca="1">AVERAGE(OFFSET($BH$3,0,0,'Données projet'!$E$11+1,1))-AVERAGE(OFFSET($H$3,0,0,'Données projet'!$E$11+1,1))</f>
        <v>371.46495716091965</v>
      </c>
      <c r="BJ33" s="59">
        <f t="shared" si="38"/>
        <v>579.95059529269417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55</v>
      </c>
      <c r="BM33" s="16">
        <f>IF(ISNA(VLOOKUP(A33,'Données projet'!$A$87:$I$107,5,0)),0%,VLOOKUP(A33,'Données projet'!$A$87:$I$107,5,0)*VLOOKUP('Données projet'!$B$11,Paramètres!$A$1:$I$89,7,0))</f>
        <v>0.33</v>
      </c>
      <c r="BN33" s="16">
        <f>IF(ISNA(VLOOKUP(A33,'Données projet'!$A$87:$I$107,6,0)),0%,VLOOKUP(A33,'Données projet'!$A$87:$I$107,6,0)*VLOOKUP('Données projet'!$B$11,Paramètres!$A$1:$I$89,7,0))</f>
        <v>0.20625000000000002</v>
      </c>
      <c r="BO33" s="16">
        <f>IF(ISNA(VLOOKUP(A33,'Données projet'!$A$87:$I$107,7,0)),0%,VLOOKUP(A33,'Données projet'!$A$87:$I$107,7,0))</f>
        <v>0.31</v>
      </c>
      <c r="BP33" s="21">
        <f>EXP(-LN(2)/35)*BP32+(1-EXP(-LN(2)/35))/(LN(2)/35)*BL33*BM33*VLOOKUP('Données projet'!$B$11,Paramètres!$A$1:$I$89,3,0)*0.475*44/12</f>
        <v>31.631399761775675</v>
      </c>
      <c r="BQ33" s="21">
        <f>EXP(-LN(2)/25)*BQ32+(1-EXP(-LN(2)/25))/(LN(2)/25)*Calculateur!BL33*Calculateur!BN33*VLOOKUP('Données projet'!$B$11,Paramètres!$A$1:$I$89,3,0)*0.475*44/12</f>
        <v>19.38411770364371</v>
      </c>
      <c r="BR33" s="21">
        <f>EXP(-LN(2)/2)*BR32+(1-EXP(-LN(2)/2))/(LN(2)/2)*BL33*BO33*VLOOKUP('Données projet'!$B$11,Paramètres!$A$1:$I$89,3,0)*0.475*44/12</f>
        <v>12.551928077083982</v>
      </c>
      <c r="BS33" s="22">
        <f t="shared" si="9"/>
        <v>63.567445542503364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61.570336057772877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221</v>
      </c>
      <c r="BW33" s="12">
        <f>VLOOKUP(A33,'Données projet'!$A$113:$I$133,9,0)</f>
        <v>35.799999999999997</v>
      </c>
      <c r="BX33" s="12">
        <f t="array" ref="BX33">INDEX(BW:BW,MIN(IF(ISNUMBER(BW33:BW229),ROW(BW33:BW229),"")))</f>
        <v>35.799999999999997</v>
      </c>
      <c r="BY33" s="12">
        <f>IF('Données projet'!$A$114&gt;35,BY32+BX33-CG32,IF(A33&lt;'Données projet'!$A$114,$BV$205^A33,IF(A33='Données projet'!$A$114,'Données projet'!$B$114,BY32+BX33-CG32)))</f>
        <v>221</v>
      </c>
      <c r="BZ33" s="13">
        <f>BY33*VLOOKUP('Données projet'!$B$12,Paramètres!$A$1:$I$89,3,0)*VLOOKUP('Données projet'!$B$12,Paramètres!$A$1:$I$89,5,0)</f>
        <v>137.904</v>
      </c>
      <c r="CA33" s="13">
        <f t="shared" si="39"/>
        <v>35.816420593519346</v>
      </c>
      <c r="CB33" s="20">
        <f t="shared" si="10"/>
        <v>302.56306586704619</v>
      </c>
      <c r="CC33" s="59">
        <f t="shared" si="11"/>
        <v>564.98763141221343</v>
      </c>
      <c r="CD33" s="59">
        <f ca="1">AVERAGE(OFFSET($CC$3,0,0,'Données projet'!$E$12+1,1))-AVERAGE(OFFSET($H$3,0,0,'Données projet'!$E$12+1,1))</f>
        <v>180.18752244216969</v>
      </c>
      <c r="CE33" s="59">
        <f t="shared" si="40"/>
        <v>350.12096474554676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179</v>
      </c>
      <c r="CH33" s="16">
        <f>IF(ISNA(VLOOKUP(A33,'Données projet'!$A$113:$I$133,5,0)),0%,VLOOKUP(A33,'Données projet'!$A$113:$I$133,5,0)*VLOOKUP('Données projet'!$B$12,Paramètres!$A$1:$I$89,7,0))</f>
        <v>0.36</v>
      </c>
      <c r="CI33" s="16">
        <f>IF(ISNA(VLOOKUP(A33,'Données projet'!$A$113:$I$133,6,0)),0%,VLOOKUP(A33,'Données projet'!$A$113:$I$133,6,0)*VLOOKUP('Données projet'!$B$12,Paramètres!$A$1:$I$89,7,0))</f>
        <v>0.12</v>
      </c>
      <c r="CJ33" s="16">
        <f>IF(ISNA(VLOOKUP(A33,'Données projet'!$A$113:$I$133,7,0)),0%,VLOOKUP(A33,'Données projet'!$A$113:$I$133,7,0))</f>
        <v>0.2</v>
      </c>
      <c r="CK33" s="21">
        <f>EXP(-LN(2)/35)*CK32+(1-EXP(-LN(2)/35))/(LN(2)/35)*CG33*CH33*VLOOKUP('Données projet'!$B$12,Paramètres!$A$1:$I$89,3,0)*0.475*44/12</f>
        <v>53.341899629318952</v>
      </c>
      <c r="CL33" s="21">
        <f>EXP(-LN(2)/25)*CL32+(1-EXP(-LN(2)/25))/(LN(2)/25)*Calculateur!CG33*Calculateur!CI33*VLOOKUP('Données projet'!$B$12,Paramètres!$A$1:$I$89,3,0)*0.475*44/12</f>
        <v>82.288543401983219</v>
      </c>
      <c r="CM33" s="21">
        <f>EXP(-LN(2)/2)*CM32+(1-EXP(-LN(2)/2))/(LN(2)/2)*CG33*CJ33*VLOOKUP('Données projet'!$B$12,Paramètres!$A$1:$I$89,3,0)*0.475*44/12</f>
        <v>31.459032672736871</v>
      </c>
      <c r="CN33" s="22">
        <f t="shared" si="12"/>
        <v>167.08947570403905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61.570336057772877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205</v>
      </c>
      <c r="CR33" s="12">
        <f>VLOOKUP(A33,'Données projet'!$A$139:$I$159,9,0)</f>
        <v>32.6</v>
      </c>
      <c r="CS33" s="12">
        <f t="array" ref="CS33">INDEX(CR:CR,MIN(IF(ISNUMBER(CR33:CR229),ROW(CR33:CR229),"")))</f>
        <v>32.6</v>
      </c>
      <c r="CT33" s="12">
        <f>IF('Données projet'!$A$140&gt;35,CT32+CS33-DB32,IF(A33&lt;'Données projet'!$A$140,$CQ$205^A33,IF(A33='Données projet'!$A$140,'Données projet'!$B$140,CT32+CS33-DB32)))</f>
        <v>204.99999999999997</v>
      </c>
      <c r="CU33" s="17">
        <f>CT33*VLOOKUP('Données projet'!$B$13,Paramètres!$A$1:$I$89,3,0)*VLOOKUP('Données projet'!$B$13,Paramètres!$A$1:$I$89,5,0)</f>
        <v>163.09799999999998</v>
      </c>
      <c r="CV33" s="13">
        <f t="shared" si="41"/>
        <v>41.540496136845142</v>
      </c>
      <c r="CW33" s="20">
        <f t="shared" si="13"/>
        <v>356.41204743833856</v>
      </c>
      <c r="CX33" s="59">
        <f t="shared" si="14"/>
        <v>618.8366129835058</v>
      </c>
      <c r="CY33" s="59">
        <f ca="1">AVERAGE(OFFSET($CX$3,0,0,'Données projet'!$E$13+1,1))-AVERAGE(OFFSET($H$3,0,0,'Données projet'!$E$13+1,1))</f>
        <v>284.31574332240928</v>
      </c>
      <c r="CZ33" s="59">
        <f t="shared" si="42"/>
        <v>403.96994631683913</v>
      </c>
      <c r="DA33" s="15">
        <f>IF(ISNA(VLOOKUP(A33,'Données projet'!$A$139:$I$159,3,0)),0,VLOOKUP(A33,'Données projet'!$A$139:$I$159,3,0))</f>
        <v>5</v>
      </c>
      <c r="DB33" s="15">
        <f>IF(ISNA(VLOOKUP(A33,'Données projet'!$A$139:$I$159,4,0)),0,VLOOKUP(A33,'Données projet'!$A$139:$I$159,4,0))</f>
        <v>163</v>
      </c>
      <c r="DC33" s="16">
        <f>IF(ISNA(VLOOKUP(A33,'Données projet'!$A$139:$I$159,5,0)),0%,VLOOKUP(A33,'Données projet'!$A$139:$I$159,5,0)*VLOOKUP('Données projet'!$B$13,Paramètres!$A$1:$I$89,7,0))</f>
        <v>0.42400000000000004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91.942868036986027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91.942868036986027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61.570336057772877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12.25</v>
      </c>
      <c r="DO33" s="12">
        <f>IF('Données projet'!$A$166&gt;35,DO32+DN33-DW32,IF(A33&lt;'Données projet'!$A$166,$DL$205^A33,IF(A33='Données projet'!$A$166,'Données projet'!$B$166,DO32+DN33-DW32)))</f>
        <v>74.75</v>
      </c>
      <c r="DP33" s="17">
        <f>DO33*VLOOKUP('Données projet'!$B$14,Paramètres!$A$1:$I$89,3,0)*VLOOKUP('Données projet'!$B$14,Paramètres!$A$1:$I$89,5,0)</f>
        <v>54.806699999999999</v>
      </c>
      <c r="DQ33" s="13">
        <f t="shared" si="43"/>
        <v>15.848402080980593</v>
      </c>
      <c r="DR33" s="20">
        <f t="shared" si="16"/>
        <v>123.05763612437454</v>
      </c>
      <c r="DS33" s="59">
        <f t="shared" si="17"/>
        <v>385.48220166954178</v>
      </c>
      <c r="DT33" s="59">
        <f ca="1">AVERAGE(OFFSET($DS$3,0,0,'Données projet'!$E$14+1,1))-AVERAGE(OFFSET($H$3,0,0,'Données projet'!$E$14+1,1))</f>
        <v>190.9519472160006</v>
      </c>
      <c r="DU33" s="59">
        <f t="shared" si="44"/>
        <v>170.61553500287511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41.484313190225969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41.484313190225969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61.570336057772877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111</v>
      </c>
      <c r="EH33" s="12">
        <f>VLOOKUP(A33,'Données projet'!$A$191:$I$211,9,0)</f>
        <v>17</v>
      </c>
      <c r="EI33" s="12">
        <f t="array" ref="EI33">INDEX(EH:EH,MIN(IF(ISNUMBER(EH33:EH229),ROW(EH33:EH229),"")))</f>
        <v>17</v>
      </c>
      <c r="EJ33" s="12">
        <f>IF('Données projet'!$A$192&gt;35,EJ32+EI33-ER32,IF(A33&lt;'Données projet'!$A$192,$EG$205^A33,IF(A33='Données projet'!$A$192,'Données projet'!$B$192,EJ32+EI33-ER32)))</f>
        <v>111</v>
      </c>
      <c r="EK33" s="17">
        <f>EJ33*VLOOKUP('Données projet'!$B$15,Paramètres!$A$1:$I$89,3,0)*VLOOKUP('Données projet'!$B$15,Paramètres!$A$1:$I$89,5,0)</f>
        <v>95.238000000000014</v>
      </c>
      <c r="EL33" s="13">
        <f t="shared" si="45"/>
        <v>25.824315354051141</v>
      </c>
      <c r="EM33" s="20">
        <f t="shared" si="19"/>
        <v>210.85019924163907</v>
      </c>
      <c r="EN33" s="59">
        <f t="shared" si="20"/>
        <v>473.27476478680632</v>
      </c>
      <c r="EO33" s="59">
        <f ca="1">AVERAGE(OFFSET($EN$3,0,0,'Données projet'!$E$15+1,1))-AVERAGE(OFFSET($H$3,0,0,'Données projet'!$E$15+1,1))</f>
        <v>331.94255128154623</v>
      </c>
      <c r="EP33" s="59">
        <f t="shared" si="46"/>
        <v>258.40809812013964</v>
      </c>
      <c r="EQ33" s="15">
        <f>IF(ISNA(VLOOKUP(A33,'Données projet'!$A$191:$I$211,3,0)),0,VLOOKUP(A33,'Données projet'!$A$191:$I$211,3,0))</f>
        <v>3</v>
      </c>
      <c r="ER33" s="15">
        <f>IF(ISNA(VLOOKUP(A33,'Données projet'!$A$191:$I$211,4,0)),0,VLOOKUP(A33,'Données projet'!$A$191:$I$211,4,0))</f>
        <v>76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61.570336057772877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146</v>
      </c>
      <c r="FC33" s="12">
        <f>VLOOKUP(A33,'Données projet'!$A$217:$I$237,9,0)</f>
        <v>24</v>
      </c>
      <c r="FD33" s="12">
        <f t="array" ref="FD33">INDEX(FC:FC,MIN(IF(ISNUMBER(FC33:FC229),ROW(FC33:FC229),"")))</f>
        <v>24</v>
      </c>
      <c r="FE33" s="12">
        <f>IF('Données projet'!$A$218&gt;35,FE32+FD33-FM32,IF(A33&lt;'Données projet'!$A$218,$FB$205^A33,IF(A33='Données projet'!$A$218,'Données projet'!$B$218,FE32+FD33-FM32)))</f>
        <v>146</v>
      </c>
      <c r="FF33" s="17">
        <f>FE33*VLOOKUP('Données projet'!$B$16,Paramètres!$A$1:$I$89,3,0)*VLOOKUP('Données projet'!$B$16,Paramètres!$A$1:$I$89,5,0)</f>
        <v>138.93360000000001</v>
      </c>
      <c r="FG33" s="13">
        <f t="shared" si="47"/>
        <v>36.052599620350527</v>
      </c>
      <c r="FH33" s="20">
        <f t="shared" si="22"/>
        <v>304.76763100544377</v>
      </c>
      <c r="FI33" s="59">
        <f t="shared" si="23"/>
        <v>567.19219655061102</v>
      </c>
      <c r="FJ33" s="59">
        <f ca="1">AVERAGE(OFFSET($FI$3,0,0,'Données projet'!$E$16+1,1))-AVERAGE(OFFSET($H$3,0,0,'Données projet'!$E$16+1,1))</f>
        <v>290.72311302449236</v>
      </c>
      <c r="FK33" s="59">
        <f t="shared" si="48"/>
        <v>352.32552988394434</v>
      </c>
      <c r="FL33" s="15">
        <f>IF(ISNA(VLOOKUP(A33,'Données projet'!$A$217:$I$237,3,0)),0,VLOOKUP(A33,'Données projet'!$A$217:$I$237,3,0))</f>
        <v>3</v>
      </c>
      <c r="FM33" s="15">
        <f>IF(ISNA(VLOOKUP(A33,'Données projet'!$A$217:$I$237,4,0)),0,VLOOKUP(A33,'Données projet'!$A$217:$I$237,4,0))</f>
        <v>111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61.570336057772877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89</v>
      </c>
      <c r="FX33" s="12">
        <f>VLOOKUP(A33,'Données projet'!$A$243:$I$263,9,0)</f>
        <v>15.6</v>
      </c>
      <c r="FY33" s="12">
        <f t="array" ref="FY33">INDEX(FX:FX,MIN(IF(ISNUMBER(FX33:FX229),ROW(FX33:FX229),"")))</f>
        <v>15.6</v>
      </c>
      <c r="FZ33" s="12">
        <f>IF('Données projet'!$A$244&gt;35,FZ32+FY33-GH32,IF(A33&lt;'Données projet'!$A$244,$FW$205^A33,IF(A33='Données projet'!$A$244,'Données projet'!$B$244,FZ32+FY33-GH32)))</f>
        <v>88.999999999999972</v>
      </c>
      <c r="GA33" s="17">
        <f>FZ33*VLOOKUP('Données projet'!$B$17,Paramètres!$A$1:$I$89,3,0)*VLOOKUP('Données projet'!$B$17,Paramètres!$A$1:$I$89,5,0)</f>
        <v>58.312799999999982</v>
      </c>
      <c r="GB33" s="13">
        <f t="shared" si="49"/>
        <v>16.740986371230957</v>
      </c>
      <c r="GC33" s="20">
        <f t="shared" si="25"/>
        <v>130.71867792989389</v>
      </c>
      <c r="GD33" s="59">
        <f t="shared" si="26"/>
        <v>393.14324347506113</v>
      </c>
      <c r="GE33" s="59">
        <f ca="1">AVERAGE(OFFSET($GD$3,0,0,'Données projet'!$E$17+1,1))-AVERAGE(OFFSET($H$3,0,0,'Données projet'!$E$17+1,1))</f>
        <v>123.03972959251965</v>
      </c>
      <c r="GF33" s="59">
        <f t="shared" si="50"/>
        <v>178.27657680839445</v>
      </c>
      <c r="GG33" s="15">
        <f>IF(ISNA(VLOOKUP(A33,'Données projet'!$A$243:$I$263,3,0)),0,VLOOKUP(A33,'Données projet'!$A$243:$I$263,3,0))</f>
        <v>4</v>
      </c>
      <c r="GH33" s="15">
        <f>IF(ISNA(VLOOKUP(A33,'Données projet'!$A$243:$I$263,4,0)),0,VLOOKUP(A33,'Données projet'!$A$243:$I$263,4,0))</f>
        <v>76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0.215</v>
      </c>
      <c r="GK33" s="16">
        <f>IF(ISNA(VLOOKUP(A33,'Données projet'!$A$243:$I$263,7,0)),0%,VLOOKUP(A33,'Données projet'!$A$243:$I$263,7,0))</f>
        <v>0.25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27.764992131432741</v>
      </c>
      <c r="GN33" s="21">
        <f>EXP(-LN(2)/2)*GN32+(1-EXP(-LN(2)/2))/(LN(2)/2)*GH33*GK33*VLOOKUP('Données projet'!$B$17,Paramètres!$A$1:$I$89,3,0)*0.475*44/12</f>
        <v>13.726425738422439</v>
      </c>
      <c r="GO33" s="21">
        <f t="shared" si="27"/>
        <v>41.491417869855184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61.570336057772877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13.04</v>
      </c>
      <c r="GU33" s="12">
        <f>IF('Données projet'!$A$270&gt;35,GU32+GT33-HC32,IF(A33&lt;'Données projet'!$A$270,$GR$205^A33,IF(A33='Données projet'!$A$270,'Données projet'!$B$270,GU32+GT33-HC32)))</f>
        <v>391.2000000000001</v>
      </c>
      <c r="GV33" s="17">
        <f>GU33*VLOOKUP('Données projet'!$B$18,Paramètres!$A$1:$I$89,3,0)*VLOOKUP('Données projet'!$B$18,Paramètres!$A$1:$I$89,5,0)</f>
        <v>262.41696000000007</v>
      </c>
      <c r="GW33" s="13">
        <f t="shared" si="51"/>
        <v>63.237298379888678</v>
      </c>
      <c r="GX33" s="20">
        <f t="shared" si="28"/>
        <v>567.18116667830623</v>
      </c>
      <c r="GY33" s="59">
        <f t="shared" si="29"/>
        <v>829.60573222347352</v>
      </c>
      <c r="GZ33" s="59">
        <f ca="1">AVERAGE(OFFSET($GY$3,0,0,'Données projet'!$E$18+1,1))-AVERAGE(OFFSET($H$3,0,0,'Données projet'!$E$18+1,1))</f>
        <v>542.25674729323623</v>
      </c>
      <c r="HA33" s="59">
        <f t="shared" si="52"/>
        <v>614.73906555680685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0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0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2.8499999999999996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10.449999999999998</v>
      </c>
      <c r="H34" s="67">
        <f t="shared" si="1"/>
        <v>214.86666666666667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61.716571881265267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10.4</v>
      </c>
      <c r="N34" s="13">
        <f>IF('Données projet'!$A$36&gt;35,N33+M34-V33,IF(A34&lt;'Données projet'!$A$36,$K$205^A34,IF(A34='Données projet'!$A$36,'Données projet'!$B$36,N33+M34-V33)))</f>
        <v>322.39999999999986</v>
      </c>
      <c r="O34" s="13">
        <f>N34*VLOOKUP('Données projet'!$B$9,Paramètres!$A$1:$I$89,3,0)*VLOOKUP('Données projet'!$B$9,Paramètres!$A$1:$I$89,5,0)</f>
        <v>281.64863999999994</v>
      </c>
      <c r="P34" s="13">
        <f t="shared" si="33"/>
        <v>67.315294774697747</v>
      </c>
      <c r="Q34" s="20">
        <f t="shared" si="2"/>
        <v>607.7788530659318</v>
      </c>
      <c r="R34" s="59">
        <f t="shared" si="0"/>
        <v>870.73961663057116</v>
      </c>
      <c r="S34" s="59">
        <f ca="1">AVERAGE(OFFSET($R$3,0,0,'Données projet'!$E$9+1,1))-AVERAGE(OFFSET($H$3,0,0,'Données projet'!$E$9+1,1))</f>
        <v>686.80970545599644</v>
      </c>
      <c r="T34" s="59">
        <f t="shared" si="34"/>
        <v>636.16485232937737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61.716571881265267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3.6388888888888888</v>
      </c>
      <c r="AI34" s="13">
        <f>IF('Données projet'!$A$62&gt;35,AI33+AH34-AQ33,IF(A34&lt;'Données projet'!$A$62,$AF$205^A34,IF(A34='Données projet'!$A$62,'Données projet'!$B$62,AI33+AH34-AQ33)))</f>
        <v>112.80555555555549</v>
      </c>
      <c r="AJ34" s="13">
        <f>AI34*VLOOKUP('Données projet'!$B$10,Paramètres!$A$1:$I$89,3,0)*VLOOKUP('Données projet'!$B$10,Paramètres!$A$1:$I$89,5,0)</f>
        <v>102.06646666666661</v>
      </c>
      <c r="AK34" s="13">
        <f t="shared" si="35"/>
        <v>27.453717150051705</v>
      </c>
      <c r="AL34" s="20">
        <f t="shared" si="4"/>
        <v>225.58098681411772</v>
      </c>
      <c r="AM34" s="59">
        <f t="shared" si="5"/>
        <v>488.541750378757</v>
      </c>
      <c r="AN34" s="59">
        <f ca="1">AVERAGE(OFFSET($AM$3,0,0,'Données projet'!$E$10+1,1))-AVERAGE(OFFSET($H$3,0,0,'Données projet'!$E$10+1,1))</f>
        <v>323.67375363913726</v>
      </c>
      <c r="AO34" s="59">
        <f t="shared" si="36"/>
        <v>266.03902815735029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61.716571881265267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23</v>
      </c>
      <c r="BD34" s="12">
        <f>IF('Données projet'!$A$88&gt;35,BD33+BC34-BL33,IF(A34&lt;'Données projet'!$A$88,$BA$205^A34,IF(A34='Données projet'!$A$88,'Données projet'!$B$88,BD33+BC34-BL33)))</f>
        <v>408.00000000000017</v>
      </c>
      <c r="BE34" s="13">
        <f>BD34*VLOOKUP('Données projet'!$B$11,Paramètres!$A$1:$I$89,3,0)*VLOOKUP('Données projet'!$B$11,Paramètres!$A$1:$I$89,5,0)</f>
        <v>228.07200000000012</v>
      </c>
      <c r="BF34" s="13">
        <f t="shared" si="37"/>
        <v>55.86559883553236</v>
      </c>
      <c r="BG34" s="20">
        <f t="shared" si="7"/>
        <v>494.52465130521909</v>
      </c>
      <c r="BH34" s="59">
        <f t="shared" si="8"/>
        <v>757.48541486985846</v>
      </c>
      <c r="BI34" s="59">
        <f ca="1">AVERAGE(OFFSET($BH$3,0,0,'Données projet'!$E$11+1,1))-AVERAGE(OFFSET($H$3,0,0,'Données projet'!$E$11+1,1))</f>
        <v>371.46495716091965</v>
      </c>
      <c r="BJ34" s="59">
        <f t="shared" si="38"/>
        <v>579.95059529269417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31.011127305696061</v>
      </c>
      <c r="BQ34" s="21">
        <f>EXP(-LN(2)/25)*BQ33+(1-EXP(-LN(2)/25))/(LN(2)/25)*Calculateur!BL34*Calculateur!BN34*VLOOKUP('Données projet'!$B$11,Paramètres!$A$1:$I$89,3,0)*0.475*44/12</f>
        <v>18.854057985671126</v>
      </c>
      <c r="BR34" s="21">
        <f>EXP(-LN(2)/2)*BR33+(1-EXP(-LN(2)/2))/(LN(2)/2)*BL34*BO34*VLOOKUP('Données projet'!$B$11,Paramètres!$A$1:$I$89,3,0)*0.475*44/12</f>
        <v>8.8755534602719059</v>
      </c>
      <c r="BS34" s="22">
        <f t="shared" si="9"/>
        <v>58.740738751639086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61.716571881265267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43</v>
      </c>
      <c r="BY34" s="12">
        <f>IF('Données projet'!$A$114&gt;35,BY33+BX34-CG33,IF(A34&lt;'Données projet'!$A$114,$BV$205^A34,IF(A34='Données projet'!$A$114,'Données projet'!$B$114,BY33+BX34-CG33)))</f>
        <v>85</v>
      </c>
      <c r="BZ34" s="13">
        <f>BY34*VLOOKUP('Données projet'!$B$12,Paramètres!$A$1:$I$89,3,0)*VLOOKUP('Données projet'!$B$12,Paramètres!$A$1:$I$89,5,0)</f>
        <v>53.04</v>
      </c>
      <c r="CA34" s="13">
        <f t="shared" si="39"/>
        <v>15.396135728592785</v>
      </c>
      <c r="CB34" s="20">
        <f t="shared" si="10"/>
        <v>119.19293639396578</v>
      </c>
      <c r="CC34" s="59">
        <f t="shared" si="11"/>
        <v>382.1536999586051</v>
      </c>
      <c r="CD34" s="59">
        <f ca="1">AVERAGE(OFFSET($CC$3,0,0,'Données projet'!$E$12+1,1))-AVERAGE(OFFSET($H$3,0,0,'Données projet'!$E$12+1,1))</f>
        <v>180.18752244216969</v>
      </c>
      <c r="CE34" s="59">
        <f t="shared" si="40"/>
        <v>350.12096474554676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52.295897512934182</v>
      </c>
      <c r="CL34" s="21">
        <f>EXP(-LN(2)/25)*CL33+(1-EXP(-LN(2)/25))/(LN(2)/25)*Calculateur!CG34*Calculateur!CI34*VLOOKUP('Données projet'!$B$12,Paramètres!$A$1:$I$89,3,0)*0.475*44/12</f>
        <v>80.038358855289559</v>
      </c>
      <c r="CM34" s="21">
        <f>EXP(-LN(2)/2)*CM33+(1-EXP(-LN(2)/2))/(LN(2)/2)*CG34*CJ34*VLOOKUP('Données projet'!$B$12,Paramètres!$A$1:$I$89,3,0)*0.475*44/12</f>
        <v>22.2448953324614</v>
      </c>
      <c r="CN34" s="22">
        <f t="shared" si="12"/>
        <v>154.57915170068514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61.716571881265267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39.4</v>
      </c>
      <c r="CT34" s="12">
        <f>IF('Données projet'!$A$140&gt;35,CT33+CS34-DB33,IF(A34&lt;'Données projet'!$A$140,$CQ$205^A34,IF(A34='Données projet'!$A$140,'Données projet'!$B$140,CT33+CS34-DB33)))</f>
        <v>81.399999999999977</v>
      </c>
      <c r="CU34" s="17">
        <f>CT34*VLOOKUP('Données projet'!$B$13,Paramètres!$A$1:$I$89,3,0)*VLOOKUP('Données projet'!$B$13,Paramètres!$A$1:$I$89,5,0)</f>
        <v>64.761839999999978</v>
      </c>
      <c r="CV34" s="13">
        <f t="shared" si="41"/>
        <v>18.366808240092482</v>
      </c>
      <c r="CW34" s="20">
        <f t="shared" si="13"/>
        <v>144.78239568482766</v>
      </c>
      <c r="CX34" s="59">
        <f t="shared" si="14"/>
        <v>407.743159249467</v>
      </c>
      <c r="CY34" s="59">
        <f ca="1">AVERAGE(OFFSET($CX$3,0,0,'Données projet'!$E$13+1,1))-AVERAGE(OFFSET($H$3,0,0,'Données projet'!$E$13+1,1))</f>
        <v>284.31574332240928</v>
      </c>
      <c r="CZ34" s="59">
        <f t="shared" si="42"/>
        <v>403.96994631683913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90.139924474392828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90.139924474392828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61.716571881265267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12.25</v>
      </c>
      <c r="DO34" s="12">
        <f>IF('Données projet'!$A$166&gt;35,DO33+DN34-DW33,IF(A34&lt;'Données projet'!$A$166,$DL$205^A34,IF(A34='Données projet'!$A$166,'Données projet'!$B$166,DO33+DN34-DW33)))</f>
        <v>87</v>
      </c>
      <c r="DP34" s="17">
        <f>DO34*VLOOKUP('Données projet'!$B$14,Paramètres!$A$1:$I$89,3,0)*VLOOKUP('Données projet'!$B$14,Paramètres!$A$1:$I$89,5,0)</f>
        <v>63.788400000000003</v>
      </c>
      <c r="DQ34" s="13">
        <f t="shared" si="43"/>
        <v>18.122655666579625</v>
      </c>
      <c r="DR34" s="20">
        <f t="shared" si="16"/>
        <v>142.66175528595952</v>
      </c>
      <c r="DS34" s="59">
        <f t="shared" si="17"/>
        <v>405.62251885059879</v>
      </c>
      <c r="DT34" s="59">
        <f ca="1">AVERAGE(OFFSET($DS$3,0,0,'Données projet'!$E$14+1,1))-AVERAGE(OFFSET($H$3,0,0,'Données projet'!$E$14+1,1))</f>
        <v>190.9519472160006</v>
      </c>
      <c r="DU34" s="59">
        <f t="shared" si="44"/>
        <v>170.61553500287511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40.670831111498224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40.670831111498224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61.716571881265267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21</v>
      </c>
      <c r="EJ34" s="12">
        <f>IF('Données projet'!$A$192&gt;35,EJ33+EI34-ER33,IF(A34&lt;'Données projet'!$A$192,$EG$205^A34,IF(A34='Données projet'!$A$192,'Données projet'!$B$192,EJ33+EI34-ER33)))</f>
        <v>56</v>
      </c>
      <c r="EK34" s="17">
        <f>EJ34*VLOOKUP('Données projet'!$B$15,Paramètres!$A$1:$I$89,3,0)*VLOOKUP('Données projet'!$B$15,Paramètres!$A$1:$I$89,5,0)</f>
        <v>48.048000000000009</v>
      </c>
      <c r="EL34" s="13">
        <f t="shared" si="45"/>
        <v>14.108484750160622</v>
      </c>
      <c r="EM34" s="20">
        <f t="shared" si="19"/>
        <v>108.25587760652975</v>
      </c>
      <c r="EN34" s="59">
        <f t="shared" si="20"/>
        <v>371.21664117116904</v>
      </c>
      <c r="EO34" s="59">
        <f ca="1">AVERAGE(OFFSET($EN$3,0,0,'Données projet'!$E$15+1,1))-AVERAGE(OFFSET($H$3,0,0,'Données projet'!$E$15+1,1))</f>
        <v>331.94255128154623</v>
      </c>
      <c r="EP34" s="59">
        <f t="shared" si="46"/>
        <v>258.40809812013964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61.716571881265267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28</v>
      </c>
      <c r="FE34" s="12">
        <f>IF('Données projet'!$A$218&gt;35,FE33+FD34-FM33,IF(A34&lt;'Données projet'!$A$218,$FB$205^A34,IF(A34='Données projet'!$A$218,'Données projet'!$B$218,FE33+FD34-FM33)))</f>
        <v>63</v>
      </c>
      <c r="FF34" s="17">
        <f>FE34*VLOOKUP('Données projet'!$B$16,Paramètres!$A$1:$I$89,3,0)*VLOOKUP('Données projet'!$B$16,Paramètres!$A$1:$I$89,5,0)</f>
        <v>59.950800000000001</v>
      </c>
      <c r="FG34" s="13">
        <f t="shared" si="47"/>
        <v>17.155829115013216</v>
      </c>
      <c r="FH34" s="20">
        <f t="shared" si="22"/>
        <v>134.29404570864804</v>
      </c>
      <c r="FI34" s="59">
        <f t="shared" si="23"/>
        <v>397.25480927328738</v>
      </c>
      <c r="FJ34" s="59">
        <f ca="1">AVERAGE(OFFSET($FI$3,0,0,'Données projet'!$E$16+1,1))-AVERAGE(OFFSET($H$3,0,0,'Données projet'!$E$16+1,1))</f>
        <v>290.72311302449236</v>
      </c>
      <c r="FK34" s="59">
        <f t="shared" si="48"/>
        <v>352.32552988394434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61.716571881265267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17.399999999999999</v>
      </c>
      <c r="FZ34" s="12">
        <f>IF('Données projet'!$A$244&gt;35,FZ33+FY34-GH33,IF(A34&lt;'Données projet'!$A$244,$FW$205^A34,IF(A34='Données projet'!$A$244,'Données projet'!$B$244,FZ33+FY34-GH33)))</f>
        <v>30.399999999999977</v>
      </c>
      <c r="GA34" s="17">
        <f>FZ34*VLOOKUP('Données projet'!$B$17,Paramètres!$A$1:$I$89,3,0)*VLOOKUP('Données projet'!$B$17,Paramètres!$A$1:$I$89,5,0)</f>
        <v>19.918079999999986</v>
      </c>
      <c r="GB34" s="13">
        <f t="shared" si="49"/>
        <v>6.4798825087606984</v>
      </c>
      <c r="GC34" s="20">
        <f t="shared" si="25"/>
        <v>45.976451369424858</v>
      </c>
      <c r="GD34" s="59">
        <f t="shared" si="26"/>
        <v>308.93721493406417</v>
      </c>
      <c r="GE34" s="59">
        <f ca="1">AVERAGE(OFFSET($GD$3,0,0,'Données projet'!$E$17+1,1))-AVERAGE(OFFSET($H$3,0,0,'Données projet'!$E$17+1,1))</f>
        <v>123.03972959251965</v>
      </c>
      <c r="GF34" s="59">
        <f t="shared" si="50"/>
        <v>178.27657680839445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27.005756961501234</v>
      </c>
      <c r="GN34" s="21">
        <f>EXP(-LN(2)/2)*GN33+(1-EXP(-LN(2)/2))/(LN(2)/2)*GH34*GK34*VLOOKUP('Données projet'!$B$17,Paramètres!$A$1:$I$89,3,0)*0.475*44/12</f>
        <v>9.7060487210920705</v>
      </c>
      <c r="GO34" s="21">
        <f t="shared" si="27"/>
        <v>36.711805682593308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61.716571881265267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13.04</v>
      </c>
      <c r="GU34" s="12">
        <f>IF('Données projet'!$A$270&gt;35,GU33+GT34-HC33,IF(A34&lt;'Données projet'!$A$270,$GR$205^A34,IF(A34='Données projet'!$A$270,'Données projet'!$B$270,GU33+GT34-HC33)))</f>
        <v>404.24000000000012</v>
      </c>
      <c r="GV34" s="17">
        <f>GU34*VLOOKUP('Données projet'!$B$18,Paramètres!$A$1:$I$89,3,0)*VLOOKUP('Données projet'!$B$18,Paramètres!$A$1:$I$89,5,0)</f>
        <v>271.16419200000007</v>
      </c>
      <c r="GW34" s="13">
        <f t="shared" si="51"/>
        <v>65.096278309765879</v>
      </c>
      <c r="GX34" s="20">
        <f t="shared" si="28"/>
        <v>585.65365245617556</v>
      </c>
      <c r="GY34" s="59">
        <f t="shared" si="29"/>
        <v>848.61441602081482</v>
      </c>
      <c r="GZ34" s="59">
        <f ca="1">AVERAGE(OFFSET($GY$3,0,0,'Données projet'!$E$18+1,1))-AVERAGE(OFFSET($H$3,0,0,'Données projet'!$E$18+1,1))</f>
        <v>542.25674729323623</v>
      </c>
      <c r="HA34" s="59">
        <f t="shared" si="52"/>
        <v>614.73906555680685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0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0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2.8499999999999996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10.449999999999998</v>
      </c>
      <c r="H35" s="67">
        <f t="shared" si="1"/>
        <v>214.86666666666667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61.860270840154385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10.4</v>
      </c>
      <c r="N35" s="13">
        <f>IF('Données projet'!$A$36&gt;35,N34+M35-V34,IF(A35&lt;'Données projet'!$A$36,$K$205^A35,IF(A35='Données projet'!$A$36,'Données projet'!$B$36,N34+M35-V34)))</f>
        <v>332.79999999999984</v>
      </c>
      <c r="O35" s="13">
        <f>N35*VLOOKUP('Données projet'!$B$9,Paramètres!$A$1:$I$89,3,0)*VLOOKUP('Données projet'!$B$9,Paramètres!$A$1:$I$89,5,0)</f>
        <v>290.73407999999989</v>
      </c>
      <c r="P35" s="13">
        <f t="shared" si="33"/>
        <v>69.230438130142559</v>
      </c>
      <c r="Q35" s="20">
        <f t="shared" ref="Q35:Q66" si="53">(O35+P35)*0.475*44/12</f>
        <v>626.9382024099981</v>
      </c>
      <c r="R35" s="59">
        <f t="shared" si="0"/>
        <v>890.42586215723077</v>
      </c>
      <c r="S35" s="59">
        <f ca="1">AVERAGE(OFFSET($R$3,0,0,'Données projet'!$E$9+1,1))-AVERAGE(OFFSET($H$3,0,0,'Données projet'!$E$9+1,1))</f>
        <v>686.80970545599644</v>
      </c>
      <c r="T35" s="59">
        <f t="shared" si="34"/>
        <v>636.16485232937737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61.860270840154385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3.6388888888888888</v>
      </c>
      <c r="AI35" s="13">
        <f>IF('Données projet'!$A$62&gt;35,AI34+AH35-AQ34,IF(A35&lt;'Données projet'!$A$62,$AF$205^A35,IF(A35='Données projet'!$A$62,'Données projet'!$B$62,AI34+AH35-AQ34)))</f>
        <v>116.44444444444437</v>
      </c>
      <c r="AJ35" s="13">
        <f>AI35*VLOOKUP('Données projet'!$B$10,Paramètres!$A$1:$I$89,3,0)*VLOOKUP('Données projet'!$B$10,Paramètres!$A$1:$I$89,5,0)</f>
        <v>105.35893333333327</v>
      </c>
      <c r="AK35" s="13">
        <f t="shared" si="35"/>
        <v>28.234784872597665</v>
      </c>
      <c r="AL35" s="20">
        <f t="shared" si="4"/>
        <v>232.6757258753297</v>
      </c>
      <c r="AM35" s="59">
        <f t="shared" si="5"/>
        <v>496.16338562256243</v>
      </c>
      <c r="AN35" s="59">
        <f ca="1">AVERAGE(OFFSET($AM$3,0,0,'Données projet'!$E$10+1,1))-AVERAGE(OFFSET($H$3,0,0,'Données projet'!$E$10+1,1))</f>
        <v>323.67375363913726</v>
      </c>
      <c r="AO35" s="59">
        <f t="shared" si="36"/>
        <v>266.03902815735029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61.860270840154385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23</v>
      </c>
      <c r="BD35" s="12">
        <f>IF('Données projet'!$A$88&gt;35,BD34+BC35-BL34,IF(A35&lt;'Données projet'!$A$88,$BA$205^A35,IF(A35='Données projet'!$A$88,'Données projet'!$B$88,BD34+BC35-BL34)))</f>
        <v>431.00000000000017</v>
      </c>
      <c r="BE35" s="13">
        <f>BD35*VLOOKUP('Données projet'!$B$11,Paramètres!$A$1:$I$89,3,0)*VLOOKUP('Données projet'!$B$11,Paramètres!$A$1:$I$89,5,0)</f>
        <v>240.92900000000009</v>
      </c>
      <c r="BF35" s="13">
        <f t="shared" si="37"/>
        <v>58.639364393255526</v>
      </c>
      <c r="BG35" s="20">
        <f t="shared" si="7"/>
        <v>521.74823465158681</v>
      </c>
      <c r="BH35" s="59">
        <f t="shared" si="8"/>
        <v>785.23589439881948</v>
      </c>
      <c r="BI35" s="59">
        <f ca="1">AVERAGE(OFFSET($BH$3,0,0,'Données projet'!$E$11+1,1))-AVERAGE(OFFSET($H$3,0,0,'Données projet'!$E$11+1,1))</f>
        <v>371.46495716091965</v>
      </c>
      <c r="BJ35" s="59">
        <f t="shared" si="38"/>
        <v>579.95059529269417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30.403018014151325</v>
      </c>
      <c r="BQ35" s="21">
        <f>EXP(-LN(2)/25)*BQ34+(1-EXP(-LN(2)/25))/(LN(2)/25)*Calculateur!BL35*Calculateur!BN35*VLOOKUP('Données projet'!$B$11,Paramètres!$A$1:$I$89,3,0)*0.475*44/12</f>
        <v>18.338492778561132</v>
      </c>
      <c r="BR35" s="21">
        <f>EXP(-LN(2)/2)*BR34+(1-EXP(-LN(2)/2))/(LN(2)/2)*BL35*BO35*VLOOKUP('Données projet'!$B$11,Paramètres!$A$1:$I$89,3,0)*0.475*44/12</f>
        <v>6.2759640385419919</v>
      </c>
      <c r="BS35" s="22">
        <f t="shared" si="9"/>
        <v>55.017474831254454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61.860270840154385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43</v>
      </c>
      <c r="BY35" s="12">
        <f>IF('Données projet'!$A$114&gt;35,BY34+BX35-CG34,IF(A35&lt;'Données projet'!$A$114,$BV$205^A35,IF(A35='Données projet'!$A$114,'Données projet'!$B$114,BY34+BX35-CG34)))</f>
        <v>128</v>
      </c>
      <c r="BZ35" s="13">
        <f>BY35*VLOOKUP('Données projet'!$B$12,Paramètres!$A$1:$I$89,3,0)*VLOOKUP('Données projet'!$B$12,Paramètres!$A$1:$I$89,5,0)</f>
        <v>79.872</v>
      </c>
      <c r="CA35" s="13">
        <f t="shared" si="39"/>
        <v>22.105884547145418</v>
      </c>
      <c r="CB35" s="20">
        <f t="shared" si="10"/>
        <v>177.61148225294494</v>
      </c>
      <c r="CC35" s="59">
        <f t="shared" si="11"/>
        <v>441.09914200017766</v>
      </c>
      <c r="CD35" s="59">
        <f ca="1">AVERAGE(OFFSET($CC$3,0,0,'Données projet'!$E$12+1,1))-AVERAGE(OFFSET($H$3,0,0,'Données projet'!$E$12+1,1))</f>
        <v>180.18752244216969</v>
      </c>
      <c r="CE35" s="59">
        <f t="shared" si="40"/>
        <v>350.12096474554676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51.270406860053427</v>
      </c>
      <c r="CL35" s="21">
        <f>EXP(-LN(2)/25)*CL34+(1-EXP(-LN(2)/25))/(LN(2)/25)*Calculateur!CG35*Calculateur!CI35*VLOOKUP('Données projet'!$B$12,Paramètres!$A$1:$I$89,3,0)*0.475*44/12</f>
        <v>77.849705723357303</v>
      </c>
      <c r="CM35" s="21">
        <f>EXP(-LN(2)/2)*CM34+(1-EXP(-LN(2)/2))/(LN(2)/2)*CG35*CJ35*VLOOKUP('Données projet'!$B$12,Paramètres!$A$1:$I$89,3,0)*0.475*44/12</f>
        <v>15.729516336368437</v>
      </c>
      <c r="CN35" s="22">
        <f t="shared" si="12"/>
        <v>144.84962891977918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61.860270840154385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39.4</v>
      </c>
      <c r="CT35" s="12">
        <f>IF('Données projet'!$A$140&gt;35,CT34+CS35-DB34,IF(A35&lt;'Données projet'!$A$140,$CQ$205^A35,IF(A35='Données projet'!$A$140,'Données projet'!$B$140,CT34+CS35-DB34)))</f>
        <v>120.79999999999998</v>
      </c>
      <c r="CU35" s="17">
        <f>CT35*VLOOKUP('Données projet'!$B$13,Paramètres!$A$1:$I$89,3,0)*VLOOKUP('Données projet'!$B$13,Paramètres!$A$1:$I$89,5,0)</f>
        <v>96.108479999999986</v>
      </c>
      <c r="CV35" s="13">
        <f t="shared" si="41"/>
        <v>26.032765763225122</v>
      </c>
      <c r="CW35" s="20">
        <f t="shared" si="13"/>
        <v>212.72933637095036</v>
      </c>
      <c r="CX35" s="59">
        <f t="shared" si="14"/>
        <v>476.21699611818309</v>
      </c>
      <c r="CY35" s="59">
        <f ca="1">AVERAGE(OFFSET($CX$3,0,0,'Données projet'!$E$13+1,1))-AVERAGE(OFFSET($H$3,0,0,'Données projet'!$E$13+1,1))</f>
        <v>284.31574332240928</v>
      </c>
      <c r="CZ35" s="59">
        <f t="shared" si="42"/>
        <v>403.96994631683913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88.3723355353751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88.3723355353751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61.860270840154385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12.25</v>
      </c>
      <c r="DO35" s="12">
        <f>IF('Données projet'!$A$166&gt;35,DO34+DN35-DW34,IF(A35&lt;'Données projet'!$A$166,$DL$205^A35,IF(A35='Données projet'!$A$166,'Données projet'!$B$166,DO34+DN35-DW34)))</f>
        <v>99.25</v>
      </c>
      <c r="DP35" s="17">
        <f>DO35*VLOOKUP('Données projet'!$B$14,Paramètres!$A$1:$I$89,3,0)*VLOOKUP('Données projet'!$B$14,Paramètres!$A$1:$I$89,5,0)</f>
        <v>72.770099999999999</v>
      </c>
      <c r="DQ35" s="13">
        <f t="shared" si="43"/>
        <v>20.35980952588125</v>
      </c>
      <c r="DR35" s="20">
        <f t="shared" si="16"/>
        <v>162.20125909090982</v>
      </c>
      <c r="DS35" s="59">
        <f t="shared" si="17"/>
        <v>425.68891883814251</v>
      </c>
      <c r="DT35" s="59">
        <f ca="1">AVERAGE(OFFSET($DS$3,0,0,'Données projet'!$E$14+1,1))-AVERAGE(OFFSET($H$3,0,0,'Données projet'!$E$14+1,1))</f>
        <v>190.9519472160006</v>
      </c>
      <c r="DU35" s="59">
        <f t="shared" si="44"/>
        <v>170.61553500287511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39.873300920159259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39.873300920159259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61.860270840154385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21</v>
      </c>
      <c r="EJ35" s="12">
        <f>IF('Données projet'!$A$192&gt;35,EJ34+EI35-ER34,IF(A35&lt;'Données projet'!$A$192,$EG$205^A35,IF(A35='Données projet'!$A$192,'Données projet'!$B$192,EJ34+EI35-ER34)))</f>
        <v>77</v>
      </c>
      <c r="EK35" s="17">
        <f>EJ35*VLOOKUP('Données projet'!$B$15,Paramètres!$A$1:$I$89,3,0)*VLOOKUP('Données projet'!$B$15,Paramètres!$A$1:$I$89,5,0)</f>
        <v>66.066000000000003</v>
      </c>
      <c r="EL35" s="13">
        <f t="shared" si="45"/>
        <v>18.69324238096624</v>
      </c>
      <c r="EM35" s="20">
        <f t="shared" si="19"/>
        <v>147.62234714684953</v>
      </c>
      <c r="EN35" s="59">
        <f t="shared" si="20"/>
        <v>411.11000689408229</v>
      </c>
      <c r="EO35" s="59">
        <f ca="1">AVERAGE(OFFSET($EN$3,0,0,'Données projet'!$E$15+1,1))-AVERAGE(OFFSET($H$3,0,0,'Données projet'!$E$15+1,1))</f>
        <v>331.94255128154623</v>
      </c>
      <c r="EP35" s="59">
        <f t="shared" si="46"/>
        <v>258.40809812013964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61.860270840154385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28</v>
      </c>
      <c r="FE35" s="12">
        <f>IF('Données projet'!$A$218&gt;35,FE34+FD35-FM34,IF(A35&lt;'Données projet'!$A$218,$FB$205^A35,IF(A35='Données projet'!$A$218,'Données projet'!$B$218,FE34+FD35-FM34)))</f>
        <v>91</v>
      </c>
      <c r="FF35" s="17">
        <f>FE35*VLOOKUP('Données projet'!$B$16,Paramètres!$A$1:$I$89,3,0)*VLOOKUP('Données projet'!$B$16,Paramètres!$A$1:$I$89,5,0)</f>
        <v>86.595600000000005</v>
      </c>
      <c r="FG35" s="13">
        <f t="shared" si="47"/>
        <v>23.742332153806089</v>
      </c>
      <c r="FH35" s="20">
        <f t="shared" si="22"/>
        <v>192.17189850121227</v>
      </c>
      <c r="FI35" s="59">
        <f t="shared" si="23"/>
        <v>455.65955824844502</v>
      </c>
      <c r="FJ35" s="59">
        <f ca="1">AVERAGE(OFFSET($FI$3,0,0,'Données projet'!$E$16+1,1))-AVERAGE(OFFSET($H$3,0,0,'Données projet'!$E$16+1,1))</f>
        <v>290.72311302449236</v>
      </c>
      <c r="FK35" s="59">
        <f t="shared" si="48"/>
        <v>352.32552988394434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61.860270840154385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17.399999999999999</v>
      </c>
      <c r="FZ35" s="12">
        <f>IF('Données projet'!$A$244&gt;35,FZ34+FY35-GH34,IF(A35&lt;'Données projet'!$A$244,$FW$205^A35,IF(A35='Données projet'!$A$244,'Données projet'!$B$244,FZ34+FY35-GH34)))</f>
        <v>47.799999999999976</v>
      </c>
      <c r="GA35" s="17">
        <f>FZ35*VLOOKUP('Données projet'!$B$17,Paramètres!$A$1:$I$89,3,0)*VLOOKUP('Données projet'!$B$17,Paramètres!$A$1:$I$89,5,0)</f>
        <v>31.318559999999984</v>
      </c>
      <c r="GB35" s="13">
        <f t="shared" si="49"/>
        <v>9.665904999923205</v>
      </c>
      <c r="GC35" s="20">
        <f t="shared" si="25"/>
        <v>71.381276541532884</v>
      </c>
      <c r="GD35" s="59">
        <f t="shared" si="26"/>
        <v>334.86893628876561</v>
      </c>
      <c r="GE35" s="59">
        <f ca="1">AVERAGE(OFFSET($GD$3,0,0,'Données projet'!$E$17+1,1))-AVERAGE(OFFSET($H$3,0,0,'Données projet'!$E$17+1,1))</f>
        <v>123.03972959251965</v>
      </c>
      <c r="GF35" s="59">
        <f t="shared" si="50"/>
        <v>178.27657680839445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26.267283117217946</v>
      </c>
      <c r="GN35" s="21">
        <f>EXP(-LN(2)/2)*GN34+(1-EXP(-LN(2)/2))/(LN(2)/2)*GH35*GK35*VLOOKUP('Données projet'!$B$17,Paramètres!$A$1:$I$89,3,0)*0.475*44/12</f>
        <v>6.8632128692112202</v>
      </c>
      <c r="GO35" s="21">
        <f t="shared" si="27"/>
        <v>33.130495986429167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61.860270840154385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13.04</v>
      </c>
      <c r="GU35" s="12">
        <f>IF('Données projet'!$A$270&gt;35,GU34+GT35-HC34,IF(A35&lt;'Données projet'!$A$270,$GR$205^A35,IF(A35='Données projet'!$A$270,'Données projet'!$B$270,GU34+GT35-HC34)))</f>
        <v>417.28000000000014</v>
      </c>
      <c r="GV35" s="17">
        <f>GU35*VLOOKUP('Données projet'!$B$18,Paramètres!$A$1:$I$89,3,0)*VLOOKUP('Données projet'!$B$18,Paramètres!$A$1:$I$89,5,0)</f>
        <v>279.91142400000007</v>
      </c>
      <c r="GW35" s="13">
        <f t="shared" si="51"/>
        <v>66.948289881376709</v>
      </c>
      <c r="GX35" s="20">
        <f t="shared" si="28"/>
        <v>604.11400167673116</v>
      </c>
      <c r="GY35" s="59">
        <f t="shared" si="29"/>
        <v>867.60166142396383</v>
      </c>
      <c r="GZ35" s="59">
        <f ca="1">AVERAGE(OFFSET($GY$3,0,0,'Données projet'!$E$18+1,1))-AVERAGE(OFFSET($H$3,0,0,'Données projet'!$E$18+1,1))</f>
        <v>542.25674729323623</v>
      </c>
      <c r="HA35" s="59">
        <f t="shared" si="52"/>
        <v>614.73906555680685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0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0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2.8499999999999996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10.449999999999998</v>
      </c>
      <c r="H36" s="67">
        <f t="shared" si="1"/>
        <v>214.86666666666667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62.001476943369511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10.4</v>
      </c>
      <c r="N36" s="13">
        <f>IF('Données projet'!$A$36&gt;35,N35+M36-V35,IF(A36&lt;'Données projet'!$A$36,$K$205^A36,IF(A36='Données projet'!$A$36,'Données projet'!$B$36,N35+M36-V35)))</f>
        <v>343.19999999999982</v>
      </c>
      <c r="O36" s="13">
        <f>N36*VLOOKUP('Données projet'!$B$9,Paramètres!$A$1:$I$89,3,0)*VLOOKUP('Données projet'!$B$9,Paramètres!$A$1:$I$89,5,0)</f>
        <v>299.8195199999999</v>
      </c>
      <c r="P36" s="13">
        <f t="shared" si="33"/>
        <v>71.138626610338036</v>
      </c>
      <c r="Q36" s="20">
        <f t="shared" si="53"/>
        <v>646.08543867967194</v>
      </c>
      <c r="R36" s="59">
        <f t="shared" si="0"/>
        <v>910.09085413869343</v>
      </c>
      <c r="S36" s="59">
        <f ca="1">AVERAGE(OFFSET($R$3,0,0,'Données projet'!$E$9+1,1))-AVERAGE(OFFSET($H$3,0,0,'Données projet'!$E$9+1,1))</f>
        <v>686.80970545599644</v>
      </c>
      <c r="T36" s="59">
        <f t="shared" si="34"/>
        <v>636.16485232937737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62.001476943369511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3.6388888888888888</v>
      </c>
      <c r="AI36" s="13">
        <f>IF('Données projet'!$A$62&gt;35,AI35+AH36-AQ35,IF(A36&lt;'Données projet'!$A$62,$AF$205^A36,IF(A36='Données projet'!$A$62,'Données projet'!$B$62,AI35+AH36-AQ35)))</f>
        <v>120.08333333333326</v>
      </c>
      <c r="AJ36" s="13">
        <f>AI36*VLOOKUP('Données projet'!$B$10,Paramètres!$A$1:$I$89,3,0)*VLOOKUP('Données projet'!$B$10,Paramètres!$A$1:$I$89,5,0)</f>
        <v>108.65139999999992</v>
      </c>
      <c r="AK36" s="13">
        <f t="shared" si="35"/>
        <v>29.01301613459556</v>
      </c>
      <c r="AL36" s="20">
        <f t="shared" si="4"/>
        <v>239.76552476775382</v>
      </c>
      <c r="AM36" s="59">
        <f t="shared" si="5"/>
        <v>503.77094022677534</v>
      </c>
      <c r="AN36" s="59">
        <f ca="1">AVERAGE(OFFSET($AM$3,0,0,'Données projet'!$E$10+1,1))-AVERAGE(OFFSET($H$3,0,0,'Données projet'!$E$10+1,1))</f>
        <v>323.67375363913726</v>
      </c>
      <c r="AO36" s="59">
        <f t="shared" si="36"/>
        <v>266.03902815735029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62.001476943369511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23</v>
      </c>
      <c r="BD36" s="12">
        <f>IF('Données projet'!$A$88&gt;35,BD35+BC36-BL35,IF(A36&lt;'Données projet'!$A$88,$BA$205^A36,IF(A36='Données projet'!$A$88,'Données projet'!$B$88,BD35+BC36-BL35)))</f>
        <v>454.00000000000017</v>
      </c>
      <c r="BE36" s="13">
        <f>BD36*VLOOKUP('Données projet'!$B$11,Paramètres!$A$1:$I$89,3,0)*VLOOKUP('Données projet'!$B$11,Paramètres!$A$1:$I$89,5,0)</f>
        <v>253.78600000000012</v>
      </c>
      <c r="BF36" s="13">
        <f t="shared" si="37"/>
        <v>61.395945216950963</v>
      </c>
      <c r="BG36" s="20">
        <f t="shared" si="7"/>
        <v>548.94188791952308</v>
      </c>
      <c r="BH36" s="59">
        <f t="shared" si="8"/>
        <v>812.94730337854458</v>
      </c>
      <c r="BI36" s="59">
        <f ca="1">AVERAGE(OFFSET($BH$3,0,0,'Données projet'!$E$11+1,1))-AVERAGE(OFFSET($H$3,0,0,'Données projet'!$E$11+1,1))</f>
        <v>371.46495716091965</v>
      </c>
      <c r="BJ36" s="59">
        <f t="shared" si="38"/>
        <v>579.95059529269417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29.806833374903736</v>
      </c>
      <c r="BQ36" s="21">
        <f>EXP(-LN(2)/25)*BQ35+(1-EXP(-LN(2)/25))/(LN(2)/25)*Calculateur!BL36*Calculateur!BN36*VLOOKUP('Données projet'!$B$11,Paramètres!$A$1:$I$89,3,0)*0.475*44/12</f>
        <v>17.837025729151957</v>
      </c>
      <c r="BR36" s="21">
        <f>EXP(-LN(2)/2)*BR35+(1-EXP(-LN(2)/2))/(LN(2)/2)*BL36*BO36*VLOOKUP('Données projet'!$B$11,Paramètres!$A$1:$I$89,3,0)*0.475*44/12</f>
        <v>4.4377767301359539</v>
      </c>
      <c r="BS36" s="22">
        <f t="shared" si="9"/>
        <v>52.081635834191644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62.001476943369511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43</v>
      </c>
      <c r="BY36" s="12">
        <f>IF('Données projet'!$A$114&gt;35,BY35+BX36-CG35,IF(A36&lt;'Données projet'!$A$114,$BV$205^A36,IF(A36='Données projet'!$A$114,'Données projet'!$B$114,BY35+BX36-CG35)))</f>
        <v>171</v>
      </c>
      <c r="BZ36" s="13">
        <f>BY36*VLOOKUP('Données projet'!$B$12,Paramètres!$A$1:$I$89,3,0)*VLOOKUP('Données projet'!$B$12,Paramètres!$A$1:$I$89,5,0)</f>
        <v>106.70400000000001</v>
      </c>
      <c r="CA36" s="13">
        <f t="shared" si="39"/>
        <v>28.55305168433533</v>
      </c>
      <c r="CB36" s="20">
        <f t="shared" si="10"/>
        <v>235.57269835021739</v>
      </c>
      <c r="CC36" s="59">
        <f t="shared" si="11"/>
        <v>499.57811380923897</v>
      </c>
      <c r="CD36" s="59">
        <f ca="1">AVERAGE(OFFSET($CC$3,0,0,'Données projet'!$E$12+1,1))-AVERAGE(OFFSET($H$3,0,0,'Données projet'!$E$12+1,1))</f>
        <v>180.18752244216969</v>
      </c>
      <c r="CE36" s="59">
        <f t="shared" si="40"/>
        <v>350.12096474554676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50.265025453388127</v>
      </c>
      <c r="CL36" s="21">
        <f>EXP(-LN(2)/25)*CL35+(1-EXP(-LN(2)/25))/(LN(2)/25)*Calculateur!CG36*Calculateur!CI36*VLOOKUP('Données projet'!$B$12,Paramètres!$A$1:$I$89,3,0)*0.475*44/12</f>
        <v>75.720901426414002</v>
      </c>
      <c r="CM36" s="21">
        <f>EXP(-LN(2)/2)*CM35+(1-EXP(-LN(2)/2))/(LN(2)/2)*CG36*CJ36*VLOOKUP('Données projet'!$B$12,Paramètres!$A$1:$I$89,3,0)*0.475*44/12</f>
        <v>11.122447666230702</v>
      </c>
      <c r="CN36" s="22">
        <f t="shared" si="12"/>
        <v>137.10837454603282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62.001476943369511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39.4</v>
      </c>
      <c r="CT36" s="12">
        <f>IF('Données projet'!$A$140&gt;35,CT35+CS36-DB35,IF(A36&lt;'Données projet'!$A$140,$CQ$205^A36,IF(A36='Données projet'!$A$140,'Données projet'!$B$140,CT35+CS36-DB35)))</f>
        <v>160.19999999999999</v>
      </c>
      <c r="CU36" s="17">
        <f>CT36*VLOOKUP('Données projet'!$B$13,Paramètres!$A$1:$I$89,3,0)*VLOOKUP('Données projet'!$B$13,Paramètres!$A$1:$I$89,5,0)</f>
        <v>127.45512000000001</v>
      </c>
      <c r="CV36" s="13">
        <f t="shared" si="41"/>
        <v>33.407637376349015</v>
      </c>
      <c r="CW36" s="20">
        <f t="shared" si="13"/>
        <v>280.16930243047449</v>
      </c>
      <c r="CX36" s="59">
        <f t="shared" si="14"/>
        <v>544.17471788949604</v>
      </c>
      <c r="CY36" s="59">
        <f ca="1">AVERAGE(OFFSET($CX$3,0,0,'Données projet'!$E$13+1,1))-AVERAGE(OFFSET($H$3,0,0,'Données projet'!$E$13+1,1))</f>
        <v>284.31574332240928</v>
      </c>
      <c r="CZ36" s="59">
        <f t="shared" si="42"/>
        <v>403.96994631683913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86.639407937328713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86.639407937328713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62.001476943369511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12.25</v>
      </c>
      <c r="DO36" s="12">
        <f>IF('Données projet'!$A$166&gt;35,DO35+DN36-DW35,IF(A36&lt;'Données projet'!$A$166,$DL$205^A36,IF(A36='Données projet'!$A$166,'Données projet'!$B$166,DO35+DN36-DW35)))</f>
        <v>111.5</v>
      </c>
      <c r="DP36" s="17">
        <f>DO36*VLOOKUP('Données projet'!$B$14,Paramètres!$A$1:$I$89,3,0)*VLOOKUP('Données projet'!$B$14,Paramètres!$A$1:$I$89,5,0)</f>
        <v>81.751799999999989</v>
      </c>
      <c r="DQ36" s="13">
        <f t="shared" si="43"/>
        <v>22.56496686194475</v>
      </c>
      <c r="DR36" s="20">
        <f t="shared" si="16"/>
        <v>181.68503561788705</v>
      </c>
      <c r="DS36" s="59">
        <f t="shared" si="17"/>
        <v>445.69045107690863</v>
      </c>
      <c r="DT36" s="59">
        <f ca="1">AVERAGE(OFFSET($DS$3,0,0,'Données projet'!$E$14+1,1))-AVERAGE(OFFSET($H$3,0,0,'Données projet'!$E$14+1,1))</f>
        <v>190.9519472160006</v>
      </c>
      <c r="DU36" s="59">
        <f t="shared" si="44"/>
        <v>170.61553500287511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39.091409809427063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39.091409809427063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62.001476943369511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21</v>
      </c>
      <c r="EJ36" s="12">
        <f>IF('Données projet'!$A$192&gt;35,EJ35+EI36-ER35,IF(A36&lt;'Données projet'!$A$192,$EG$205^A36,IF(A36='Données projet'!$A$192,'Données projet'!$B$192,EJ35+EI36-ER35)))</f>
        <v>98</v>
      </c>
      <c r="EK36" s="17">
        <f>EJ36*VLOOKUP('Données projet'!$B$15,Paramètres!$A$1:$I$89,3,0)*VLOOKUP('Données projet'!$B$15,Paramètres!$A$1:$I$89,5,0)</f>
        <v>84.084000000000017</v>
      </c>
      <c r="EL36" s="13">
        <f t="shared" si="45"/>
        <v>23.132831417334526</v>
      </c>
      <c r="EM36" s="20">
        <f t="shared" si="19"/>
        <v>186.73598138519102</v>
      </c>
      <c r="EN36" s="59">
        <f t="shared" si="20"/>
        <v>450.74139684421255</v>
      </c>
      <c r="EO36" s="59">
        <f ca="1">AVERAGE(OFFSET($EN$3,0,0,'Données projet'!$E$15+1,1))-AVERAGE(OFFSET($H$3,0,0,'Données projet'!$E$15+1,1))</f>
        <v>331.94255128154623</v>
      </c>
      <c r="EP36" s="59">
        <f t="shared" si="46"/>
        <v>258.40809812013964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62.001476943369511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28</v>
      </c>
      <c r="FE36" s="12">
        <f>IF('Données projet'!$A$218&gt;35,FE35+FD36-FM35,IF(A36&lt;'Données projet'!$A$218,$FB$205^A36,IF(A36='Données projet'!$A$218,'Données projet'!$B$218,FE35+FD36-FM35)))</f>
        <v>119</v>
      </c>
      <c r="FF36" s="17">
        <f>FE36*VLOOKUP('Données projet'!$B$16,Paramètres!$A$1:$I$89,3,0)*VLOOKUP('Données projet'!$B$16,Paramètres!$A$1:$I$89,5,0)</f>
        <v>113.24040000000001</v>
      </c>
      <c r="FG36" s="13">
        <f t="shared" si="47"/>
        <v>30.093153283749206</v>
      </c>
      <c r="FH36" s="20">
        <f t="shared" si="22"/>
        <v>249.63927196919656</v>
      </c>
      <c r="FI36" s="59">
        <f t="shared" si="23"/>
        <v>513.64468742821805</v>
      </c>
      <c r="FJ36" s="59">
        <f ca="1">AVERAGE(OFFSET($FI$3,0,0,'Données projet'!$E$16+1,1))-AVERAGE(OFFSET($H$3,0,0,'Données projet'!$E$16+1,1))</f>
        <v>290.72311302449236</v>
      </c>
      <c r="FK36" s="59">
        <f t="shared" si="48"/>
        <v>352.32552988394434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62.001476943369511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17.399999999999999</v>
      </c>
      <c r="FZ36" s="12">
        <f>IF('Données projet'!$A$244&gt;35,FZ35+FY36-GH35,IF(A36&lt;'Données projet'!$A$244,$FW$205^A36,IF(A36='Données projet'!$A$244,'Données projet'!$B$244,FZ35+FY36-GH35)))</f>
        <v>65.199999999999974</v>
      </c>
      <c r="GA36" s="17">
        <f>FZ36*VLOOKUP('Données projet'!$B$17,Paramètres!$A$1:$I$89,3,0)*VLOOKUP('Données projet'!$B$17,Paramètres!$A$1:$I$89,5,0)</f>
        <v>42.719039999999985</v>
      </c>
      <c r="GB36" s="13">
        <f t="shared" si="49"/>
        <v>12.716547228850754</v>
      </c>
      <c r="GC36" s="20">
        <f t="shared" si="25"/>
        <v>96.550314423581696</v>
      </c>
      <c r="GD36" s="59">
        <f t="shared" si="26"/>
        <v>360.55572988260326</v>
      </c>
      <c r="GE36" s="59">
        <f ca="1">AVERAGE(OFFSET($GD$3,0,0,'Données projet'!$E$17+1,1))-AVERAGE(OFFSET($H$3,0,0,'Données projet'!$E$17+1,1))</f>
        <v>123.03972959251965</v>
      </c>
      <c r="GF36" s="59">
        <f t="shared" si="50"/>
        <v>178.27657680839445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25.549002879041236</v>
      </c>
      <c r="GN36" s="21">
        <f>EXP(-LN(2)/2)*GN35+(1-EXP(-LN(2)/2))/(LN(2)/2)*GH36*GK36*VLOOKUP('Données projet'!$B$17,Paramètres!$A$1:$I$89,3,0)*0.475*44/12</f>
        <v>4.8530243605460353</v>
      </c>
      <c r="GO36" s="21">
        <f t="shared" si="27"/>
        <v>30.402027239587269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62.001476943369511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13.04</v>
      </c>
      <c r="GU36" s="12">
        <f>IF('Données projet'!$A$270&gt;35,GU35+GT36-HC35,IF(A36&lt;'Données projet'!$A$270,$GR$205^A36,IF(A36='Données projet'!$A$270,'Données projet'!$B$270,GU35+GT36-HC35)))</f>
        <v>430.32000000000016</v>
      </c>
      <c r="GV36" s="17">
        <f>GU36*VLOOKUP('Données projet'!$B$18,Paramètres!$A$1:$I$89,3,0)*VLOOKUP('Données projet'!$B$18,Paramètres!$A$1:$I$89,5,0)</f>
        <v>288.65865600000012</v>
      </c>
      <c r="GW36" s="13">
        <f t="shared" si="51"/>
        <v>68.793575841871188</v>
      </c>
      <c r="GX36" s="20">
        <f t="shared" si="28"/>
        <v>622.56263712459247</v>
      </c>
      <c r="GY36" s="59">
        <f t="shared" si="29"/>
        <v>886.56805258361396</v>
      </c>
      <c r="GZ36" s="59">
        <f ca="1">AVERAGE(OFFSET($GY$3,0,0,'Données projet'!$E$18+1,1))-AVERAGE(OFFSET($H$3,0,0,'Données projet'!$E$18+1,1))</f>
        <v>542.25674729323623</v>
      </c>
      <c r="HA36" s="59">
        <f t="shared" si="52"/>
        <v>614.73906555680685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0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0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2.8499999999999996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10.449999999999998</v>
      </c>
      <c r="H37" s="67">
        <f t="shared" si="1"/>
        <v>214.86666666666667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62.140233436383426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10.4</v>
      </c>
      <c r="N37" s="13">
        <f>IF('Données projet'!$A$36&gt;35,N36+M37-V36,IF(A37&lt;'Données projet'!$A$36,$K$205^A37,IF(A37='Données projet'!$A$36,'Données projet'!$B$36,N36+M37-V36)))</f>
        <v>353.5999999999998</v>
      </c>
      <c r="O37" s="13">
        <f>N37*VLOOKUP('Données projet'!$B$9,Paramètres!$A$1:$I$89,3,0)*VLOOKUP('Données projet'!$B$9,Paramètres!$A$1:$I$89,5,0)</f>
        <v>308.90495999999985</v>
      </c>
      <c r="P37" s="13">
        <f t="shared" si="33"/>
        <v>73.040095159277854</v>
      </c>
      <c r="Q37" s="20">
        <f t="shared" si="53"/>
        <v>665.22097106907529</v>
      </c>
      <c r="R37" s="59">
        <f t="shared" si="0"/>
        <v>929.7351603358145</v>
      </c>
      <c r="S37" s="59">
        <f ca="1">AVERAGE(OFFSET($R$3,0,0,'Données projet'!$E$9+1,1))-AVERAGE(OFFSET($H$3,0,0,'Données projet'!$E$9+1,1))</f>
        <v>686.80970545599644</v>
      </c>
      <c r="T37" s="59">
        <f t="shared" si="34"/>
        <v>636.16485232937737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62.140233436383426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3.6388888888888888</v>
      </c>
      <c r="AI37" s="13">
        <f>IF('Données projet'!$A$62&gt;35,AI36+AH37-AQ36,IF(A37&lt;'Données projet'!$A$62,$AF$205^A37,IF(A37='Données projet'!$A$62,'Données projet'!$B$62,AI36+AH37-AQ36)))</f>
        <v>123.72222222222214</v>
      </c>
      <c r="AJ37" s="13">
        <f>AI37*VLOOKUP('Données projet'!$B$10,Paramètres!$A$1:$I$89,3,0)*VLOOKUP('Données projet'!$B$10,Paramètres!$A$1:$I$89,5,0)</f>
        <v>111.94386666666658</v>
      </c>
      <c r="AK37" s="13">
        <f t="shared" si="35"/>
        <v>29.788506755070937</v>
      </c>
      <c r="AL37" s="20">
        <f t="shared" si="4"/>
        <v>246.85055037619284</v>
      </c>
      <c r="AM37" s="59">
        <f t="shared" si="5"/>
        <v>511.36473964293214</v>
      </c>
      <c r="AN37" s="59">
        <f ca="1">AVERAGE(OFFSET($AM$3,0,0,'Données projet'!$E$10+1,1))-AVERAGE(OFFSET($H$3,0,0,'Données projet'!$E$10+1,1))</f>
        <v>323.67375363913726</v>
      </c>
      <c r="AO37" s="59">
        <f t="shared" si="36"/>
        <v>266.03902815735029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62.140233436383426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23</v>
      </c>
      <c r="BD37" s="12">
        <f>IF('Données projet'!$A$88&gt;35,BD36+BC37-BL36,IF(A37&lt;'Données projet'!$A$88,$BA$205^A37,IF(A37='Données projet'!$A$88,'Données projet'!$B$88,BD36+BC37-BL36)))</f>
        <v>477.00000000000017</v>
      </c>
      <c r="BE37" s="13">
        <f>BD37*VLOOKUP('Données projet'!$B$11,Paramètres!$A$1:$I$89,3,0)*VLOOKUP('Données projet'!$B$11,Paramètres!$A$1:$I$89,5,0)</f>
        <v>266.64300000000009</v>
      </c>
      <c r="BF37" s="13">
        <f t="shared" si="37"/>
        <v>64.136311225795083</v>
      </c>
      <c r="BG37" s="20">
        <f t="shared" si="7"/>
        <v>576.10730038492648</v>
      </c>
      <c r="BH37" s="59">
        <f t="shared" si="8"/>
        <v>840.6214896516658</v>
      </c>
      <c r="BI37" s="59">
        <f ca="1">AVERAGE(OFFSET($BH$3,0,0,'Données projet'!$E$11+1,1))-AVERAGE(OFFSET($H$3,0,0,'Données projet'!$E$11+1,1))</f>
        <v>371.46495716091965</v>
      </c>
      <c r="BJ37" s="59">
        <f t="shared" si="38"/>
        <v>579.95059529269417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29.22233955279507</v>
      </c>
      <c r="BQ37" s="21">
        <f>EXP(-LN(2)/25)*BQ36+(1-EXP(-LN(2)/25))/(LN(2)/25)*Calculateur!BL37*Calculateur!BN37*VLOOKUP('Données projet'!$B$11,Paramètres!$A$1:$I$89,3,0)*0.475*44/12</f>
        <v>17.349271322579881</v>
      </c>
      <c r="BR37" s="21">
        <f>EXP(-LN(2)/2)*BR36+(1-EXP(-LN(2)/2))/(LN(2)/2)*BL37*BO37*VLOOKUP('Données projet'!$B$11,Paramètres!$A$1:$I$89,3,0)*0.475*44/12</f>
        <v>3.1379820192709964</v>
      </c>
      <c r="BS37" s="22">
        <f t="shared" si="9"/>
        <v>49.709592894645951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62.140233436383426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43</v>
      </c>
      <c r="BY37" s="12">
        <f>IF('Données projet'!$A$114&gt;35,BY36+BX37-CG36,IF(A37&lt;'Données projet'!$A$114,$BV$205^A37,IF(A37='Données projet'!$A$114,'Données projet'!$B$114,BY36+BX37-CG36)))</f>
        <v>214</v>
      </c>
      <c r="BZ37" s="13">
        <f>BY37*VLOOKUP('Données projet'!$B$12,Paramètres!$A$1:$I$89,3,0)*VLOOKUP('Données projet'!$B$12,Paramètres!$A$1:$I$89,5,0)</f>
        <v>133.536</v>
      </c>
      <c r="CA37" s="13">
        <f t="shared" si="39"/>
        <v>34.812144572052389</v>
      </c>
      <c r="CB37" s="20">
        <f t="shared" si="10"/>
        <v>293.20635179632455</v>
      </c>
      <c r="CC37" s="59">
        <f t="shared" si="11"/>
        <v>557.72054106306382</v>
      </c>
      <c r="CD37" s="59">
        <f ca="1">AVERAGE(OFFSET($CC$3,0,0,'Données projet'!$E$12+1,1))-AVERAGE(OFFSET($H$3,0,0,'Données projet'!$E$12+1,1))</f>
        <v>180.18752244216969</v>
      </c>
      <c r="CE37" s="59">
        <f t="shared" si="40"/>
        <v>350.12096474554676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49.279358962885425</v>
      </c>
      <c r="CL37" s="21">
        <f>EXP(-LN(2)/25)*CL36+(1-EXP(-LN(2)/25))/(LN(2)/25)*Calculateur!CG37*Calculateur!CI37*VLOOKUP('Données projet'!$B$12,Paramètres!$A$1:$I$89,3,0)*0.475*44/12</f>
        <v>73.650309394919574</v>
      </c>
      <c r="CM37" s="21">
        <f>EXP(-LN(2)/2)*CM36+(1-EXP(-LN(2)/2))/(LN(2)/2)*CG37*CJ37*VLOOKUP('Données projet'!$B$12,Paramètres!$A$1:$I$89,3,0)*0.475*44/12</f>
        <v>7.8647581681842196</v>
      </c>
      <c r="CN37" s="22">
        <f t="shared" si="12"/>
        <v>130.79442652598922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62.140233436383426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39.4</v>
      </c>
      <c r="CT37" s="12">
        <f>IF('Données projet'!$A$140&gt;35,CT36+CS37-DB36,IF(A37&lt;'Données projet'!$A$140,$CQ$205^A37,IF(A37='Données projet'!$A$140,'Données projet'!$B$140,CT36+CS37-DB36)))</f>
        <v>199.6</v>
      </c>
      <c r="CU37" s="17">
        <f>CT37*VLOOKUP('Données projet'!$B$13,Paramètres!$A$1:$I$89,3,0)*VLOOKUP('Données projet'!$B$13,Paramètres!$A$1:$I$89,5,0)</f>
        <v>158.80176</v>
      </c>
      <c r="CV37" s="13">
        <f t="shared" si="41"/>
        <v>40.572130902159856</v>
      </c>
      <c r="CW37" s="20">
        <f t="shared" si="13"/>
        <v>347.2428599879284</v>
      </c>
      <c r="CX37" s="59">
        <f t="shared" si="14"/>
        <v>611.75704925466766</v>
      </c>
      <c r="CY37" s="59">
        <f ca="1">AVERAGE(OFFSET($CX$3,0,0,'Données projet'!$E$13+1,1))-AVERAGE(OFFSET($H$3,0,0,'Données projet'!$E$13+1,1))</f>
        <v>284.31574332240928</v>
      </c>
      <c r="CZ37" s="59">
        <f t="shared" si="42"/>
        <v>403.96994631683913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84.940461992498541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84.940461992498541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62.140233436383426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12.25</v>
      </c>
      <c r="DO37" s="12">
        <f>IF('Données projet'!$A$166&gt;35,DO36+DN37-DW36,IF(A37&lt;'Données projet'!$A$166,$DL$205^A37,IF(A37='Données projet'!$A$166,'Données projet'!$B$166,DO36+DN37-DW36)))</f>
        <v>123.75</v>
      </c>
      <c r="DP37" s="17">
        <f>DO37*VLOOKUP('Données projet'!$B$14,Paramètres!$A$1:$I$89,3,0)*VLOOKUP('Données projet'!$B$14,Paramètres!$A$1:$I$89,5,0)</f>
        <v>90.733499999999992</v>
      </c>
      <c r="DQ37" s="13">
        <f t="shared" si="43"/>
        <v>24.742043874484732</v>
      </c>
      <c r="DR37" s="20">
        <f t="shared" si="16"/>
        <v>201.11990558139425</v>
      </c>
      <c r="DS37" s="59">
        <f t="shared" si="17"/>
        <v>465.63409484813349</v>
      </c>
      <c r="DT37" s="59">
        <f ca="1">AVERAGE(OFFSET($DS$3,0,0,'Données projet'!$E$14+1,1))-AVERAGE(OFFSET($H$3,0,0,'Données projet'!$E$14+1,1))</f>
        <v>190.9519472160006</v>
      </c>
      <c r="DU37" s="59">
        <f t="shared" si="44"/>
        <v>170.61553500287511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38.324851106469843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38.324851106469843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62.140233436383426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21</v>
      </c>
      <c r="EJ37" s="12">
        <f>IF('Données projet'!$A$192&gt;35,EJ36+EI37-ER36,IF(A37&lt;'Données projet'!$A$192,$EG$205^A37,IF(A37='Données projet'!$A$192,'Données projet'!$B$192,EJ36+EI37-ER36)))</f>
        <v>119</v>
      </c>
      <c r="EK37" s="17">
        <f>EJ37*VLOOKUP('Données projet'!$B$15,Paramètres!$A$1:$I$89,3,0)*VLOOKUP('Données projet'!$B$15,Paramètres!$A$1:$I$89,5,0)</f>
        <v>102.102</v>
      </c>
      <c r="EL37" s="13">
        <f t="shared" si="45"/>
        <v>27.462162174923368</v>
      </c>
      <c r="EM37" s="20">
        <f t="shared" si="19"/>
        <v>225.65758245465824</v>
      </c>
      <c r="EN37" s="59">
        <f t="shared" si="20"/>
        <v>490.17177172139748</v>
      </c>
      <c r="EO37" s="59">
        <f ca="1">AVERAGE(OFFSET($EN$3,0,0,'Données projet'!$E$15+1,1))-AVERAGE(OFFSET($H$3,0,0,'Données projet'!$E$15+1,1))</f>
        <v>331.94255128154623</v>
      </c>
      <c r="EP37" s="59">
        <f t="shared" si="46"/>
        <v>258.40809812013964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62.140233436383426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28</v>
      </c>
      <c r="FE37" s="12">
        <f>IF('Données projet'!$A$218&gt;35,FE36+FD37-FM36,IF(A37&lt;'Données projet'!$A$218,$FB$205^A37,IF(A37='Données projet'!$A$218,'Données projet'!$B$218,FE36+FD37-FM36)))</f>
        <v>147</v>
      </c>
      <c r="FF37" s="17">
        <f>FE37*VLOOKUP('Données projet'!$B$16,Paramètres!$A$1:$I$89,3,0)*VLOOKUP('Données projet'!$B$16,Paramètres!$A$1:$I$89,5,0)</f>
        <v>139.8852</v>
      </c>
      <c r="FG37" s="13">
        <f t="shared" si="47"/>
        <v>36.2707051716027</v>
      </c>
      <c r="FH37" s="20">
        <f t="shared" si="22"/>
        <v>306.80486817387464</v>
      </c>
      <c r="FI37" s="59">
        <f t="shared" si="23"/>
        <v>571.31905744061396</v>
      </c>
      <c r="FJ37" s="59">
        <f ca="1">AVERAGE(OFFSET($FI$3,0,0,'Données projet'!$E$16+1,1))-AVERAGE(OFFSET($H$3,0,0,'Données projet'!$E$16+1,1))</f>
        <v>290.72311302449236</v>
      </c>
      <c r="FK37" s="59">
        <f t="shared" si="48"/>
        <v>352.32552988394434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62.140233436383426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17.399999999999999</v>
      </c>
      <c r="FZ37" s="12">
        <f>IF('Données projet'!$A$244&gt;35,FZ36+FY37-GH36,IF(A37&lt;'Données projet'!$A$244,$FW$205^A37,IF(A37='Données projet'!$A$244,'Données projet'!$B$244,FZ36+FY37-GH36)))</f>
        <v>82.599999999999966</v>
      </c>
      <c r="GA37" s="17">
        <f>FZ37*VLOOKUP('Données projet'!$B$17,Paramètres!$A$1:$I$89,3,0)*VLOOKUP('Données projet'!$B$17,Paramètres!$A$1:$I$89,5,0)</f>
        <v>54.11951999999998</v>
      </c>
      <c r="GB37" s="13">
        <f t="shared" si="49"/>
        <v>15.672692139607232</v>
      </c>
      <c r="GC37" s="20">
        <f t="shared" si="25"/>
        <v>121.55476947648258</v>
      </c>
      <c r="GD37" s="59">
        <f t="shared" si="26"/>
        <v>386.06895874322186</v>
      </c>
      <c r="GE37" s="59">
        <f ca="1">AVERAGE(OFFSET($GD$3,0,0,'Données projet'!$E$17+1,1))-AVERAGE(OFFSET($H$3,0,0,'Données projet'!$E$17+1,1))</f>
        <v>123.03972959251965</v>
      </c>
      <c r="GF37" s="59">
        <f t="shared" si="50"/>
        <v>178.27657680839445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24.850364051750184</v>
      </c>
      <c r="GN37" s="21">
        <f>EXP(-LN(2)/2)*GN36+(1-EXP(-LN(2)/2))/(LN(2)/2)*GH37*GK37*VLOOKUP('Données projet'!$B$17,Paramètres!$A$1:$I$89,3,0)*0.475*44/12</f>
        <v>3.4316064346056101</v>
      </c>
      <c r="GO37" s="21">
        <f t="shared" si="27"/>
        <v>28.281970486355792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62.140233436383426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13.04</v>
      </c>
      <c r="GU37" s="12">
        <f>IF('Données projet'!$A$270&gt;35,GU36+GT37-HC36,IF(A37&lt;'Données projet'!$A$270,$GR$205^A37,IF(A37='Données projet'!$A$270,'Données projet'!$B$270,GU36+GT37-HC36)))</f>
        <v>443.36000000000018</v>
      </c>
      <c r="GV37" s="17">
        <f>GU37*VLOOKUP('Données projet'!$B$18,Paramètres!$A$1:$I$89,3,0)*VLOOKUP('Données projet'!$B$18,Paramètres!$A$1:$I$89,5,0)</f>
        <v>297.40588800000017</v>
      </c>
      <c r="GW37" s="13">
        <f t="shared" si="51"/>
        <v>70.632363390426633</v>
      </c>
      <c r="GX37" s="20">
        <f t="shared" si="28"/>
        <v>640.9999545049933</v>
      </c>
      <c r="GY37" s="59">
        <f t="shared" si="29"/>
        <v>905.51414377173251</v>
      </c>
      <c r="GZ37" s="59">
        <f ca="1">AVERAGE(OFFSET($GY$3,0,0,'Données projet'!$E$18+1,1))-AVERAGE(OFFSET($H$3,0,0,'Données projet'!$E$18+1,1))</f>
        <v>542.25674729323623</v>
      </c>
      <c r="HA37" s="59">
        <f t="shared" si="52"/>
        <v>614.73906555680685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0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0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2.8499999999999996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10.449999999999998</v>
      </c>
      <c r="H38" s="67">
        <f t="shared" si="1"/>
        <v>214.86666666666667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62.276582814456575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364</v>
      </c>
      <c r="L38" s="12">
        <f>VLOOKUP(A38,'Données projet'!$A$35:$I$55,9,0)</f>
        <v>10.4</v>
      </c>
      <c r="M38" s="12">
        <f t="array" ref="M38">INDEX(L:L,MIN(IF(ISNUMBER(L38:L234),ROW(L38:L234),"")))</f>
        <v>10.4</v>
      </c>
      <c r="N38" s="13">
        <f>IF('Données projet'!$A$36&gt;35,N37+M38-V37,IF(A38&lt;'Données projet'!$A$36,$K$205^A38,IF(A38='Données projet'!$A$36,'Données projet'!$B$36,N37+M38-V37)))</f>
        <v>363.99999999999977</v>
      </c>
      <c r="O38" s="13">
        <f>N38*VLOOKUP('Données projet'!$B$9,Paramètres!$A$1:$I$89,3,0)*VLOOKUP('Données projet'!$B$9,Paramètres!$A$1:$I$89,5,0)</f>
        <v>317.99039999999985</v>
      </c>
      <c r="P38" s="13">
        <f t="shared" si="33"/>
        <v>74.935064115011244</v>
      </c>
      <c r="Q38" s="20">
        <f t="shared" si="53"/>
        <v>684.34518333364429</v>
      </c>
      <c r="R38" s="59">
        <f t="shared" si="0"/>
        <v>949.35932031998504</v>
      </c>
      <c r="S38" s="59">
        <f ca="1">AVERAGE(OFFSET($R$3,0,0,'Données projet'!$E$9+1,1))-AVERAGE(OFFSET($H$3,0,0,'Données projet'!$E$9+1,1))</f>
        <v>686.80970545599644</v>
      </c>
      <c r="T38" s="59">
        <f t="shared" si="34"/>
        <v>636.16485232937737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62.276582814456575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3.6388888888888888</v>
      </c>
      <c r="AI38" s="13">
        <f>IF('Données projet'!$A$62&gt;35,AI37+AH38-AQ37,IF(A38&lt;'Données projet'!$A$62,$AF$205^A38,IF(A38='Données projet'!$A$62,'Données projet'!$B$62,AI37+AH38-AQ37)))</f>
        <v>127.36111111111103</v>
      </c>
      <c r="AJ38" s="13">
        <f>AI38*VLOOKUP('Données projet'!$B$10,Paramètres!$A$1:$I$89,3,0)*VLOOKUP('Données projet'!$B$10,Paramètres!$A$1:$I$89,5,0)</f>
        <v>115.23633333333326</v>
      </c>
      <c r="AK38" s="13">
        <f t="shared" si="35"/>
        <v>30.561346596194085</v>
      </c>
      <c r="AL38" s="20">
        <f t="shared" si="4"/>
        <v>253.9309592105935</v>
      </c>
      <c r="AM38" s="59">
        <f t="shared" si="5"/>
        <v>518.94509619693429</v>
      </c>
      <c r="AN38" s="59">
        <f ca="1">AVERAGE(OFFSET($AM$3,0,0,'Données projet'!$E$10+1,1))-AVERAGE(OFFSET($H$3,0,0,'Données projet'!$E$10+1,1))</f>
        <v>323.67375363913726</v>
      </c>
      <c r="AO38" s="59">
        <f t="shared" si="36"/>
        <v>266.03902815735029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62.276582814456575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500</v>
      </c>
      <c r="BB38" s="12">
        <f>VLOOKUP(A38,'Données projet'!$A$87:$I$107,9,0)</f>
        <v>23</v>
      </c>
      <c r="BC38" s="12">
        <f t="array" ref="BC38">INDEX(BB:BB,MIN(IF(ISNUMBER(BB38:BB234),ROW(BB38:BB234),"")))</f>
        <v>23</v>
      </c>
      <c r="BD38" s="12">
        <f>IF('Données projet'!$A$88&gt;35,BD37+BC38-BL37,IF(A38&lt;'Données projet'!$A$88,$BA$205^A38,IF(A38='Données projet'!$A$88,'Données projet'!$B$88,BD37+BC38-BL37)))</f>
        <v>500.00000000000017</v>
      </c>
      <c r="BE38" s="13">
        <f>BD38*VLOOKUP('Données projet'!$B$11,Paramètres!$A$1:$I$89,3,0)*VLOOKUP('Données projet'!$B$11,Paramètres!$A$1:$I$89,5,0)</f>
        <v>279.50000000000006</v>
      </c>
      <c r="BF38" s="13">
        <f t="shared" si="37"/>
        <v>66.861333518957409</v>
      </c>
      <c r="BG38" s="20">
        <f t="shared" si="7"/>
        <v>603.24598921218421</v>
      </c>
      <c r="BH38" s="59">
        <f t="shared" si="8"/>
        <v>868.26012619852497</v>
      </c>
      <c r="BI38" s="59">
        <f ca="1">AVERAGE(OFFSET($BH$3,0,0,'Données projet'!$E$11+1,1))-AVERAGE(OFFSET($H$3,0,0,'Données projet'!$E$11+1,1))</f>
        <v>371.46495716091965</v>
      </c>
      <c r="BJ38" s="59">
        <f t="shared" si="38"/>
        <v>579.95059529269417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55</v>
      </c>
      <c r="BM38" s="16">
        <f>IF(ISNA(VLOOKUP(A38,'Données projet'!$A$87:$I$107,5,0)),0%,VLOOKUP(A38,'Données projet'!$A$87:$I$107,5,0)*VLOOKUP('Données projet'!$B$11,Paramètres!$A$1:$I$89,7,0))</f>
        <v>0.38500000000000001</v>
      </c>
      <c r="BN38" s="16">
        <f>IF(ISNA(VLOOKUP(A38,'Données projet'!$A$87:$I$107,6,0)),0%,VLOOKUP(A38,'Données projet'!$A$87:$I$107,6,0)*VLOOKUP('Données projet'!$B$11,Paramètres!$A$1:$I$89,7,0))</f>
        <v>0.11000000000000001</v>
      </c>
      <c r="BO38" s="16">
        <f>IF(ISNA(VLOOKUP(A38,'Données projet'!$A$87:$I$107,7,0)),0%,VLOOKUP(A38,'Données projet'!$A$87:$I$107,7,0))</f>
        <v>0.1</v>
      </c>
      <c r="BP38" s="21">
        <f>EXP(-LN(2)/35)*BP37+(1-EXP(-LN(2)/35))/(LN(2)/35)*BL38*BM38*VLOOKUP('Données projet'!$B$11,Paramètres!$A$1:$I$89,3,0)*0.475*44/12</f>
        <v>44.35161860829006</v>
      </c>
      <c r="BQ38" s="21">
        <f>EXP(-LN(2)/25)*BQ37+(1-EXP(-LN(2)/25))/(LN(2)/25)*Calculateur!BL38*Calculateur!BN38*VLOOKUP('Données projet'!$B$11,Paramètres!$A$1:$I$89,3,0)*0.475*44/12</f>
        <v>21.343564679499686</v>
      </c>
      <c r="BR38" s="21">
        <f>EXP(-LN(2)/2)*BR37+(1-EXP(-LN(2)/2))/(LN(2)/2)*BL38*BO38*VLOOKUP('Données projet'!$B$11,Paramètres!$A$1:$I$89,3,0)*0.475*44/12</f>
        <v>5.6999365638130968</v>
      </c>
      <c r="BS38" s="22">
        <f t="shared" si="9"/>
        <v>71.395119851602843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62.276582814456575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257</v>
      </c>
      <c r="BW38" s="12">
        <f>VLOOKUP(A38,'Données projet'!$A$113:$I$133,9,0)</f>
        <v>43</v>
      </c>
      <c r="BX38" s="12">
        <f t="array" ref="BX38">INDEX(BW:BW,MIN(IF(ISNUMBER(BW38:BW234),ROW(BW38:BW234),"")))</f>
        <v>43</v>
      </c>
      <c r="BY38" s="12">
        <f>IF('Données projet'!$A$114&gt;35,BY37+BX38-CG37,IF(A38&lt;'Données projet'!$A$114,$BV$205^A38,IF(A38='Données projet'!$A$114,'Données projet'!$B$114,BY37+BX38-CG37)))</f>
        <v>257</v>
      </c>
      <c r="BZ38" s="13">
        <f>BY38*VLOOKUP('Données projet'!$B$12,Paramètres!$A$1:$I$89,3,0)*VLOOKUP('Données projet'!$B$12,Paramètres!$A$1:$I$89,5,0)</f>
        <v>160.36799999999999</v>
      </c>
      <c r="CA38" s="13">
        <f t="shared" si="39"/>
        <v>40.925507732566075</v>
      </c>
      <c r="CB38" s="20">
        <f t="shared" si="10"/>
        <v>350.58619263421923</v>
      </c>
      <c r="CC38" s="59">
        <f t="shared" si="11"/>
        <v>615.60032962055993</v>
      </c>
      <c r="CD38" s="59">
        <f ca="1">AVERAGE(OFFSET($CC$3,0,0,'Données projet'!$E$12+1,1))-AVERAGE(OFFSET($H$3,0,0,'Données projet'!$E$12+1,1))</f>
        <v>180.18752244216969</v>
      </c>
      <c r="CE38" s="59">
        <f t="shared" si="40"/>
        <v>350.12096474554676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215</v>
      </c>
      <c r="CH38" s="16">
        <f>IF(ISNA(VLOOKUP(A38,'Données projet'!$A$113:$I$133,5,0)),0%,VLOOKUP(A38,'Données projet'!$A$113:$I$133,5,0)*VLOOKUP('Données projet'!$B$12,Paramètres!$A$1:$I$89,7,0))</f>
        <v>0.36</v>
      </c>
      <c r="CI38" s="16">
        <f>IF(ISNA(VLOOKUP(A38,'Données projet'!$A$113:$I$133,6,0)),0%,VLOOKUP(A38,'Données projet'!$A$113:$I$133,6,0)*VLOOKUP('Données projet'!$B$12,Paramètres!$A$1:$I$89,7,0))</f>
        <v>0.12</v>
      </c>
      <c r="CJ38" s="16">
        <f>IF(ISNA(VLOOKUP(A38,'Données projet'!$A$113:$I$133,7,0)),0%,VLOOKUP(A38,'Données projet'!$A$113:$I$133,7,0))</f>
        <v>0.2</v>
      </c>
      <c r="CK38" s="21">
        <f>EXP(-LN(2)/35)*CK37+(1-EXP(-LN(2)/35))/(LN(2)/35)*CG38*CH38*VLOOKUP('Données projet'!$B$12,Paramètres!$A$1:$I$89,3,0)*0.475*44/12</f>
        <v>112.38290023410102</v>
      </c>
      <c r="CL38" s="21">
        <f>EXP(-LN(2)/25)*CL37+(1-EXP(-LN(2)/25))/(LN(2)/25)*Calculateur!CG38*Calculateur!CI38*VLOOKUP('Données projet'!$B$12,Paramètres!$A$1:$I$89,3,0)*0.475*44/12</f>
        <v>92.908875116457892</v>
      </c>
      <c r="CM38" s="21">
        <f>EXP(-LN(2)/2)*CM37+(1-EXP(-LN(2)/2))/(LN(2)/2)*CG38*CJ38*VLOOKUP('Données projet'!$B$12,Paramètres!$A$1:$I$89,3,0)*0.475*44/12</f>
        <v>35.941280840345478</v>
      </c>
      <c r="CN38" s="22">
        <f t="shared" si="12"/>
        <v>241.23305619090439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62.276582814456575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239</v>
      </c>
      <c r="CR38" s="12">
        <f>VLOOKUP(A38,'Données projet'!$A$139:$I$159,9,0)</f>
        <v>39.4</v>
      </c>
      <c r="CS38" s="12">
        <f t="array" ref="CS38">INDEX(CR:CR,MIN(IF(ISNUMBER(CR38:CR234),ROW(CR38:CR234),"")))</f>
        <v>39.4</v>
      </c>
      <c r="CT38" s="12">
        <f>IF('Données projet'!$A$140&gt;35,CT37+CS38-DB37,IF(A38&lt;'Données projet'!$A$140,$CQ$205^A38,IF(A38='Données projet'!$A$140,'Données projet'!$B$140,CT37+CS38-DB37)))</f>
        <v>239</v>
      </c>
      <c r="CU38" s="17">
        <f>CT38*VLOOKUP('Données projet'!$B$13,Paramètres!$A$1:$I$89,3,0)*VLOOKUP('Données projet'!$B$13,Paramètres!$A$1:$I$89,5,0)</f>
        <v>190.14840000000001</v>
      </c>
      <c r="CV38" s="13">
        <f t="shared" si="41"/>
        <v>47.572760493232991</v>
      </c>
      <c r="CW38" s="20">
        <f t="shared" si="13"/>
        <v>414.03102119238082</v>
      </c>
      <c r="CX38" s="59">
        <f t="shared" si="14"/>
        <v>679.04515817872152</v>
      </c>
      <c r="CY38" s="59">
        <f ca="1">AVERAGE(OFFSET($CX$3,0,0,'Données projet'!$E$13+1,1))-AVERAGE(OFFSET($H$3,0,0,'Données projet'!$E$13+1,1))</f>
        <v>284.31574332240928</v>
      </c>
      <c r="CZ38" s="59">
        <f t="shared" si="42"/>
        <v>403.96994631683913</v>
      </c>
      <c r="DA38" s="15">
        <f>IF(ISNA(VLOOKUP(A38,'Données projet'!$A$139:$I$159,3,0)),0,VLOOKUP(A38,'Données projet'!$A$139:$I$159,3,0))</f>
        <v>6</v>
      </c>
      <c r="DB38" s="15">
        <f>IF(ISNA(VLOOKUP(A38,'Données projet'!$A$139:$I$159,4,0)),0,VLOOKUP(A38,'Données projet'!$A$139:$I$159,4,0))</f>
        <v>197</v>
      </c>
      <c r="DC38" s="16">
        <f>IF(ISNA(VLOOKUP(A38,'Données projet'!$A$139:$I$159,5,0)),0%,VLOOKUP(A38,'Données projet'!$A$139:$I$159,5,0)*VLOOKUP('Données projet'!$B$13,Paramètres!$A$1:$I$89,7,0))</f>
        <v>0.42400000000000004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156.73872921930325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156.73872921930325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62.276582814456575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136</v>
      </c>
      <c r="DM38" s="12">
        <f>VLOOKUP(A38,'Données projet'!$A$165:$I$185,9,0)</f>
        <v>12.25</v>
      </c>
      <c r="DN38" s="12">
        <f t="array" ref="DN38">INDEX(DM:DM,MIN(IF(ISNUMBER(DM38:DM234),ROW(DM38:DM234),"")))</f>
        <v>12.25</v>
      </c>
      <c r="DO38" s="12">
        <f>IF('Données projet'!$A$166&gt;35,DO37+DN38-DW37,IF(A38&lt;'Données projet'!$A$166,$DL$205^A38,IF(A38='Données projet'!$A$166,'Données projet'!$B$166,DO37+DN38-DW37)))</f>
        <v>136</v>
      </c>
      <c r="DP38" s="17">
        <f>DO38*VLOOKUP('Données projet'!$B$14,Paramètres!$A$1:$I$89,3,0)*VLOOKUP('Données projet'!$B$14,Paramètres!$A$1:$I$89,5,0)</f>
        <v>99.715199999999996</v>
      </c>
      <c r="DQ38" s="13">
        <f t="shared" si="43"/>
        <v>26.894136617382181</v>
      </c>
      <c r="DR38" s="20">
        <f t="shared" si="16"/>
        <v>220.51126127527394</v>
      </c>
      <c r="DS38" s="59">
        <f t="shared" si="17"/>
        <v>485.52539826161467</v>
      </c>
      <c r="DT38" s="59">
        <f ca="1">AVERAGE(OFFSET($DS$3,0,0,'Données projet'!$E$14+1,1))-AVERAGE(OFFSET($H$3,0,0,'Données projet'!$E$14+1,1))</f>
        <v>190.9519472160006</v>
      </c>
      <c r="DU38" s="59">
        <f t="shared" si="44"/>
        <v>170.61553500287511</v>
      </c>
      <c r="DV38" s="15">
        <f>IF(ISNA(VLOOKUP(A38,'Données projet'!$A$165:$I$185,3,0)),0,VLOOKUP(A38,'Données projet'!$A$165:$I$185,3,0))</f>
        <v>6</v>
      </c>
      <c r="DW38" s="15">
        <f>IF(ISNA(VLOOKUP(A38,'Données projet'!$A$165:$I$185,4,0)),0,VLOOKUP(A38,'Données projet'!$A$165:$I$185,4,0))</f>
        <v>136</v>
      </c>
      <c r="DX38" s="16">
        <f>IF(ISNA(VLOOKUP(A38,'Données projet'!$A$165:$I$185,5,0)),0%,VLOOKUP(A38,'Données projet'!$A$165:$I$185,5,0)*VLOOKUP('Données projet'!$B$14,Paramètres!$A$1:$I$89,7,0))</f>
        <v>0.34400000000000003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75.493200948409168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75.493200948409168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62.276582814456575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140</v>
      </c>
      <c r="EH38" s="12">
        <f>VLOOKUP(A38,'Données projet'!$A$191:$I$211,9,0)</f>
        <v>21</v>
      </c>
      <c r="EI38" s="12">
        <f t="array" ref="EI38">INDEX(EH:EH,MIN(IF(ISNUMBER(EH38:EH234),ROW(EH38:EH234),"")))</f>
        <v>21</v>
      </c>
      <c r="EJ38" s="12">
        <f>IF('Données projet'!$A$192&gt;35,EJ37+EI38-ER37,IF(A38&lt;'Données projet'!$A$192,$EG$205^A38,IF(A38='Données projet'!$A$192,'Données projet'!$B$192,EJ37+EI38-ER37)))</f>
        <v>140</v>
      </c>
      <c r="EK38" s="17">
        <f>EJ38*VLOOKUP('Données projet'!$B$15,Paramètres!$A$1:$I$89,3,0)*VLOOKUP('Données projet'!$B$15,Paramètres!$A$1:$I$89,5,0)</f>
        <v>120.12</v>
      </c>
      <c r="EL38" s="13">
        <f t="shared" si="45"/>
        <v>31.702985695201871</v>
      </c>
      <c r="EM38" s="20">
        <f t="shared" si="19"/>
        <v>264.42503341914329</v>
      </c>
      <c r="EN38" s="59">
        <f t="shared" si="20"/>
        <v>529.43917040548399</v>
      </c>
      <c r="EO38" s="59">
        <f ca="1">AVERAGE(OFFSET($EN$3,0,0,'Données projet'!$E$15+1,1))-AVERAGE(OFFSET($H$3,0,0,'Données projet'!$E$15+1,1))</f>
        <v>331.94255128154623</v>
      </c>
      <c r="EP38" s="59">
        <f t="shared" si="46"/>
        <v>258.40809812013964</v>
      </c>
      <c r="EQ38" s="15">
        <f>IF(ISNA(VLOOKUP(A38,'Données projet'!$A$191:$I$211,3,0)),0,VLOOKUP(A38,'Données projet'!$A$191:$I$211,3,0))</f>
        <v>4</v>
      </c>
      <c r="ER38" s="15">
        <f>IF(ISNA(VLOOKUP(A38,'Données projet'!$A$191:$I$211,4,0)),0,VLOOKUP(A38,'Données projet'!$A$191:$I$211,4,0))</f>
        <v>105</v>
      </c>
      <c r="ES38" s="16">
        <f>IF(ISNA(VLOOKUP(A38,'Données projet'!$A$191:$I$211,5,0)),0%,VLOOKUP(A38,'Données projet'!$A$191:$I$211,5,0)*VLOOKUP('Données projet'!$B$15,Paramètres!$A$1:$I$89,7,0))</f>
        <v>0.318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31.670200824495272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31.670200824495272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62.276582814456575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175</v>
      </c>
      <c r="FC38" s="12">
        <f>VLOOKUP(A38,'Données projet'!$A$217:$I$237,9,0)</f>
        <v>28</v>
      </c>
      <c r="FD38" s="12">
        <f t="array" ref="FD38">INDEX(FC:FC,MIN(IF(ISNUMBER(FC38:FC234),ROW(FC38:FC234),"")))</f>
        <v>28</v>
      </c>
      <c r="FE38" s="12">
        <f>IF('Données projet'!$A$218&gt;35,FE37+FD38-FM37,IF(A38&lt;'Données projet'!$A$218,$FB$205^A38,IF(A38='Données projet'!$A$218,'Données projet'!$B$218,FE37+FD38-FM37)))</f>
        <v>175</v>
      </c>
      <c r="FF38" s="17">
        <f>FE38*VLOOKUP('Données projet'!$B$16,Paramètres!$A$1:$I$89,3,0)*VLOOKUP('Données projet'!$B$16,Paramètres!$A$1:$I$89,5,0)</f>
        <v>166.53</v>
      </c>
      <c r="FG38" s="13">
        <f t="shared" si="47"/>
        <v>42.311928683446922</v>
      </c>
      <c r="FH38" s="20">
        <f t="shared" si="22"/>
        <v>363.73302579033674</v>
      </c>
      <c r="FI38" s="59">
        <f t="shared" si="23"/>
        <v>628.74716277667744</v>
      </c>
      <c r="FJ38" s="59">
        <f ca="1">AVERAGE(OFFSET($FI$3,0,0,'Données projet'!$E$16+1,1))-AVERAGE(OFFSET($H$3,0,0,'Données projet'!$E$16+1,1))</f>
        <v>290.72311302449236</v>
      </c>
      <c r="FK38" s="59">
        <f t="shared" si="48"/>
        <v>352.32552988394434</v>
      </c>
      <c r="FL38" s="15">
        <f>IF(ISNA(VLOOKUP(A38,'Données projet'!$A$217:$I$237,3,0)),0,VLOOKUP(A38,'Données projet'!$A$217:$I$237,3,0))</f>
        <v>4</v>
      </c>
      <c r="FM38" s="15">
        <f>IF(ISNA(VLOOKUP(A38,'Données projet'!$A$217:$I$237,4,0)),0,VLOOKUP(A38,'Données projet'!$A$217:$I$237,4,0))</f>
        <v>140</v>
      </c>
      <c r="FN38" s="16">
        <f>IF(ISNA(VLOOKUP(A38,'Données projet'!$A$217:$I$237,5,0)),0%,VLOOKUP(A38,'Données projet'!$A$217:$I$237,5,0)*VLOOKUP('Données projet'!$B$16,Paramètres!$A$1:$I$89,7,0))</f>
        <v>0.25800000000000001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37.996997947467626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37.996997947467626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62.276582814456575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100</v>
      </c>
      <c r="FX38" s="12">
        <f>VLOOKUP(A38,'Données projet'!$A$243:$I$263,9,0)</f>
        <v>17.399999999999999</v>
      </c>
      <c r="FY38" s="12">
        <f t="array" ref="FY38">INDEX(FX:FX,MIN(IF(ISNUMBER(FX38:FX234),ROW(FX38:FX234),"")))</f>
        <v>17.399999999999999</v>
      </c>
      <c r="FZ38" s="12">
        <f>IF('Données projet'!$A$244&gt;35,FZ37+FY38-GH37,IF(A38&lt;'Données projet'!$A$244,$FW$205^A38,IF(A38='Données projet'!$A$244,'Données projet'!$B$244,FZ37+FY38-GH37)))</f>
        <v>99.999999999999972</v>
      </c>
      <c r="GA38" s="17">
        <f>FZ38*VLOOKUP('Données projet'!$B$17,Paramètres!$A$1:$I$89,3,0)*VLOOKUP('Données projet'!$B$17,Paramètres!$A$1:$I$89,5,0)</f>
        <v>65.519999999999982</v>
      </c>
      <c r="GB38" s="13">
        <f t="shared" si="49"/>
        <v>18.556669503136725</v>
      </c>
      <c r="GC38" s="20">
        <f t="shared" si="25"/>
        <v>146.43353271796309</v>
      </c>
      <c r="GD38" s="59">
        <f t="shared" si="26"/>
        <v>411.44766970430385</v>
      </c>
      <c r="GE38" s="59">
        <f ca="1">AVERAGE(OFFSET($GD$3,0,0,'Données projet'!$E$17+1,1))-AVERAGE(OFFSET($H$3,0,0,'Données projet'!$E$17+1,1))</f>
        <v>123.03972959251965</v>
      </c>
      <c r="GF38" s="59">
        <f t="shared" si="50"/>
        <v>178.27657680839445</v>
      </c>
      <c r="GG38" s="15">
        <f>IF(ISNA(VLOOKUP(A38,'Données projet'!$A$243:$I$263,3,0)),0,VLOOKUP(A38,'Données projet'!$A$243:$I$263,3,0))</f>
        <v>5</v>
      </c>
      <c r="GH38" s="15">
        <f>IF(ISNA(VLOOKUP(A38,'Données projet'!$A$243:$I$263,4,0)),0,VLOOKUP(A38,'Données projet'!$A$243:$I$263,4,0))</f>
        <v>86</v>
      </c>
      <c r="GI38" s="16">
        <f>IF(ISNA(VLOOKUP(A38,'Données projet'!$A$243:$I$263,5,0)),0%,VLOOKUP(A38,'Données projet'!$A$243:$I$263,5,0)*VLOOKUP('Données projet'!$B$17,Paramètres!$A$1:$I$89,7,0))</f>
        <v>0.17200000000000001</v>
      </c>
      <c r="GJ38" s="16">
        <f>IF(ISNA(VLOOKUP(A38,'Données projet'!$A$243:$I$263,6,0)),0%,VLOOKUP(A38,'Données projet'!$A$243:$I$263,6,0)*VLOOKUP('Données projet'!$B$17,Paramètres!$A$1:$I$89,7,0))</f>
        <v>8.6000000000000007E-2</v>
      </c>
      <c r="GK38" s="16">
        <f>IF(ISNA(VLOOKUP(A38,'Données projet'!$A$243:$I$263,7,0)),0%,VLOOKUP(A38,'Données projet'!$A$243:$I$263,7,0))</f>
        <v>0.2</v>
      </c>
      <c r="GL38" s="21">
        <f>EXP(-LN(2)/35)*GL37+(1-EXP(-LN(2)/35))/(LN(2)/35)*GH38*GI38*VLOOKUP('Données projet'!$B$17,Paramètres!$A$1:$I$89,3,0)*0.475*44/12</f>
        <v>10.713907617974476</v>
      </c>
      <c r="GM38" s="21">
        <f>EXP(-LN(2)/25)*GM37+(1-EXP(-LN(2)/25))/(LN(2)/25)*Calculateur!GH38*Calculateur!GJ38*VLOOKUP('Données projet'!$B$17,Paramètres!$A$1:$I$89,3,0)*0.475*44/12</f>
        <v>29.506690980613055</v>
      </c>
      <c r="GN38" s="21">
        <f>EXP(-LN(2)/2)*GN37+(1-EXP(-LN(2)/2))/(LN(2)/2)*GH38*GK38*VLOOKUP('Données projet'!$B$17,Paramètres!$A$1:$I$89,3,0)*0.475*44/12</f>
        <v>13.059532132803565</v>
      </c>
      <c r="GO38" s="21">
        <f t="shared" si="27"/>
        <v>53.280130731391097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62.276582814456575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13.04</v>
      </c>
      <c r="GU38" s="12">
        <f>IF('Données projet'!$A$270&gt;35,GU37+GT38-HC37,IF(A38&lt;'Données projet'!$A$270,$GR$205^A38,IF(A38='Données projet'!$A$270,'Données projet'!$B$270,GU37+GT38-HC37)))</f>
        <v>456.4000000000002</v>
      </c>
      <c r="GV38" s="17">
        <f>GU38*VLOOKUP('Données projet'!$B$18,Paramètres!$A$1:$I$89,3,0)*VLOOKUP('Données projet'!$B$18,Paramètres!$A$1:$I$89,5,0)</f>
        <v>306.15312000000017</v>
      </c>
      <c r="GW38" s="13">
        <f t="shared" si="51"/>
        <v>72.46486560175407</v>
      </c>
      <c r="GX38" s="20">
        <f t="shared" si="28"/>
        <v>659.42632492305529</v>
      </c>
      <c r="GY38" s="59">
        <f t="shared" si="29"/>
        <v>924.44046190939605</v>
      </c>
      <c r="GZ38" s="59">
        <f ca="1">AVERAGE(OFFSET($GY$3,0,0,'Données projet'!$E$18+1,1))-AVERAGE(OFFSET($H$3,0,0,'Données projet'!$E$18+1,1))</f>
        <v>542.25674729323623</v>
      </c>
      <c r="HA38" s="59">
        <f t="shared" si="52"/>
        <v>614.73906555680685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0</v>
      </c>
      <c r="HH38" s="21">
        <f>EXP(-LN(2)/25)*HH37+(1-EXP(-LN(2)/25))/(LN(2)/25)*Calculateur!HC38*Calculateur!HE38*VLOOKUP('Données projet'!$B$18,Paramètres!$A$1:$I$89,3,0)*0.475*44/12</f>
        <v>0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0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2.8499999999999996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10.449999999999998</v>
      </c>
      <c r="H39" s="67">
        <f t="shared" si="1"/>
        <v>214.86666666666667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62.410566835651707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10.4</v>
      </c>
      <c r="N39" s="13">
        <f>IF('Données projet'!$A$36&gt;35,N38+M39-V38,IF(A39&lt;'Données projet'!$A$36,$K$205^A39,IF(A39='Données projet'!$A$36,'Données projet'!$B$36,N38+M39-V38)))</f>
        <v>374.39999999999975</v>
      </c>
      <c r="O39" s="13">
        <f>N39*VLOOKUP('Données projet'!$B$9,Paramètres!$A$1:$I$89,3,0)*VLOOKUP('Données projet'!$B$9,Paramètres!$A$1:$I$89,5,0)</f>
        <v>327.0758399999998</v>
      </c>
      <c r="P39" s="13">
        <f t="shared" si="33"/>
        <v>76.823740508712973</v>
      </c>
      <c r="Q39" s="20">
        <f t="shared" si="53"/>
        <v>703.45843605267476</v>
      </c>
      <c r="R39" s="59">
        <f t="shared" si="0"/>
        <v>968.96384778339768</v>
      </c>
      <c r="S39" s="59">
        <f ca="1">AVERAGE(OFFSET($R$3,0,0,'Données projet'!$E$9+1,1))-AVERAGE(OFFSET($H$3,0,0,'Données projet'!$E$9+1,1))</f>
        <v>686.80970545599644</v>
      </c>
      <c r="T39" s="59">
        <f t="shared" si="34"/>
        <v>636.16485232937737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62.410566835651707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131</v>
      </c>
      <c r="AG39" s="12">
        <f>VLOOKUP(A39,'Données projet'!$A$61:$I$81,9,0)</f>
        <v>3.6388888888888888</v>
      </c>
      <c r="AH39" s="12">
        <f t="array" ref="AH39">INDEX(AG:AG,MIN(IF(ISNUMBER(AG39:AG235),ROW(AG39:AG235),"")))</f>
        <v>3.6388888888888888</v>
      </c>
      <c r="AI39" s="13">
        <f>IF('Données projet'!$A$62&gt;35,AI38+AH39-AQ38,IF(A39&lt;'Données projet'!$A$62,$AF$205^A39,IF(A39='Données projet'!$A$62,'Données projet'!$B$62,AI38+AH39-AQ38)))</f>
        <v>130.99999999999991</v>
      </c>
      <c r="AJ39" s="13">
        <f>AI39*VLOOKUP('Données projet'!$B$10,Paramètres!$A$1:$I$89,3,0)*VLOOKUP('Données projet'!$B$10,Paramètres!$A$1:$I$89,5,0)</f>
        <v>118.52879999999992</v>
      </c>
      <c r="AK39" s="13">
        <f t="shared" si="35"/>
        <v>31.331620093089722</v>
      </c>
      <c r="AL39" s="20">
        <f t="shared" si="4"/>
        <v>261.00689832879777</v>
      </c>
      <c r="AM39" s="59">
        <f t="shared" si="5"/>
        <v>526.5123100595207</v>
      </c>
      <c r="AN39" s="59">
        <f ca="1">AVERAGE(OFFSET($AM$3,0,0,'Données projet'!$E$10+1,1))-AVERAGE(OFFSET($H$3,0,0,'Données projet'!$E$10+1,1))</f>
        <v>323.67375363913726</v>
      </c>
      <c r="AO39" s="59">
        <f t="shared" si="36"/>
        <v>266.03902815735029</v>
      </c>
      <c r="AP39" s="15">
        <f>IF(ISNA(VLOOKUP(A39,'Données projet'!$A$61:$I$81,3,0)),0,VLOOKUP(A39,'Données projet'!$A$61:$I$81,3,0))</f>
        <v>1</v>
      </c>
      <c r="AQ39" s="15">
        <f>IF(ISNA(VLOOKUP(A39,'Données projet'!$A$61:$I$81,4,0)),0,VLOOKUP(A39,'Données projet'!$A$61:$I$81,4,0))</f>
        <v>36</v>
      </c>
      <c r="AR39" s="16">
        <f>IF(ISNA(VLOOKUP(A39,'Données projet'!$A$61:$I$81,5,0)),0%,VLOOKUP(A39,'Données projet'!$A$61:$I$81,5,0)*VLOOKUP('Données projet'!$B$10,Paramètres!$A$1:$I$89,7,0))</f>
        <v>8.6000000000000007E-2</v>
      </c>
      <c r="AS39" s="16">
        <f>IF(ISNA(VLOOKUP(A39,'Données projet'!$A$61:$I$81,6,0)),0%,VLOOKUP(A39,'Données projet'!$A$61:$I$81,6,0)*VLOOKUP('Données projet'!$B$10,Paramètres!$A$1:$I$89,7,0))</f>
        <v>8.6000000000000007E-2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3.0967108397467755</v>
      </c>
      <c r="AV39" s="21">
        <f>EXP(-LN(2)/25)*AV38+(1-EXP(-LN(2)/25))/(LN(2)/25)*Calculateur!AQ39*Calculateur!AS39*VLOOKUP('Données projet'!$B$10,Paramètres!$A$1:$I$89,3,0)*0.475*44/12</f>
        <v>3.0845179092313573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6.1812287489781328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62.410566835651707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21.8</v>
      </c>
      <c r="BD39" s="12">
        <f>IF('Données projet'!$A$88&gt;35,BD38+BC39-BL38,IF(A39&lt;'Données projet'!$A$88,$BA$205^A39,IF(A39='Données projet'!$A$88,'Données projet'!$B$88,BD38+BC39-BL38)))</f>
        <v>466.80000000000018</v>
      </c>
      <c r="BE39" s="13">
        <f>BD39*VLOOKUP('Données projet'!$B$11,Paramètres!$A$1:$I$89,3,0)*VLOOKUP('Données projet'!$B$11,Paramètres!$A$1:$I$89,5,0)</f>
        <v>260.94120000000009</v>
      </c>
      <c r="BF39" s="13">
        <f t="shared" si="37"/>
        <v>62.922961549594426</v>
      </c>
      <c r="BG39" s="20">
        <f t="shared" si="7"/>
        <v>564.06341469887707</v>
      </c>
      <c r="BH39" s="59">
        <f t="shared" si="8"/>
        <v>829.56882642959999</v>
      </c>
      <c r="BI39" s="59">
        <f ca="1">AVERAGE(OFFSET($BH$3,0,0,'Données projet'!$E$11+1,1))-AVERAGE(OFFSET($H$3,0,0,'Données projet'!$E$11+1,1))</f>
        <v>371.46495716091965</v>
      </c>
      <c r="BJ39" s="59">
        <f t="shared" si="38"/>
        <v>579.95059529269417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43.481910419197696</v>
      </c>
      <c r="BQ39" s="21">
        <f>EXP(-LN(2)/25)*BQ38+(1-EXP(-LN(2)/25))/(LN(2)/25)*Calculateur!BL39*Calculateur!BN39*VLOOKUP('Données projet'!$B$11,Paramètres!$A$1:$I$89,3,0)*0.475*44/12</f>
        <v>20.75992378092948</v>
      </c>
      <c r="BR39" s="21">
        <f>EXP(-LN(2)/2)*BR38+(1-EXP(-LN(2)/2))/(LN(2)/2)*BL39*BO39*VLOOKUP('Données projet'!$B$11,Paramètres!$A$1:$I$89,3,0)*0.475*44/12</f>
        <v>4.0304637966053889</v>
      </c>
      <c r="BS39" s="22">
        <f t="shared" si="9"/>
        <v>68.272297996732561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62.410566835651707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49.2</v>
      </c>
      <c r="BY39" s="12">
        <f>IF('Données projet'!$A$114&gt;35,BY38+BX39-CG38,IF(A39&lt;'Données projet'!$A$114,$BV$205^A39,IF(A39='Données projet'!$A$114,'Données projet'!$B$114,BY38+BX39-CG38)))</f>
        <v>91.199999999999989</v>
      </c>
      <c r="BZ39" s="13">
        <f>BY39*VLOOKUP('Données projet'!$B$12,Paramètres!$A$1:$I$89,3,0)*VLOOKUP('Données projet'!$B$12,Paramètres!$A$1:$I$89,5,0)</f>
        <v>56.908799999999999</v>
      </c>
      <c r="CA39" s="13">
        <f t="shared" si="39"/>
        <v>16.384327014561205</v>
      </c>
      <c r="CB39" s="20">
        <f t="shared" si="10"/>
        <v>127.65219621702742</v>
      </c>
      <c r="CC39" s="59">
        <f t="shared" si="11"/>
        <v>393.15760794775036</v>
      </c>
      <c r="CD39" s="59">
        <f ca="1">AVERAGE(OFFSET($CC$3,0,0,'Données projet'!$E$12+1,1))-AVERAGE(OFFSET($H$3,0,0,'Données projet'!$E$12+1,1))</f>
        <v>180.18752244216969</v>
      </c>
      <c r="CE39" s="59">
        <f t="shared" si="40"/>
        <v>350.12096474554676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110.179140107311</v>
      </c>
      <c r="CL39" s="21">
        <f>EXP(-LN(2)/25)*CL38+(1-EXP(-LN(2)/25))/(LN(2)/25)*Calculateur!CG39*Calculateur!CI39*VLOOKUP('Données projet'!$B$12,Paramètres!$A$1:$I$89,3,0)*0.475*44/12</f>
        <v>90.368277040532959</v>
      </c>
      <c r="CM39" s="21">
        <f>EXP(-LN(2)/2)*CM38+(1-EXP(-LN(2)/2))/(LN(2)/2)*CG39*CJ39*VLOOKUP('Données projet'!$B$12,Paramètres!$A$1:$I$89,3,0)*0.475*44/12</f>
        <v>25.414323406738426</v>
      </c>
      <c r="CN39" s="22">
        <f t="shared" si="12"/>
        <v>225.96174055458238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62.410566835651707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44.2</v>
      </c>
      <c r="CT39" s="12">
        <f>IF('Données projet'!$A$140&gt;35,CT38+CS39-DB38,IF(A39&lt;'Données projet'!$A$140,$CQ$205^A39,IF(A39='Données projet'!$A$140,'Données projet'!$B$140,CT38+CS39-DB38)))</f>
        <v>86.199999999999989</v>
      </c>
      <c r="CU39" s="17">
        <f>CT39*VLOOKUP('Données projet'!$B$13,Paramètres!$A$1:$I$89,3,0)*VLOOKUP('Données projet'!$B$13,Paramètres!$A$1:$I$89,5,0)</f>
        <v>68.580719999999999</v>
      </c>
      <c r="CV39" s="13">
        <f t="shared" si="41"/>
        <v>19.320581243355814</v>
      </c>
      <c r="CW39" s="20">
        <f t="shared" si="13"/>
        <v>153.09476633217807</v>
      </c>
      <c r="CX39" s="59">
        <f t="shared" si="14"/>
        <v>418.60017806290102</v>
      </c>
      <c r="CY39" s="59">
        <f ca="1">AVERAGE(OFFSET($CX$3,0,0,'Données projet'!$E$13+1,1))-AVERAGE(OFFSET($H$3,0,0,'Données projet'!$E$13+1,1))</f>
        <v>284.31574332240928</v>
      </c>
      <c r="CZ39" s="59">
        <f t="shared" si="42"/>
        <v>403.96994631683913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153.6651783404977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153.6651783404977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62.410566835651707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34</v>
      </c>
      <c r="DO39" s="12">
        <f>IF('Données projet'!$A$166&gt;35,DO38+DN39-DW38,IF(A39&lt;'Données projet'!$A$166,$DL$205^A39,IF(A39='Données projet'!$A$166,'Données projet'!$B$166,DO38+DN39-DW38)))</f>
        <v>34</v>
      </c>
      <c r="DP39" s="17">
        <f>DO39*VLOOKUP('Données projet'!$B$14,Paramètres!$A$1:$I$89,3,0)*VLOOKUP('Données projet'!$B$14,Paramètres!$A$1:$I$89,5,0)</f>
        <v>24.928799999999999</v>
      </c>
      <c r="DQ39" s="13">
        <f t="shared" si="43"/>
        <v>7.9009151595869396</v>
      </c>
      <c r="DR39" s="20">
        <f t="shared" si="16"/>
        <v>57.178420569613913</v>
      </c>
      <c r="DS39" s="59">
        <f t="shared" si="17"/>
        <v>322.68383230033686</v>
      </c>
      <c r="DT39" s="59">
        <f ca="1">AVERAGE(OFFSET($DS$3,0,0,'Données projet'!$E$14+1,1))-AVERAGE(OFFSET($H$3,0,0,'Données projet'!$E$14+1,1))</f>
        <v>190.9519472160006</v>
      </c>
      <c r="DU39" s="59">
        <f t="shared" si="44"/>
        <v>170.61553500287511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74.012825324116747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74.012825324116747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62.410566835651707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27.4</v>
      </c>
      <c r="EJ39" s="12">
        <f>IF('Données projet'!$A$192&gt;35,EJ38+EI39-ER38,IF(A39&lt;'Données projet'!$A$192,$EG$205^A39,IF(A39='Données projet'!$A$192,'Données projet'!$B$192,EJ38+EI39-ER38)))</f>
        <v>62.400000000000006</v>
      </c>
      <c r="EK39" s="17">
        <f>EJ39*VLOOKUP('Données projet'!$B$15,Paramètres!$A$1:$I$89,3,0)*VLOOKUP('Données projet'!$B$15,Paramètres!$A$1:$I$89,5,0)</f>
        <v>53.539200000000015</v>
      </c>
      <c r="EL39" s="13">
        <f t="shared" si="45"/>
        <v>15.524103725721874</v>
      </c>
      <c r="EM39" s="20">
        <f t="shared" si="19"/>
        <v>120.28525398896562</v>
      </c>
      <c r="EN39" s="59">
        <f t="shared" si="20"/>
        <v>385.79066571968855</v>
      </c>
      <c r="EO39" s="59">
        <f ca="1">AVERAGE(OFFSET($EN$3,0,0,'Données projet'!$E$15+1,1))-AVERAGE(OFFSET($H$3,0,0,'Données projet'!$E$15+1,1))</f>
        <v>331.94255128154623</v>
      </c>
      <c r="EP39" s="59">
        <f t="shared" si="46"/>
        <v>258.40809812013964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31.049167503242035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31.049167503242035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62.410566835651707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34.4</v>
      </c>
      <c r="FE39" s="12">
        <f>IF('Données projet'!$A$218&gt;35,FE38+FD39-FM38,IF(A39&lt;'Données projet'!$A$218,$FB$205^A39,IF(A39='Données projet'!$A$218,'Données projet'!$B$218,FE38+FD39-FM38)))</f>
        <v>69.400000000000006</v>
      </c>
      <c r="FF39" s="17">
        <f>FE39*VLOOKUP('Données projet'!$B$16,Paramètres!$A$1:$I$89,3,0)*VLOOKUP('Données projet'!$B$16,Paramètres!$A$1:$I$89,5,0)</f>
        <v>66.04104000000001</v>
      </c>
      <c r="FG39" s="13">
        <f t="shared" si="47"/>
        <v>18.68700192299012</v>
      </c>
      <c r="FH39" s="20">
        <f t="shared" si="22"/>
        <v>147.56800634920782</v>
      </c>
      <c r="FI39" s="59">
        <f t="shared" si="23"/>
        <v>413.07341807993078</v>
      </c>
      <c r="FJ39" s="59">
        <f ca="1">AVERAGE(OFFSET($FI$3,0,0,'Données projet'!$E$16+1,1))-AVERAGE(OFFSET($H$3,0,0,'Données projet'!$E$16+1,1))</f>
        <v>290.72311302449236</v>
      </c>
      <c r="FK39" s="59">
        <f t="shared" si="48"/>
        <v>352.32552988394434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37.251899993598109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37.251899993598109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62.410566835651707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19.2</v>
      </c>
      <c r="FZ39" s="12">
        <f>IF('Données projet'!$A$244&gt;35,FZ38+FY39-GH38,IF(A39&lt;'Données projet'!$A$244,$FW$205^A39,IF(A39='Données projet'!$A$244,'Données projet'!$B$244,FZ38+FY39-GH38)))</f>
        <v>33.199999999999974</v>
      </c>
      <c r="GA39" s="17">
        <f>FZ39*VLOOKUP('Données projet'!$B$17,Paramètres!$A$1:$I$89,3,0)*VLOOKUP('Données projet'!$B$17,Paramètres!$A$1:$I$89,5,0)</f>
        <v>21.752639999999982</v>
      </c>
      <c r="GB39" s="13">
        <f t="shared" si="49"/>
        <v>7.004508130504421</v>
      </c>
      <c r="GC39" s="20">
        <f t="shared" si="25"/>
        <v>50.085366327295169</v>
      </c>
      <c r="GD39" s="59">
        <f t="shared" si="26"/>
        <v>315.59077805801809</v>
      </c>
      <c r="GE39" s="59">
        <f ca="1">AVERAGE(OFFSET($GD$3,0,0,'Données projet'!$E$17+1,1))-AVERAGE(OFFSET($H$3,0,0,'Données projet'!$E$17+1,1))</f>
        <v>123.03972959251965</v>
      </c>
      <c r="GF39" s="59">
        <f t="shared" si="50"/>
        <v>178.27657680839445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10.503814424424382</v>
      </c>
      <c r="GM39" s="21">
        <f>EXP(-LN(2)/25)*GM38+(1-EXP(-LN(2)/25))/(LN(2)/25)*Calculateur!GH39*Calculateur!GJ39*VLOOKUP('Données projet'!$B$17,Paramètres!$A$1:$I$89,3,0)*0.475*44/12</f>
        <v>28.699828964058749</v>
      </c>
      <c r="GN39" s="21">
        <f>EXP(-LN(2)/2)*GN38+(1-EXP(-LN(2)/2))/(LN(2)/2)*GH39*GK39*VLOOKUP('Données projet'!$B$17,Paramètres!$A$1:$I$89,3,0)*0.475*44/12</f>
        <v>9.2344837302290177</v>
      </c>
      <c r="GO39" s="21">
        <f t="shared" si="27"/>
        <v>48.438127118712146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62.410566835651707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13.04</v>
      </c>
      <c r="GU39" s="12">
        <f>IF('Données projet'!$A$270&gt;35,GU38+GT39-HC38,IF(A39&lt;'Données projet'!$A$270,$GR$205^A39,IF(A39='Données projet'!$A$270,'Données projet'!$B$270,GU38+GT39-HC38)))</f>
        <v>469.44000000000023</v>
      </c>
      <c r="GV39" s="17">
        <f>GU39*VLOOKUP('Données projet'!$B$18,Paramètres!$A$1:$I$89,3,0)*VLOOKUP('Données projet'!$B$18,Paramètres!$A$1:$I$89,5,0)</f>
        <v>314.90035200000017</v>
      </c>
      <c r="GW39" s="13">
        <f t="shared" si="51"/>
        <v>74.291282682344516</v>
      </c>
      <c r="GX39" s="20">
        <f t="shared" si="28"/>
        <v>677.84209707175023</v>
      </c>
      <c r="GY39" s="59">
        <f t="shared" si="29"/>
        <v>943.34750880247316</v>
      </c>
      <c r="GZ39" s="59">
        <f ca="1">AVERAGE(OFFSET($GY$3,0,0,'Données projet'!$E$18+1,1))-AVERAGE(OFFSET($H$3,0,0,'Données projet'!$E$18+1,1))</f>
        <v>542.25674729323623</v>
      </c>
      <c r="HA39" s="59">
        <f t="shared" si="52"/>
        <v>614.73906555680685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0</v>
      </c>
      <c r="HH39" s="21">
        <f>EXP(-LN(2)/25)*HH38+(1-EXP(-LN(2)/25))/(LN(2)/25)*Calculateur!HC39*Calculateur!HE39*VLOOKUP('Données projet'!$B$18,Paramètres!$A$1:$I$89,3,0)*0.475*44/12</f>
        <v>0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0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2.8499999999999996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10.449999999999998</v>
      </c>
      <c r="H40" s="67">
        <f t="shared" si="1"/>
        <v>214.86666666666667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62.542226533622497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10.4</v>
      </c>
      <c r="N40" s="13">
        <f>IF('Données projet'!$A$36&gt;35,N39+M40-V39,IF(A40&lt;'Données projet'!$A$36,$K$205^A40,IF(A40='Données projet'!$A$36,'Données projet'!$B$36,N39+M40-V39)))</f>
        <v>384.79999999999973</v>
      </c>
      <c r="O40" s="13">
        <f>N40*VLOOKUP('Données projet'!$B$9,Paramètres!$A$1:$I$89,3,0)*VLOOKUP('Données projet'!$B$9,Paramètres!$A$1:$I$89,5,0)</f>
        <v>336.16127999999981</v>
      </c>
      <c r="P40" s="13">
        <f t="shared" si="33"/>
        <v>78.706319215354142</v>
      </c>
      <c r="Q40" s="20">
        <f t="shared" si="53"/>
        <v>722.56106863340813</v>
      </c>
      <c r="R40" s="59">
        <f t="shared" si="0"/>
        <v>988.54923259002396</v>
      </c>
      <c r="S40" s="59">
        <f ca="1">AVERAGE(OFFSET($R$3,0,0,'Données projet'!$E$9+1,1))-AVERAGE(OFFSET($H$3,0,0,'Données projet'!$E$9+1,1))</f>
        <v>686.80970545599644</v>
      </c>
      <c r="T40" s="59">
        <f t="shared" si="34"/>
        <v>636.16485232937737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62.542226533622497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8.8333333333333339</v>
      </c>
      <c r="AI40" s="13">
        <f>IF('Données projet'!$A$62&gt;35,AI39+AH40-AQ39,IF(A40&lt;'Données projet'!$A$62,$AF$205^A40,IF(A40='Données projet'!$A$62,'Données projet'!$B$62,AI39+AH40-AQ39)))</f>
        <v>103.83333333333326</v>
      </c>
      <c r="AJ40" s="13">
        <f>AI40*VLOOKUP('Données projet'!$B$10,Paramètres!$A$1:$I$89,3,0)*VLOOKUP('Données projet'!$B$10,Paramètres!$A$1:$I$89,5,0)</f>
        <v>93.948399999999936</v>
      </c>
      <c r="AK40" s="13">
        <f t="shared" si="35"/>
        <v>25.515091392880567</v>
      </c>
      <c r="AL40" s="20">
        <f t="shared" si="4"/>
        <v>208.06558084260018</v>
      </c>
      <c r="AM40" s="59">
        <f t="shared" si="5"/>
        <v>474.05374479921602</v>
      </c>
      <c r="AN40" s="59">
        <f ca="1">AVERAGE(OFFSET($AM$3,0,0,'Données projet'!$E$10+1,1))-AVERAGE(OFFSET($H$3,0,0,'Données projet'!$E$10+1,1))</f>
        <v>323.67375363913726</v>
      </c>
      <c r="AO40" s="59">
        <f t="shared" si="36"/>
        <v>266.03902815735029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3.0359862289864492</v>
      </c>
      <c r="AV40" s="21">
        <f>EXP(-LN(2)/25)*AV39+(1-EXP(-LN(2)/25))/(LN(2)/25)*Calculateur!AQ40*Calculateur!AS40*VLOOKUP('Données projet'!$B$10,Paramètres!$A$1:$I$89,3,0)*0.475*44/12</f>
        <v>3.0001716047956788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6.036157833782128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62.542226533622497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21.8</v>
      </c>
      <c r="BD40" s="12">
        <f>IF('Données projet'!$A$88&gt;35,BD39+BC40-BL39,IF(A40&lt;'Données projet'!$A$88,$BA$205^A40,IF(A40='Données projet'!$A$88,'Données projet'!$B$88,BD39+BC40-BL39)))</f>
        <v>488.60000000000019</v>
      </c>
      <c r="BE40" s="13">
        <f>BD40*VLOOKUP('Données projet'!$B$11,Paramètres!$A$1:$I$89,3,0)*VLOOKUP('Données projet'!$B$11,Paramètres!$A$1:$I$89,5,0)</f>
        <v>273.12740000000008</v>
      </c>
      <c r="BF40" s="13">
        <f t="shared" si="37"/>
        <v>65.512536987025797</v>
      </c>
      <c r="BG40" s="20">
        <f t="shared" si="7"/>
        <v>589.79789025240336</v>
      </c>
      <c r="BH40" s="59">
        <f t="shared" si="8"/>
        <v>855.7860542090192</v>
      </c>
      <c r="BI40" s="59">
        <f ca="1">AVERAGE(OFFSET($BH$3,0,0,'Données projet'!$E$11+1,1))-AVERAGE(OFFSET($H$3,0,0,'Données projet'!$E$11+1,1))</f>
        <v>371.46495716091965</v>
      </c>
      <c r="BJ40" s="59">
        <f t="shared" si="38"/>
        <v>579.95059529269417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42.629256677223822</v>
      </c>
      <c r="BQ40" s="21">
        <f>EXP(-LN(2)/25)*BQ39+(1-EXP(-LN(2)/25))/(LN(2)/25)*Calculateur!BL40*Calculateur!BN40*VLOOKUP('Données projet'!$B$11,Paramètres!$A$1:$I$89,3,0)*0.475*44/12</f>
        <v>20.19224257342302</v>
      </c>
      <c r="BR40" s="21">
        <f>EXP(-LN(2)/2)*BR39+(1-EXP(-LN(2)/2))/(LN(2)/2)*BL40*BO40*VLOOKUP('Données projet'!$B$11,Paramètres!$A$1:$I$89,3,0)*0.475*44/12</f>
        <v>2.8499682819065484</v>
      </c>
      <c r="BS40" s="22">
        <f t="shared" si="9"/>
        <v>65.671467532553379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62.542226533622497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49.2</v>
      </c>
      <c r="BY40" s="12">
        <f>IF('Données projet'!$A$114&gt;35,BY39+BX40-CG39,IF(A40&lt;'Données projet'!$A$114,$BV$205^A40,IF(A40='Données projet'!$A$114,'Données projet'!$B$114,BY39+BX40-CG39)))</f>
        <v>140.39999999999998</v>
      </c>
      <c r="BZ40" s="13">
        <f>BY40*VLOOKUP('Données projet'!$B$12,Paramètres!$A$1:$I$89,3,0)*VLOOKUP('Données projet'!$B$12,Paramètres!$A$1:$I$89,5,0)</f>
        <v>87.609599999999986</v>
      </c>
      <c r="CA40" s="13">
        <f t="shared" si="39"/>
        <v>23.987817980868787</v>
      </c>
      <c r="CB40" s="20">
        <f t="shared" si="10"/>
        <v>194.36550298334643</v>
      </c>
      <c r="CC40" s="59">
        <f t="shared" si="11"/>
        <v>460.3536669399623</v>
      </c>
      <c r="CD40" s="59">
        <f ca="1">AVERAGE(OFFSET($CC$3,0,0,'Données projet'!$E$12+1,1))-AVERAGE(OFFSET($H$3,0,0,'Données projet'!$E$12+1,1))</f>
        <v>180.18752244216969</v>
      </c>
      <c r="CE40" s="59">
        <f t="shared" si="40"/>
        <v>350.12096474554676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108.01859437244639</v>
      </c>
      <c r="CL40" s="21">
        <f>EXP(-LN(2)/25)*CL39+(1-EXP(-LN(2)/25))/(LN(2)/25)*Calculateur!CG40*Calculateur!CI40*VLOOKUP('Données projet'!$B$12,Paramètres!$A$1:$I$89,3,0)*0.475*44/12</f>
        <v>87.897151752598432</v>
      </c>
      <c r="CM40" s="21">
        <f>EXP(-LN(2)/2)*CM39+(1-EXP(-LN(2)/2))/(LN(2)/2)*CG40*CJ40*VLOOKUP('Données projet'!$B$12,Paramètres!$A$1:$I$89,3,0)*0.475*44/12</f>
        <v>17.970640420172742</v>
      </c>
      <c r="CN40" s="22">
        <f t="shared" si="12"/>
        <v>213.88638654521756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62.542226533622497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44.2</v>
      </c>
      <c r="CT40" s="12">
        <f>IF('Données projet'!$A$140&gt;35,CT39+CS40-DB39,IF(A40&lt;'Données projet'!$A$140,$CQ$205^A40,IF(A40='Données projet'!$A$140,'Données projet'!$B$140,CT39+CS40-DB39)))</f>
        <v>130.39999999999998</v>
      </c>
      <c r="CU40" s="17">
        <f>CT40*VLOOKUP('Données projet'!$B$13,Paramètres!$A$1:$I$89,3,0)*VLOOKUP('Données projet'!$B$13,Paramètres!$A$1:$I$89,5,0)</f>
        <v>103.74623999999999</v>
      </c>
      <c r="CV40" s="13">
        <f t="shared" si="41"/>
        <v>27.852568264974543</v>
      </c>
      <c r="CW40" s="20">
        <f t="shared" si="13"/>
        <v>229.20125772816399</v>
      </c>
      <c r="CX40" s="59">
        <f t="shared" si="14"/>
        <v>495.18942168477986</v>
      </c>
      <c r="CY40" s="59">
        <f ca="1">AVERAGE(OFFSET($CX$3,0,0,'Données projet'!$E$13+1,1))-AVERAGE(OFFSET($H$3,0,0,'Données projet'!$E$13+1,1))</f>
        <v>284.31574332240928</v>
      </c>
      <c r="CZ40" s="59">
        <f t="shared" si="42"/>
        <v>403.96994631683913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150.65189791974461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150.65189791974461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62.542226533622497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34</v>
      </c>
      <c r="DO40" s="12">
        <f>IF('Données projet'!$A$166&gt;35,DO39+DN40-DW39,IF(A40&lt;'Données projet'!$A$166,$DL$205^A40,IF(A40='Données projet'!$A$166,'Données projet'!$B$166,DO39+DN40-DW39)))</f>
        <v>68</v>
      </c>
      <c r="DP40" s="17">
        <f>DO40*VLOOKUP('Données projet'!$B$14,Paramètres!$A$1:$I$89,3,0)*VLOOKUP('Données projet'!$B$14,Paramètres!$A$1:$I$89,5,0)</f>
        <v>49.857599999999998</v>
      </c>
      <c r="DQ40" s="13">
        <f t="shared" si="43"/>
        <v>14.576978140351212</v>
      </c>
      <c r="DR40" s="20">
        <f t="shared" si="16"/>
        <v>112.22355692777835</v>
      </c>
      <c r="DS40" s="59">
        <f t="shared" si="17"/>
        <v>378.2117208843942</v>
      </c>
      <c r="DT40" s="59">
        <f ca="1">AVERAGE(OFFSET($DS$3,0,0,'Données projet'!$E$14+1,1))-AVERAGE(OFFSET($H$3,0,0,'Données projet'!$E$14+1,1))</f>
        <v>190.9519472160006</v>
      </c>
      <c r="DU40" s="59">
        <f t="shared" si="44"/>
        <v>170.61553500287511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72.561478962876734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72.561478962876734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62.542226533622497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27.4</v>
      </c>
      <c r="EJ40" s="12">
        <f>IF('Données projet'!$A$192&gt;35,EJ39+EI40-ER39,IF(A40&lt;'Données projet'!$A$192,$EG$205^A40,IF(A40='Données projet'!$A$192,'Données projet'!$B$192,EJ39+EI40-ER39)))</f>
        <v>89.800000000000011</v>
      </c>
      <c r="EK40" s="17">
        <f>EJ40*VLOOKUP('Données projet'!$B$15,Paramètres!$A$1:$I$89,3,0)*VLOOKUP('Données projet'!$B$15,Paramètres!$A$1:$I$89,5,0)</f>
        <v>77.048400000000015</v>
      </c>
      <c r="EL40" s="13">
        <f t="shared" si="45"/>
        <v>21.413931223592172</v>
      </c>
      <c r="EM40" s="20">
        <f t="shared" si="19"/>
        <v>171.48856021442305</v>
      </c>
      <c r="EN40" s="59">
        <f t="shared" si="20"/>
        <v>437.47672417103888</v>
      </c>
      <c r="EO40" s="59">
        <f ca="1">AVERAGE(OFFSET($EN$3,0,0,'Données projet'!$E$15+1,1))-AVERAGE(OFFSET($H$3,0,0,'Données projet'!$E$15+1,1))</f>
        <v>331.94255128154623</v>
      </c>
      <c r="EP40" s="59">
        <f t="shared" si="46"/>
        <v>258.40809812013964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30.44031226662565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30.44031226662565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62.542226533622497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34.4</v>
      </c>
      <c r="FE40" s="12">
        <f>IF('Données projet'!$A$218&gt;35,FE39+FD40-FM39,IF(A40&lt;'Données projet'!$A$218,$FB$205^A40,IF(A40='Données projet'!$A$218,'Données projet'!$B$218,FE39+FD40-FM39)))</f>
        <v>103.80000000000001</v>
      </c>
      <c r="FF40" s="17">
        <f>FE40*VLOOKUP('Données projet'!$B$16,Paramètres!$A$1:$I$89,3,0)*VLOOKUP('Données projet'!$B$16,Paramètres!$A$1:$I$89,5,0)</f>
        <v>98.776080000000007</v>
      </c>
      <c r="FG40" s="13">
        <f t="shared" si="47"/>
        <v>26.670206833473099</v>
      </c>
      <c r="FH40" s="20">
        <f t="shared" si="22"/>
        <v>218.48561623496565</v>
      </c>
      <c r="FI40" s="59">
        <f t="shared" si="23"/>
        <v>484.47378019158145</v>
      </c>
      <c r="FJ40" s="59">
        <f ca="1">AVERAGE(OFFSET($FI$3,0,0,'Données projet'!$E$16+1,1))-AVERAGE(OFFSET($H$3,0,0,'Données projet'!$E$16+1,1))</f>
        <v>290.72311302449236</v>
      </c>
      <c r="FK40" s="59">
        <f t="shared" si="48"/>
        <v>352.32552988394434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36.521412956139095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36.521412956139095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62.542226533622497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19.2</v>
      </c>
      <c r="FZ40" s="12">
        <f>IF('Données projet'!$A$244&gt;35,FZ39+FY40-GH39,IF(A40&lt;'Données projet'!$A$244,$FW$205^A40,IF(A40='Données projet'!$A$244,'Données projet'!$B$244,FZ39+FY40-GH39)))</f>
        <v>52.399999999999977</v>
      </c>
      <c r="GA40" s="17">
        <f>FZ40*VLOOKUP('Données projet'!$B$17,Paramètres!$A$1:$I$89,3,0)*VLOOKUP('Données projet'!$B$17,Paramètres!$A$1:$I$89,5,0)</f>
        <v>34.332479999999983</v>
      </c>
      <c r="GB40" s="13">
        <f t="shared" si="49"/>
        <v>10.483375892198302</v>
      </c>
      <c r="GC40" s="20">
        <f t="shared" si="25"/>
        <v>78.05428234557867</v>
      </c>
      <c r="GD40" s="59">
        <f t="shared" si="26"/>
        <v>344.04244630219449</v>
      </c>
      <c r="GE40" s="59">
        <f ca="1">AVERAGE(OFFSET($GD$3,0,0,'Données projet'!$E$17+1,1))-AVERAGE(OFFSET($H$3,0,0,'Données projet'!$E$17+1,1))</f>
        <v>123.03972959251965</v>
      </c>
      <c r="GF40" s="59">
        <f t="shared" si="50"/>
        <v>178.27657680839445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10.29784103025561</v>
      </c>
      <c r="GM40" s="21">
        <f>EXP(-LN(2)/25)*GM39+(1-EXP(-LN(2)/25))/(LN(2)/25)*Calculateur!GH40*Calculateur!GJ40*VLOOKUP('Données projet'!$B$17,Paramètres!$A$1:$I$89,3,0)*0.475*44/12</f>
        <v>27.915030631778151</v>
      </c>
      <c r="GN40" s="21">
        <f>EXP(-LN(2)/2)*GN39+(1-EXP(-LN(2)/2))/(LN(2)/2)*GH40*GK40*VLOOKUP('Données projet'!$B$17,Paramètres!$A$1:$I$89,3,0)*0.475*44/12</f>
        <v>6.529766066401784</v>
      </c>
      <c r="GO40" s="21">
        <f t="shared" si="27"/>
        <v>44.742637728435547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62.542226533622497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13.04</v>
      </c>
      <c r="GU40" s="12">
        <f>IF('Données projet'!$A$270&gt;35,GU39+GT40-HC39,IF(A40&lt;'Données projet'!$A$270,$GR$205^A40,IF(A40='Données projet'!$A$270,'Données projet'!$B$270,GU39+GT40-HC39)))</f>
        <v>482.48000000000025</v>
      </c>
      <c r="GV40" s="17">
        <f>GU40*VLOOKUP('Données projet'!$B$18,Paramètres!$A$1:$I$89,3,0)*VLOOKUP('Données projet'!$B$18,Paramètres!$A$1:$I$89,5,0)</f>
        <v>323.64758400000017</v>
      </c>
      <c r="GW40" s="13">
        <f t="shared" si="51"/>
        <v>76.111803083209196</v>
      </c>
      <c r="GX40" s="20">
        <f t="shared" si="28"/>
        <v>696.24759916992298</v>
      </c>
      <c r="GY40" s="59">
        <f t="shared" si="29"/>
        <v>962.23576312653881</v>
      </c>
      <c r="GZ40" s="59">
        <f ca="1">AVERAGE(OFFSET($GY$3,0,0,'Données projet'!$E$18+1,1))-AVERAGE(OFFSET($H$3,0,0,'Données projet'!$E$18+1,1))</f>
        <v>542.25674729323623</v>
      </c>
      <c r="HA40" s="59">
        <f t="shared" si="52"/>
        <v>614.73906555680685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0</v>
      </c>
      <c r="HH40" s="21">
        <f>EXP(-LN(2)/25)*HH39+(1-EXP(-LN(2)/25))/(LN(2)/25)*Calculateur!HC40*Calculateur!HE40*VLOOKUP('Données projet'!$B$18,Paramètres!$A$1:$I$89,3,0)*0.475*44/12</f>
        <v>0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0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2.8499999999999996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10.449999999999998</v>
      </c>
      <c r="H41" s="67">
        <f t="shared" si="1"/>
        <v>214.86666666666667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62.671602230180497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10.4</v>
      </c>
      <c r="N41" s="13">
        <f>IF('Données projet'!$A$36&gt;35,N40+M41-V40,IF(A41&lt;'Données projet'!$A$36,$K$205^A41,IF(A41='Données projet'!$A$36,'Données projet'!$B$36,N40+M41-V40)))</f>
        <v>395.1999999999997</v>
      </c>
      <c r="O41" s="13">
        <f>N41*VLOOKUP('Données projet'!$B$9,Paramètres!$A$1:$I$89,3,0)*VLOOKUP('Données projet'!$B$9,Paramètres!$A$1:$I$89,5,0)</f>
        <v>345.24671999999981</v>
      </c>
      <c r="P41" s="13">
        <f t="shared" si="33"/>
        <v>80.582983976478246</v>
      </c>
      <c r="Q41" s="20">
        <f t="shared" si="53"/>
        <v>741.65340109236593</v>
      </c>
      <c r="R41" s="59">
        <f t="shared" si="0"/>
        <v>1008.1159426030277</v>
      </c>
      <c r="S41" s="59">
        <f ca="1">AVERAGE(OFFSET($R$3,0,0,'Données projet'!$E$9+1,1))-AVERAGE(OFFSET($H$3,0,0,'Données projet'!$E$9+1,1))</f>
        <v>686.80970545599644</v>
      </c>
      <c r="T41" s="59">
        <f t="shared" si="34"/>
        <v>636.16485232937737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62.671602230180497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8.8333333333333339</v>
      </c>
      <c r="AI41" s="13">
        <f>IF('Données projet'!$A$62&gt;35,AI40+AH41-AQ40,IF(A41&lt;'Données projet'!$A$62,$AF$205^A41,IF(A41='Données projet'!$A$62,'Données projet'!$B$62,AI40+AH41-AQ40)))</f>
        <v>112.66666666666659</v>
      </c>
      <c r="AJ41" s="13">
        <f>AI41*VLOOKUP('Données projet'!$B$10,Paramètres!$A$1:$I$89,3,0)*VLOOKUP('Données projet'!$B$10,Paramètres!$A$1:$I$89,5,0)</f>
        <v>101.94079999999994</v>
      </c>
      <c r="AK41" s="13">
        <f t="shared" si="35"/>
        <v>27.423847852416593</v>
      </c>
      <c r="AL41" s="20">
        <f t="shared" si="4"/>
        <v>225.31009500962546</v>
      </c>
      <c r="AM41" s="59">
        <f t="shared" si="5"/>
        <v>491.77263652028728</v>
      </c>
      <c r="AN41" s="59">
        <f ca="1">AVERAGE(OFFSET($AM$3,0,0,'Données projet'!$E$10+1,1))-AVERAGE(OFFSET($H$3,0,0,'Données projet'!$E$10+1,1))</f>
        <v>323.67375363913726</v>
      </c>
      <c r="AO41" s="59">
        <f t="shared" si="36"/>
        <v>266.03902815735029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2.9764523908047775</v>
      </c>
      <c r="AV41" s="21">
        <f>EXP(-LN(2)/25)*AV40+(1-EXP(-LN(2)/25))/(LN(2)/25)*Calculateur!AQ41*Calculateur!AS41*VLOOKUP('Données projet'!$B$10,Paramètres!$A$1:$I$89,3,0)*0.475*44/12</f>
        <v>2.9181317544903731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5.8945841452951502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62.671602230180497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21.8</v>
      </c>
      <c r="BD41" s="12">
        <f>IF('Données projet'!$A$88&gt;35,BD40+BC41-BL40,IF(A41&lt;'Données projet'!$A$88,$BA$205^A41,IF(A41='Données projet'!$A$88,'Données projet'!$B$88,BD40+BC41-BL40)))</f>
        <v>510.4000000000002</v>
      </c>
      <c r="BE41" s="13">
        <f>BD41*VLOOKUP('Données projet'!$B$11,Paramètres!$A$1:$I$89,3,0)*VLOOKUP('Données projet'!$B$11,Paramètres!$A$1:$I$89,5,0)</f>
        <v>285.31360000000012</v>
      </c>
      <c r="BF41" s="13">
        <f t="shared" si="37"/>
        <v>68.088693753445725</v>
      </c>
      <c r="BG41" s="20">
        <f t="shared" si="7"/>
        <v>615.5089949539182</v>
      </c>
      <c r="BH41" s="59">
        <f t="shared" si="8"/>
        <v>881.97153646458003</v>
      </c>
      <c r="BI41" s="59">
        <f ca="1">AVERAGE(OFFSET($BH$3,0,0,'Données projet'!$E$11+1,1))-AVERAGE(OFFSET($H$3,0,0,'Données projet'!$E$11+1,1))</f>
        <v>371.46495716091965</v>
      </c>
      <c r="BJ41" s="59">
        <f t="shared" si="38"/>
        <v>579.95059529269417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41.793322955062621</v>
      </c>
      <c r="BQ41" s="21">
        <f>EXP(-LN(2)/25)*BQ40+(1-EXP(-LN(2)/25))/(LN(2)/25)*Calculateur!BL41*Calculateur!BN41*VLOOKUP('Données projet'!$B$11,Paramètres!$A$1:$I$89,3,0)*0.475*44/12</f>
        <v>19.640084638388881</v>
      </c>
      <c r="BR41" s="21">
        <f>EXP(-LN(2)/2)*BR40+(1-EXP(-LN(2)/2))/(LN(2)/2)*BL41*BO41*VLOOKUP('Données projet'!$B$11,Paramètres!$A$1:$I$89,3,0)*0.475*44/12</f>
        <v>2.0152318983026944</v>
      </c>
      <c r="BS41" s="22">
        <f t="shared" si="9"/>
        <v>63.4486394917542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62.671602230180497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49.2</v>
      </c>
      <c r="BY41" s="12">
        <f>IF('Données projet'!$A$114&gt;35,BY40+BX41-CG40,IF(A41&lt;'Données projet'!$A$114,$BV$205^A41,IF(A41='Données projet'!$A$114,'Données projet'!$B$114,BY40+BX41-CG40)))</f>
        <v>189.59999999999997</v>
      </c>
      <c r="BZ41" s="13">
        <f>BY41*VLOOKUP('Données projet'!$B$12,Paramètres!$A$1:$I$89,3,0)*VLOOKUP('Données projet'!$B$12,Paramètres!$A$1:$I$89,5,0)</f>
        <v>118.31039999999997</v>
      </c>
      <c r="CA41" s="13">
        <f t="shared" si="39"/>
        <v>31.280603211565367</v>
      </c>
      <c r="CB41" s="20">
        <f t="shared" si="10"/>
        <v>260.53766392680967</v>
      </c>
      <c r="CC41" s="59">
        <f t="shared" si="11"/>
        <v>527.00020543747155</v>
      </c>
      <c r="CD41" s="59">
        <f ca="1">AVERAGE(OFFSET($CC$3,0,0,'Données projet'!$E$12+1,1))-AVERAGE(OFFSET($H$3,0,0,'Données projet'!$E$12+1,1))</f>
        <v>180.18752244216969</v>
      </c>
      <c r="CE41" s="59">
        <f t="shared" si="40"/>
        <v>350.12096474554676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105.9004156216397</v>
      </c>
      <c r="CL41" s="21">
        <f>EXP(-LN(2)/25)*CL40+(1-EXP(-LN(2)/25))/(LN(2)/25)*Calculateur!CG41*Calculateur!CI41*VLOOKUP('Données projet'!$B$12,Paramètres!$A$1:$I$89,3,0)*0.475*44/12</f>
        <v>85.493599515613312</v>
      </c>
      <c r="CM41" s="21">
        <f>EXP(-LN(2)/2)*CM40+(1-EXP(-LN(2)/2))/(LN(2)/2)*CG41*CJ41*VLOOKUP('Données projet'!$B$12,Paramètres!$A$1:$I$89,3,0)*0.475*44/12</f>
        <v>12.707161703369215</v>
      </c>
      <c r="CN41" s="22">
        <f t="shared" si="12"/>
        <v>204.10117684062223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62.671602230180497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44.2</v>
      </c>
      <c r="CT41" s="12">
        <f>IF('Données projet'!$A$140&gt;35,CT40+CS41-DB40,IF(A41&lt;'Données projet'!$A$140,$CQ$205^A41,IF(A41='Données projet'!$A$140,'Données projet'!$B$140,CT40+CS41-DB40)))</f>
        <v>174.59999999999997</v>
      </c>
      <c r="CU41" s="17">
        <f>CT41*VLOOKUP('Données projet'!$B$13,Paramètres!$A$1:$I$89,3,0)*VLOOKUP('Données projet'!$B$13,Paramètres!$A$1:$I$89,5,0)</f>
        <v>138.91175999999996</v>
      </c>
      <c r="CV41" s="13">
        <f t="shared" si="41"/>
        <v>36.047591882209396</v>
      </c>
      <c r="CW41" s="20">
        <f t="shared" si="13"/>
        <v>304.72087119484792</v>
      </c>
      <c r="CX41" s="59">
        <f t="shared" si="14"/>
        <v>571.18341270550968</v>
      </c>
      <c r="CY41" s="59">
        <f ca="1">AVERAGE(OFFSET($CX$3,0,0,'Données projet'!$E$13+1,1))-AVERAGE(OFFSET($H$3,0,0,'Données projet'!$E$13+1,1))</f>
        <v>284.31574332240928</v>
      </c>
      <c r="CZ41" s="59">
        <f t="shared" si="42"/>
        <v>403.96994631683913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147.69770609012292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147.69770609012292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62.671602230180497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34</v>
      </c>
      <c r="DO41" s="12">
        <f>IF('Données projet'!$A$166&gt;35,DO40+DN41-DW40,IF(A41&lt;'Données projet'!$A$166,$DL$205^A41,IF(A41='Données projet'!$A$166,'Données projet'!$B$166,DO40+DN41-DW40)))</f>
        <v>102</v>
      </c>
      <c r="DP41" s="17">
        <f>DO41*VLOOKUP('Données projet'!$B$14,Paramètres!$A$1:$I$89,3,0)*VLOOKUP('Données projet'!$B$14,Paramètres!$A$1:$I$89,5,0)</f>
        <v>74.7864</v>
      </c>
      <c r="DQ41" s="13">
        <f t="shared" si="43"/>
        <v>20.857475351088969</v>
      </c>
      <c r="DR41" s="20">
        <f t="shared" si="16"/>
        <v>166.57974956981329</v>
      </c>
      <c r="DS41" s="59">
        <f t="shared" si="17"/>
        <v>433.04229108047514</v>
      </c>
      <c r="DT41" s="59">
        <f ca="1">AVERAGE(OFFSET($DS$3,0,0,'Données projet'!$E$14+1,1))-AVERAGE(OFFSET($H$3,0,0,'Données projet'!$E$14+1,1))</f>
        <v>190.9519472160006</v>
      </c>
      <c r="DU41" s="59">
        <f t="shared" si="44"/>
        <v>170.61553500287511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71.138592618546767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71.138592618546767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62.671602230180497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27.4</v>
      </c>
      <c r="EJ41" s="12">
        <f>IF('Données projet'!$A$192&gt;35,EJ40+EI41-ER40,IF(A41&lt;'Données projet'!$A$192,$EG$205^A41,IF(A41='Données projet'!$A$192,'Données projet'!$B$192,EJ40+EI41-ER40)))</f>
        <v>117.20000000000002</v>
      </c>
      <c r="EK41" s="17">
        <f>EJ41*VLOOKUP('Données projet'!$B$15,Paramètres!$A$1:$I$89,3,0)*VLOOKUP('Données projet'!$B$15,Paramètres!$A$1:$I$89,5,0)</f>
        <v>100.55760000000002</v>
      </c>
      <c r="EL41" s="13">
        <f t="shared" si="45"/>
        <v>27.094795038597915</v>
      </c>
      <c r="EM41" s="20">
        <f t="shared" si="19"/>
        <v>222.32792135889142</v>
      </c>
      <c r="EN41" s="59">
        <f t="shared" si="20"/>
        <v>488.79046286955327</v>
      </c>
      <c r="EO41" s="59">
        <f ca="1">AVERAGE(OFFSET($EN$3,0,0,'Données projet'!$E$15+1,1))-AVERAGE(OFFSET($H$3,0,0,'Données projet'!$E$15+1,1))</f>
        <v>331.94255128154623</v>
      </c>
      <c r="EP41" s="59">
        <f t="shared" si="46"/>
        <v>258.40809812013964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29.84339630983429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29.84339630983429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62.671602230180497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34.4</v>
      </c>
      <c r="FE41" s="12">
        <f>IF('Données projet'!$A$218&gt;35,FE40+FD41-FM40,IF(A41&lt;'Données projet'!$A$218,$FB$205^A41,IF(A41='Données projet'!$A$218,'Données projet'!$B$218,FE40+FD41-FM40)))</f>
        <v>138.20000000000002</v>
      </c>
      <c r="FF41" s="17">
        <f>FE41*VLOOKUP('Données projet'!$B$16,Paramètres!$A$1:$I$89,3,0)*VLOOKUP('Données projet'!$B$16,Paramètres!$A$1:$I$89,5,0)</f>
        <v>131.51112000000001</v>
      </c>
      <c r="FG41" s="13">
        <f t="shared" si="47"/>
        <v>34.345299589292402</v>
      </c>
      <c r="FH41" s="20">
        <f t="shared" si="22"/>
        <v>288.86659745135091</v>
      </c>
      <c r="FI41" s="59">
        <f t="shared" si="23"/>
        <v>555.32913896201273</v>
      </c>
      <c r="FJ41" s="59">
        <f ca="1">AVERAGE(OFFSET($FI$3,0,0,'Données projet'!$E$16+1,1))-AVERAGE(OFFSET($H$3,0,0,'Données projet'!$E$16+1,1))</f>
        <v>290.72311302449236</v>
      </c>
      <c r="FK41" s="59">
        <f t="shared" si="48"/>
        <v>352.32552988394434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35.805250323931553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35.805250323931553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62.671602230180497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19.2</v>
      </c>
      <c r="FZ41" s="12">
        <f>IF('Données projet'!$A$244&gt;35,FZ40+FY41-GH40,IF(A41&lt;'Données projet'!$A$244,$FW$205^A41,IF(A41='Données projet'!$A$244,'Données projet'!$B$244,FZ40+FY41-GH40)))</f>
        <v>71.59999999999998</v>
      </c>
      <c r="GA41" s="17">
        <f>FZ41*VLOOKUP('Données projet'!$B$17,Paramètres!$A$1:$I$89,3,0)*VLOOKUP('Données projet'!$B$17,Paramètres!$A$1:$I$89,5,0)</f>
        <v>46.912319999999987</v>
      </c>
      <c r="GB41" s="13">
        <f t="shared" si="49"/>
        <v>13.813418812113586</v>
      </c>
      <c r="GC41" s="20">
        <f t="shared" si="25"/>
        <v>105.76399509776446</v>
      </c>
      <c r="GD41" s="59">
        <f t="shared" si="26"/>
        <v>372.22653660842627</v>
      </c>
      <c r="GE41" s="59">
        <f ca="1">AVERAGE(OFFSET($GD$3,0,0,'Données projet'!$E$17+1,1))-AVERAGE(OFFSET($H$3,0,0,'Données projet'!$E$17+1,1))</f>
        <v>123.03972959251965</v>
      </c>
      <c r="GF41" s="59">
        <f t="shared" si="50"/>
        <v>178.27657680839445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10.095906648715122</v>
      </c>
      <c r="GM41" s="21">
        <f>EXP(-LN(2)/25)*GM40+(1-EXP(-LN(2)/25))/(LN(2)/25)*Calculateur!GH41*Calculateur!GJ41*VLOOKUP('Données projet'!$B$17,Paramètres!$A$1:$I$89,3,0)*0.475*44/12</f>
        <v>27.151692651164517</v>
      </c>
      <c r="GN41" s="21">
        <f>EXP(-LN(2)/2)*GN40+(1-EXP(-LN(2)/2))/(LN(2)/2)*GH41*GK41*VLOOKUP('Données projet'!$B$17,Paramètres!$A$1:$I$89,3,0)*0.475*44/12</f>
        <v>4.6172418651145097</v>
      </c>
      <c r="GO41" s="21">
        <f t="shared" si="27"/>
        <v>41.864841164994147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62.671602230180497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13.04</v>
      </c>
      <c r="GU41" s="12">
        <f>IF('Données projet'!$A$270&gt;35,GU40+GT41-HC40,IF(A41&lt;'Données projet'!$A$270,$GR$205^A41,IF(A41='Données projet'!$A$270,'Données projet'!$B$270,GU40+GT41-HC40)))</f>
        <v>495.52000000000027</v>
      </c>
      <c r="GV41" s="17">
        <f>GU41*VLOOKUP('Données projet'!$B$18,Paramètres!$A$1:$I$89,3,0)*VLOOKUP('Données projet'!$B$18,Paramètres!$A$1:$I$89,5,0)</f>
        <v>332.39481600000016</v>
      </c>
      <c r="GW41" s="13">
        <f t="shared" si="51"/>
        <v>77.926604488939333</v>
      </c>
      <c r="GX41" s="20">
        <f t="shared" si="28"/>
        <v>714.64314068490296</v>
      </c>
      <c r="GY41" s="59">
        <f t="shared" si="29"/>
        <v>981.10568219556478</v>
      </c>
      <c r="GZ41" s="59">
        <f ca="1">AVERAGE(OFFSET($GY$3,0,0,'Données projet'!$E$18+1,1))-AVERAGE(OFFSET($H$3,0,0,'Données projet'!$E$18+1,1))</f>
        <v>542.25674729323623</v>
      </c>
      <c r="HA41" s="59">
        <f t="shared" si="52"/>
        <v>614.73906555680685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0</v>
      </c>
      <c r="HH41" s="21">
        <f>EXP(-LN(2)/25)*HH40+(1-EXP(-LN(2)/25))/(LN(2)/25)*Calculateur!HC41*Calculateur!HE41*VLOOKUP('Données projet'!$B$18,Paramètres!$A$1:$I$89,3,0)*0.475*44/12</f>
        <v>0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0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2.8499999999999996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10.449999999999998</v>
      </c>
      <c r="H42" s="67">
        <f t="shared" si="1"/>
        <v>214.86666666666667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62.79873354764392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10.4</v>
      </c>
      <c r="N42" s="13">
        <f>IF('Données projet'!$A$36&gt;35,N41+M42-V41,IF(A42&lt;'Données projet'!$A$36,$K$205^A42,IF(A42='Données projet'!$A$36,'Données projet'!$B$36,N41+M42-V41)))</f>
        <v>405.59999999999968</v>
      </c>
      <c r="O42" s="13">
        <f>N42*VLOOKUP('Données projet'!$B$9,Paramètres!$A$1:$I$89,3,0)*VLOOKUP('Données projet'!$B$9,Paramètres!$A$1:$I$89,5,0)</f>
        <v>354.33215999999976</v>
      </c>
      <c r="P42" s="13">
        <f t="shared" si="33"/>
        <v>82.453908312287737</v>
      </c>
      <c r="Q42" s="20">
        <f t="shared" si="53"/>
        <v>760.73573564390074</v>
      </c>
      <c r="R42" s="59">
        <f t="shared" si="0"/>
        <v>1027.664425318595</v>
      </c>
      <c r="S42" s="59">
        <f ca="1">AVERAGE(OFFSET($R$3,0,0,'Données projet'!$E$9+1,1))-AVERAGE(OFFSET($H$3,0,0,'Données projet'!$E$9+1,1))</f>
        <v>686.80970545599644</v>
      </c>
      <c r="T42" s="59">
        <f t="shared" si="34"/>
        <v>636.16485232937737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62.79873354764392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8.8333333333333339</v>
      </c>
      <c r="AI42" s="13">
        <f>IF('Données projet'!$A$62&gt;35,AI41+AH42-AQ41,IF(A42&lt;'Données projet'!$A$62,$AF$205^A42,IF(A42='Données projet'!$A$62,'Données projet'!$B$62,AI41+AH42-AQ41)))</f>
        <v>121.49999999999991</v>
      </c>
      <c r="AJ42" s="13">
        <f>AI42*VLOOKUP('Données projet'!$B$10,Paramètres!$A$1:$I$89,3,0)*VLOOKUP('Données projet'!$B$10,Paramètres!$A$1:$I$89,5,0)</f>
        <v>109.93319999999991</v>
      </c>
      <c r="AK42" s="13">
        <f t="shared" si="35"/>
        <v>29.315245415158849</v>
      </c>
      <c r="AL42" s="20">
        <f t="shared" si="4"/>
        <v>242.52437576473483</v>
      </c>
      <c r="AM42" s="59">
        <f t="shared" si="5"/>
        <v>509.45306543942917</v>
      </c>
      <c r="AN42" s="59">
        <f ca="1">AVERAGE(OFFSET($AM$3,0,0,'Données projet'!$E$10+1,1))-AVERAGE(OFFSET($H$3,0,0,'Données projet'!$E$10+1,1))</f>
        <v>323.67375363913726</v>
      </c>
      <c r="AO42" s="59">
        <f t="shared" si="36"/>
        <v>266.03902815735029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2.9180859748777928</v>
      </c>
      <c r="AV42" s="21">
        <f>EXP(-LN(2)/25)*AV41+(1-EXP(-LN(2)/25))/(LN(2)/25)*Calculateur!AQ42*Calculateur!AS42*VLOOKUP('Données projet'!$B$10,Paramètres!$A$1:$I$89,3,0)*0.475*44/12</f>
        <v>2.8383352882059545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5.7564212630837472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62.79873354764392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21.8</v>
      </c>
      <c r="BD42" s="12">
        <f>IF('Données projet'!$A$88&gt;35,BD41+BC42-BL41,IF(A42&lt;'Données projet'!$A$88,$BA$205^A42,IF(A42='Données projet'!$A$88,'Données projet'!$B$88,BD41+BC42-BL41)))</f>
        <v>532.20000000000016</v>
      </c>
      <c r="BE42" s="13">
        <f>BD42*VLOOKUP('Données projet'!$B$11,Paramètres!$A$1:$I$89,3,0)*VLOOKUP('Données projet'!$B$11,Paramètres!$A$1:$I$89,5,0)</f>
        <v>297.49980000000011</v>
      </c>
      <c r="BF42" s="13">
        <f t="shared" si="37"/>
        <v>70.652070502757923</v>
      </c>
      <c r="BG42" s="20">
        <f t="shared" si="7"/>
        <v>641.19784112563684</v>
      </c>
      <c r="BH42" s="59">
        <f t="shared" si="8"/>
        <v>908.12653080033124</v>
      </c>
      <c r="BI42" s="59">
        <f ca="1">AVERAGE(OFFSET($BH$3,0,0,'Données projet'!$E$11+1,1))-AVERAGE(OFFSET($H$3,0,0,'Données projet'!$E$11+1,1))</f>
        <v>371.46495716091965</v>
      </c>
      <c r="BJ42" s="59">
        <f t="shared" si="38"/>
        <v>579.95059529269417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40.973781383323775</v>
      </c>
      <c r="BQ42" s="21">
        <f>EXP(-LN(2)/25)*BQ41+(1-EXP(-LN(2)/25))/(LN(2)/25)*Calculateur!BL42*Calculateur!BN42*VLOOKUP('Données projet'!$B$11,Paramètres!$A$1:$I$89,3,0)*0.475*44/12</f>
        <v>19.103025491124974</v>
      </c>
      <c r="BR42" s="21">
        <f>EXP(-LN(2)/2)*BR41+(1-EXP(-LN(2)/2))/(LN(2)/2)*BL42*BO42*VLOOKUP('Données projet'!$B$11,Paramètres!$A$1:$I$89,3,0)*0.475*44/12</f>
        <v>1.4249841409532742</v>
      </c>
      <c r="BS42" s="22">
        <f t="shared" si="9"/>
        <v>61.50179101540202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62.79873354764392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49.2</v>
      </c>
      <c r="BY42" s="12">
        <f>IF('Données projet'!$A$114&gt;35,BY41+BX42-CG41,IF(A42&lt;'Données projet'!$A$114,$BV$205^A42,IF(A42='Données projet'!$A$114,'Données projet'!$B$114,BY41+BX42-CG41)))</f>
        <v>238.79999999999995</v>
      </c>
      <c r="BZ42" s="13">
        <f>BY42*VLOOKUP('Données projet'!$B$12,Paramètres!$A$1:$I$89,3,0)*VLOOKUP('Données projet'!$B$12,Paramètres!$A$1:$I$89,5,0)</f>
        <v>149.01119999999997</v>
      </c>
      <c r="CA42" s="13">
        <f t="shared" si="39"/>
        <v>38.353790850109448</v>
      </c>
      <c r="CB42" s="20">
        <f t="shared" si="10"/>
        <v>326.32735906394055</v>
      </c>
      <c r="CC42" s="59">
        <f t="shared" si="11"/>
        <v>593.25604873863495</v>
      </c>
      <c r="CD42" s="59">
        <f ca="1">AVERAGE(OFFSET($CC$3,0,0,'Données projet'!$E$12+1,1))-AVERAGE(OFFSET($H$3,0,0,'Données projet'!$E$12+1,1))</f>
        <v>180.18752244216969</v>
      </c>
      <c r="CE42" s="59">
        <f t="shared" si="40"/>
        <v>350.12096474554676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103.82377306417486</v>
      </c>
      <c r="CL42" s="21">
        <f>EXP(-LN(2)/25)*CL41+(1-EXP(-LN(2)/25))/(LN(2)/25)*Calculateur!CG42*Calculateur!CI42*VLOOKUP('Données projet'!$B$12,Paramètres!$A$1:$I$89,3,0)*0.475*44/12</f>
        <v>83.155772540945861</v>
      </c>
      <c r="CM42" s="21">
        <f>EXP(-LN(2)/2)*CM41+(1-EXP(-LN(2)/2))/(LN(2)/2)*CG42*CJ42*VLOOKUP('Données projet'!$B$12,Paramètres!$A$1:$I$89,3,0)*0.475*44/12</f>
        <v>8.9853202100863729</v>
      </c>
      <c r="CN42" s="22">
        <f t="shared" si="12"/>
        <v>195.96486581520711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62.79873354764392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44.2</v>
      </c>
      <c r="CT42" s="12">
        <f>IF('Données projet'!$A$140&gt;35,CT41+CS42-DB41,IF(A42&lt;'Données projet'!$A$140,$CQ$205^A42,IF(A42='Données projet'!$A$140,'Données projet'!$B$140,CT41+CS42-DB41)))</f>
        <v>218.79999999999995</v>
      </c>
      <c r="CU42" s="17">
        <f>CT42*VLOOKUP('Données projet'!$B$13,Paramètres!$A$1:$I$89,3,0)*VLOOKUP('Données projet'!$B$13,Paramètres!$A$1:$I$89,5,0)</f>
        <v>174.07727999999997</v>
      </c>
      <c r="CV42" s="13">
        <f t="shared" si="41"/>
        <v>44.001935233861147</v>
      </c>
      <c r="CW42" s="20">
        <f t="shared" si="13"/>
        <v>379.82129986564149</v>
      </c>
      <c r="CX42" s="59">
        <f t="shared" si="14"/>
        <v>646.74998954033583</v>
      </c>
      <c r="CY42" s="59">
        <f ca="1">AVERAGE(OFFSET($CX$3,0,0,'Données projet'!$E$13+1,1))-AVERAGE(OFFSET($H$3,0,0,'Données projet'!$E$13+1,1))</f>
        <v>284.31574332240928</v>
      </c>
      <c r="CZ42" s="59">
        <f t="shared" si="42"/>
        <v>403.96994631683913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144.80144416040099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144.80144416040099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62.79873354764392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34</v>
      </c>
      <c r="DO42" s="12">
        <f>IF('Données projet'!$A$166&gt;35,DO41+DN42-DW41,IF(A42&lt;'Données projet'!$A$166,$DL$205^A42,IF(A42='Données projet'!$A$166,'Données projet'!$B$166,DO41+DN42-DW41)))</f>
        <v>136</v>
      </c>
      <c r="DP42" s="17">
        <f>DO42*VLOOKUP('Données projet'!$B$14,Paramètres!$A$1:$I$89,3,0)*VLOOKUP('Données projet'!$B$14,Paramètres!$A$1:$I$89,5,0)</f>
        <v>99.715199999999996</v>
      </c>
      <c r="DQ42" s="13">
        <f t="shared" si="43"/>
        <v>26.894136617382181</v>
      </c>
      <c r="DR42" s="20">
        <f t="shared" si="16"/>
        <v>220.51126127527394</v>
      </c>
      <c r="DS42" s="59">
        <f t="shared" si="17"/>
        <v>487.43995094996831</v>
      </c>
      <c r="DT42" s="59">
        <f ca="1">AVERAGE(OFFSET($DS$3,0,0,'Données projet'!$E$14+1,1))-AVERAGE(OFFSET($H$3,0,0,'Données projet'!$E$14+1,1))</f>
        <v>190.9519472160006</v>
      </c>
      <c r="DU42" s="59">
        <f t="shared" si="44"/>
        <v>170.61553500287511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69.743608207554132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69.743608207554132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62.79873354764392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27.4</v>
      </c>
      <c r="EJ42" s="12">
        <f>IF('Données projet'!$A$192&gt;35,EJ41+EI42-ER41,IF(A42&lt;'Données projet'!$A$192,$EG$205^A42,IF(A42='Données projet'!$A$192,'Données projet'!$B$192,EJ41+EI42-ER41)))</f>
        <v>144.60000000000002</v>
      </c>
      <c r="EK42" s="17">
        <f>EJ42*VLOOKUP('Données projet'!$B$15,Paramètres!$A$1:$I$89,3,0)*VLOOKUP('Données projet'!$B$15,Paramètres!$A$1:$I$89,5,0)</f>
        <v>124.06680000000003</v>
      </c>
      <c r="EL42" s="13">
        <f t="shared" si="45"/>
        <v>32.62166594198559</v>
      </c>
      <c r="EM42" s="20">
        <f t="shared" si="19"/>
        <v>272.89907818229159</v>
      </c>
      <c r="EN42" s="59">
        <f t="shared" si="20"/>
        <v>539.82776785698593</v>
      </c>
      <c r="EO42" s="59">
        <f ca="1">AVERAGE(OFFSET($EN$3,0,0,'Données projet'!$E$15+1,1))-AVERAGE(OFFSET($H$3,0,0,'Données projet'!$E$15+1,1))</f>
        <v>331.94255128154623</v>
      </c>
      <c r="EP42" s="59">
        <f t="shared" si="46"/>
        <v>258.40809812013964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29.258185510872824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29.258185510872824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62.79873354764392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34.4</v>
      </c>
      <c r="FE42" s="12">
        <f>IF('Données projet'!$A$218&gt;35,FE41+FD42-FM41,IF(A42&lt;'Données projet'!$A$218,$FB$205^A42,IF(A42='Données projet'!$A$218,'Données projet'!$B$218,FE41+FD42-FM41)))</f>
        <v>172.60000000000002</v>
      </c>
      <c r="FF42" s="17">
        <f>FE42*VLOOKUP('Données projet'!$B$16,Paramètres!$A$1:$I$89,3,0)*VLOOKUP('Données projet'!$B$16,Paramètres!$A$1:$I$89,5,0)</f>
        <v>164.24616000000003</v>
      </c>
      <c r="FG42" s="13">
        <f t="shared" si="47"/>
        <v>41.798783796320748</v>
      </c>
      <c r="FH42" s="20">
        <f t="shared" si="22"/>
        <v>358.86161044525869</v>
      </c>
      <c r="FI42" s="59">
        <f t="shared" si="23"/>
        <v>625.79030011995303</v>
      </c>
      <c r="FJ42" s="59">
        <f ca="1">AVERAGE(OFFSET($FI$3,0,0,'Données projet'!$E$16+1,1))-AVERAGE(OFFSET($H$3,0,0,'Données projet'!$E$16+1,1))</f>
        <v>290.72311302449236</v>
      </c>
      <c r="FK42" s="59">
        <f t="shared" si="48"/>
        <v>352.32552988394434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35.103131204125525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35.103131204125525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62.79873354764392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19.2</v>
      </c>
      <c r="FZ42" s="12">
        <f>IF('Données projet'!$A$244&gt;35,FZ41+FY42-GH41,IF(A42&lt;'Données projet'!$A$244,$FW$205^A42,IF(A42='Données projet'!$A$244,'Données projet'!$B$244,FZ41+FY42-GH41)))</f>
        <v>90.799999999999983</v>
      </c>
      <c r="GA42" s="17">
        <f>FZ42*VLOOKUP('Données projet'!$B$17,Paramètres!$A$1:$I$89,3,0)*VLOOKUP('Données projet'!$B$17,Paramètres!$A$1:$I$89,5,0)</f>
        <v>59.492159999999984</v>
      </c>
      <c r="GB42" s="13">
        <f t="shared" si="49"/>
        <v>17.039807677491442</v>
      </c>
      <c r="GC42" s="20">
        <f t="shared" si="25"/>
        <v>133.29317703829756</v>
      </c>
      <c r="GD42" s="59">
        <f t="shared" si="26"/>
        <v>400.22186671299187</v>
      </c>
      <c r="GE42" s="59">
        <f ca="1">AVERAGE(OFFSET($GD$3,0,0,'Données projet'!$E$17+1,1))-AVERAGE(OFFSET($H$3,0,0,'Données projet'!$E$17+1,1))</f>
        <v>123.03972959251965</v>
      </c>
      <c r="GF42" s="59">
        <f t="shared" si="50"/>
        <v>178.27657680839445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9.8979320772288322</v>
      </c>
      <c r="GM42" s="21">
        <f>EXP(-LN(2)/25)*GM41+(1-EXP(-LN(2)/25))/(LN(2)/25)*Calculateur!GH42*Calculateur!GJ42*VLOOKUP('Données projet'!$B$17,Paramètres!$A$1:$I$89,3,0)*0.475*44/12</f>
        <v>26.409228187772964</v>
      </c>
      <c r="GN42" s="21">
        <f>EXP(-LN(2)/2)*GN41+(1-EXP(-LN(2)/2))/(LN(2)/2)*GH42*GK42*VLOOKUP('Données projet'!$B$17,Paramètres!$A$1:$I$89,3,0)*0.475*44/12</f>
        <v>3.2648830332008925</v>
      </c>
      <c r="GO42" s="21">
        <f t="shared" si="27"/>
        <v>39.572043298202694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62.79873354764392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13.04</v>
      </c>
      <c r="GU42" s="12">
        <f>IF('Données projet'!$A$270&gt;35,GU41+GT42-HC41,IF(A42&lt;'Données projet'!$A$270,$GR$205^A42,IF(A42='Données projet'!$A$270,'Données projet'!$B$270,GU41+GT42-HC41)))</f>
        <v>508.56000000000029</v>
      </c>
      <c r="GV42" s="17">
        <f>GU42*VLOOKUP('Données projet'!$B$18,Paramètres!$A$1:$I$89,3,0)*VLOOKUP('Données projet'!$B$18,Paramètres!$A$1:$I$89,5,0)</f>
        <v>341.14204800000022</v>
      </c>
      <c r="GW42" s="13">
        <f t="shared" si="51"/>
        <v>79.73585469972727</v>
      </c>
      <c r="GX42" s="20">
        <f t="shared" si="28"/>
        <v>733.029013868692</v>
      </c>
      <c r="GY42" s="59">
        <f t="shared" si="29"/>
        <v>999.95770354338629</v>
      </c>
      <c r="GZ42" s="59">
        <f ca="1">AVERAGE(OFFSET($GY$3,0,0,'Données projet'!$E$18+1,1))-AVERAGE(OFFSET($H$3,0,0,'Données projet'!$E$18+1,1))</f>
        <v>542.25674729323623</v>
      </c>
      <c r="HA42" s="59">
        <f t="shared" si="52"/>
        <v>614.73906555680685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0</v>
      </c>
      <c r="HH42" s="21">
        <f>EXP(-LN(2)/25)*HH41+(1-EXP(-LN(2)/25))/(LN(2)/25)*Calculateur!HC42*Calculateur!HE42*VLOOKUP('Données projet'!$B$18,Paramètres!$A$1:$I$89,3,0)*0.475*44/12</f>
        <v>0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0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2.8499999999999996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10.449999999999998</v>
      </c>
      <c r="H43" s="67">
        <f t="shared" si="1"/>
        <v>214.86666666666667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62.923659420972413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416</v>
      </c>
      <c r="L43" s="12">
        <f>VLOOKUP(A43,'Données projet'!$A$35:$I$55,9,0)</f>
        <v>10.4</v>
      </c>
      <c r="M43" s="12">
        <f t="array" ref="M43">INDEX(L:L,MIN(IF(ISNUMBER(L43:L239),ROW(L43:L239),"")))</f>
        <v>10.4</v>
      </c>
      <c r="N43" s="13">
        <f>IF('Données projet'!$A$36&gt;35,N42+M43-V42,IF(A43&lt;'Données projet'!$A$36,$K$205^A43,IF(A43='Données projet'!$A$36,'Données projet'!$B$36,N42+M43-V42)))</f>
        <v>415.99999999999966</v>
      </c>
      <c r="O43" s="13">
        <f>N43*VLOOKUP('Données projet'!$B$9,Paramètres!$A$1:$I$89,3,0)*VLOOKUP('Données projet'!$B$9,Paramètres!$A$1:$I$89,5,0)</f>
        <v>363.41759999999977</v>
      </c>
      <c r="P43" s="13">
        <f t="shared" si="33"/>
        <v>84.319256337551323</v>
      </c>
      <c r="Q43" s="20">
        <f t="shared" si="53"/>
        <v>779.80835812123485</v>
      </c>
      <c r="R43" s="59">
        <f t="shared" si="0"/>
        <v>1047.1951093314669</v>
      </c>
      <c r="S43" s="59">
        <f ca="1">AVERAGE(OFFSET($R$3,0,0,'Données projet'!$E$9+1,1))-AVERAGE(OFFSET($H$3,0,0,'Données projet'!$E$9+1,1))</f>
        <v>686.80970545599644</v>
      </c>
      <c r="T43" s="59">
        <f t="shared" si="34"/>
        <v>636.16485232937737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62.923659420972413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8.8333333333333339</v>
      </c>
      <c r="AI43" s="13">
        <f>IF('Données projet'!$A$62&gt;35,AI42+AH43-AQ42,IF(A43&lt;'Données projet'!$A$62,$AF$205^A43,IF(A43='Données projet'!$A$62,'Données projet'!$B$62,AI42+AH43-AQ42)))</f>
        <v>130.33333333333326</v>
      </c>
      <c r="AJ43" s="13">
        <f>AI43*VLOOKUP('Données projet'!$B$10,Paramètres!$A$1:$I$89,3,0)*VLOOKUP('Données projet'!$B$10,Paramètres!$A$1:$I$89,5,0)</f>
        <v>117.92559999999993</v>
      </c>
      <c r="AK43" s="13">
        <f t="shared" si="35"/>
        <v>31.190689636070559</v>
      </c>
      <c r="AL43" s="20">
        <f t="shared" si="4"/>
        <v>259.71087111615606</v>
      </c>
      <c r="AM43" s="59">
        <f t="shared" si="5"/>
        <v>527.0976223263882</v>
      </c>
      <c r="AN43" s="59">
        <f ca="1">AVERAGE(OFFSET($AM$3,0,0,'Données projet'!$E$10+1,1))-AVERAGE(OFFSET($H$3,0,0,'Données projet'!$E$10+1,1))</f>
        <v>323.67375363913726</v>
      </c>
      <c r="AO43" s="59">
        <f t="shared" si="36"/>
        <v>266.03902815735029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2.8608640887671375</v>
      </c>
      <c r="AV43" s="21">
        <f>EXP(-LN(2)/25)*AV42+(1-EXP(-LN(2)/25))/(LN(2)/25)*Calculateur!AQ43*Calculateur!AS43*VLOOKUP('Données projet'!$B$10,Paramètres!$A$1:$I$89,3,0)*0.475*44/12</f>
        <v>2.760720860488397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5.621584949255535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62.923659420972413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554</v>
      </c>
      <c r="BB43" s="12">
        <f>VLOOKUP(A43,'Données projet'!$A$87:$I$107,9,0)</f>
        <v>21.8</v>
      </c>
      <c r="BC43" s="12">
        <f t="array" ref="BC43">INDEX(BB:BB,MIN(IF(ISNUMBER(BB43:BB239),ROW(BB43:BB239),"")))</f>
        <v>21.8</v>
      </c>
      <c r="BD43" s="12">
        <f>IF('Données projet'!$A$88&gt;35,BD42+BC43-BL42,IF(A43&lt;'Données projet'!$A$88,$BA$205^A43,IF(A43='Données projet'!$A$88,'Données projet'!$B$88,BD42+BC43-BL42)))</f>
        <v>554.00000000000011</v>
      </c>
      <c r="BE43" s="13">
        <f>BD43*VLOOKUP('Données projet'!$B$11,Paramètres!$A$1:$I$89,3,0)*VLOOKUP('Données projet'!$B$11,Paramètres!$A$1:$I$89,5,0)</f>
        <v>309.68600000000009</v>
      </c>
      <c r="BF43" s="13">
        <f t="shared" si="37"/>
        <v>73.203250607027869</v>
      </c>
      <c r="BG43" s="20">
        <f t="shared" si="7"/>
        <v>666.86544480724035</v>
      </c>
      <c r="BH43" s="59">
        <f t="shared" si="8"/>
        <v>934.25219601747244</v>
      </c>
      <c r="BI43" s="59">
        <f ca="1">AVERAGE(OFFSET($BH$3,0,0,'Données projet'!$E$11+1,1))-AVERAGE(OFFSET($H$3,0,0,'Données projet'!$E$11+1,1))</f>
        <v>371.46495716091965</v>
      </c>
      <c r="BJ43" s="59">
        <f t="shared" si="38"/>
        <v>579.95059529269417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55</v>
      </c>
      <c r="BM43" s="16">
        <f>IF(ISNA(VLOOKUP(A43,'Données projet'!$A$87:$I$107,5,0)),0%,VLOOKUP(A43,'Données projet'!$A$87:$I$107,5,0)*VLOOKUP('Données projet'!$B$11,Paramètres!$A$1:$I$89,7,0))</f>
        <v>0.38500000000000001</v>
      </c>
      <c r="BN43" s="16">
        <f>IF(ISNA(VLOOKUP(A43,'Données projet'!$A$87:$I$107,6,0)),0%,VLOOKUP(A43,'Données projet'!$A$87:$I$107,6,0)*VLOOKUP('Données projet'!$B$11,Paramètres!$A$1:$I$89,7,0))</f>
        <v>0.11000000000000001</v>
      </c>
      <c r="BO43" s="16">
        <f>IF(ISNA(VLOOKUP(A43,'Données projet'!$A$87:$I$107,7,0)),0%,VLOOKUP(A43,'Données projet'!$A$87:$I$107,7,0))</f>
        <v>0.1</v>
      </c>
      <c r="BP43" s="21">
        <f>EXP(-LN(2)/35)*BP42+(1-EXP(-LN(2)/35))/(LN(2)/35)*BL43*BM43*VLOOKUP('Données projet'!$B$11,Paramètres!$A$1:$I$89,3,0)*0.475*44/12</f>
        <v>55.872621832193872</v>
      </c>
      <c r="BQ43" s="21">
        <f>EXP(-LN(2)/25)*BQ42+(1-EXP(-LN(2)/25))/(LN(2)/25)*Calculateur!BL43*Calculateur!BN43*VLOOKUP('Données projet'!$B$11,Paramètres!$A$1:$I$89,3,0)*0.475*44/12</f>
        <v>23.049362348079992</v>
      </c>
      <c r="BR43" s="21">
        <f>EXP(-LN(2)/2)*BR42+(1-EXP(-LN(2)/2))/(LN(2)/2)*BL43*BO43*VLOOKUP('Données projet'!$B$11,Paramètres!$A$1:$I$89,3,0)*0.475*44/12</f>
        <v>4.4886641478964666</v>
      </c>
      <c r="BS43" s="22">
        <f t="shared" si="9"/>
        <v>83.410648328170339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62.923659420972413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288</v>
      </c>
      <c r="BW43" s="12">
        <f>VLOOKUP(A43,'Données projet'!$A$113:$I$133,9,0)</f>
        <v>49.2</v>
      </c>
      <c r="BX43" s="12">
        <f t="array" ref="BX43">INDEX(BW:BW,MIN(IF(ISNUMBER(BW43:BW239),ROW(BW43:BW239),"")))</f>
        <v>49.2</v>
      </c>
      <c r="BY43" s="12">
        <f>IF('Données projet'!$A$114&gt;35,BY42+BX43-CG42,IF(A43&lt;'Données projet'!$A$114,$BV$205^A43,IF(A43='Données projet'!$A$114,'Données projet'!$B$114,BY42+BX43-CG42)))</f>
        <v>287.99999999999994</v>
      </c>
      <c r="BZ43" s="13">
        <f>BY43*VLOOKUP('Données projet'!$B$12,Paramètres!$A$1:$I$89,3,0)*VLOOKUP('Données projet'!$B$12,Paramètres!$A$1:$I$89,5,0)</f>
        <v>179.71199999999999</v>
      </c>
      <c r="CA43" s="13">
        <f t="shared" si="39"/>
        <v>45.258105502458051</v>
      </c>
      <c r="CB43" s="20">
        <f t="shared" si="10"/>
        <v>391.82293375011437</v>
      </c>
      <c r="CC43" s="59">
        <f t="shared" si="11"/>
        <v>659.20968496034652</v>
      </c>
      <c r="CD43" s="59">
        <f ca="1">AVERAGE(OFFSET($CC$3,0,0,'Données projet'!$E$12+1,1))-AVERAGE(OFFSET($H$3,0,0,'Données projet'!$E$12+1,1))</f>
        <v>180.18752244216969</v>
      </c>
      <c r="CE43" s="59">
        <f t="shared" si="40"/>
        <v>350.12096474554676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248</v>
      </c>
      <c r="CH43" s="16">
        <f>IF(ISNA(VLOOKUP(A43,'Données projet'!$A$113:$I$133,5,0)),0%,VLOOKUP(A43,'Données projet'!$A$113:$I$133,5,0)*VLOOKUP('Données projet'!$B$12,Paramètres!$A$1:$I$89,7,0))</f>
        <v>0.36</v>
      </c>
      <c r="CI43" s="16">
        <f>IF(ISNA(VLOOKUP(A43,'Données projet'!$A$113:$I$133,6,0)),0%,VLOOKUP(A43,'Données projet'!$A$113:$I$133,6,0)*VLOOKUP('Données projet'!$B$12,Paramètres!$A$1:$I$89,7,0))</f>
        <v>0.12</v>
      </c>
      <c r="CJ43" s="16">
        <f>IF(ISNA(VLOOKUP(A43,'Données projet'!$A$113:$I$133,7,0)),0%,VLOOKUP(A43,'Données projet'!$A$113:$I$133,7,0))</f>
        <v>0.2</v>
      </c>
      <c r="CK43" s="21">
        <f>EXP(-LN(2)/35)*CK42+(1-EXP(-LN(2)/35))/(LN(2)/35)*CG43*CH43*VLOOKUP('Données projet'!$B$12,Paramètres!$A$1:$I$89,3,0)*0.475*44/12</f>
        <v>175.69171313957969</v>
      </c>
      <c r="CL43" s="21">
        <f>EXP(-LN(2)/25)*CL42+(1-EXP(-LN(2)/25))/(LN(2)/25)*Calculateur!CG43*Calculateur!CI43*VLOOKUP('Données projet'!$B$12,Paramètres!$A$1:$I$89,3,0)*0.475*44/12</f>
        <v>105.41949799412481</v>
      </c>
      <c r="CM43" s="21">
        <f>EXP(-LN(2)/2)*CM42+(1-EXP(-LN(2)/2))/(LN(2)/2)*CG43*CJ43*VLOOKUP('Données projet'!$B$12,Paramètres!$A$1:$I$89,3,0)*0.475*44/12</f>
        <v>41.39662335304773</v>
      </c>
      <c r="CN43" s="22">
        <f t="shared" si="12"/>
        <v>322.50783448675224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62.923659420972413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263</v>
      </c>
      <c r="CR43" s="12">
        <f>VLOOKUP(A43,'Données projet'!$A$139:$I$159,9,0)</f>
        <v>44.2</v>
      </c>
      <c r="CS43" s="12">
        <f t="array" ref="CS43">INDEX(CR:CR,MIN(IF(ISNUMBER(CR43:CR239),ROW(CR43:CR239),"")))</f>
        <v>44.2</v>
      </c>
      <c r="CT43" s="12">
        <f>IF('Données projet'!$A$140&gt;35,CT42+CS43-DB42,IF(A43&lt;'Données projet'!$A$140,$CQ$205^A43,IF(A43='Données projet'!$A$140,'Données projet'!$B$140,CT42+CS43-DB42)))</f>
        <v>262.99999999999994</v>
      </c>
      <c r="CU43" s="17">
        <f>CT43*VLOOKUP('Données projet'!$B$13,Paramètres!$A$1:$I$89,3,0)*VLOOKUP('Données projet'!$B$13,Paramètres!$A$1:$I$89,5,0)</f>
        <v>209.24279999999996</v>
      </c>
      <c r="CV43" s="13">
        <f t="shared" si="41"/>
        <v>51.770083677016814</v>
      </c>
      <c r="CW43" s="20">
        <f t="shared" si="13"/>
        <v>454.59743907080411</v>
      </c>
      <c r="CX43" s="59">
        <f t="shared" si="14"/>
        <v>721.98419028103626</v>
      </c>
      <c r="CY43" s="59">
        <f ca="1">AVERAGE(OFFSET($CX$3,0,0,'Données projet'!$E$13+1,1))-AVERAGE(OFFSET($H$3,0,0,'Données projet'!$E$13+1,1))</f>
        <v>284.31574332240928</v>
      </c>
      <c r="CZ43" s="59">
        <f t="shared" si="42"/>
        <v>403.96994631683913</v>
      </c>
      <c r="DA43" s="15">
        <f>IF(ISNA(VLOOKUP(A43,'Données projet'!$A$139:$I$159,3,0)),0,VLOOKUP(A43,'Données projet'!$A$139:$I$159,3,0))</f>
        <v>7</v>
      </c>
      <c r="DB43" s="15">
        <f>IF(ISNA(VLOOKUP(A43,'Données projet'!$A$139:$I$159,4,0)),0,VLOOKUP(A43,'Données projet'!$A$139:$I$159,4,0))</f>
        <v>223</v>
      </c>
      <c r="DC43" s="16">
        <f>IF(ISNA(VLOOKUP(A43,'Données projet'!$A$139:$I$159,5,0)),0%,VLOOKUP(A43,'Données projet'!$A$139:$I$159,5,0)*VLOOKUP('Données projet'!$B$13,Paramètres!$A$1:$I$89,7,0))</f>
        <v>0.42400000000000004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225.12161690562255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225.12161690562255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62.923659420972413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170</v>
      </c>
      <c r="DM43" s="12">
        <f>VLOOKUP(A43,'Données projet'!$A$165:$I$185,9,0)</f>
        <v>34</v>
      </c>
      <c r="DN43" s="12">
        <f t="array" ref="DN43">INDEX(DM:DM,MIN(IF(ISNUMBER(DM43:DM239),ROW(DM43:DM239),"")))</f>
        <v>34</v>
      </c>
      <c r="DO43" s="12">
        <f>IF('Données projet'!$A$166&gt;35,DO42+DN43-DW42,IF(A43&lt;'Données projet'!$A$166,$DL$205^A43,IF(A43='Données projet'!$A$166,'Données projet'!$B$166,DO42+DN43-DW42)))</f>
        <v>170</v>
      </c>
      <c r="DP43" s="17">
        <f>DO43*VLOOKUP('Données projet'!$B$14,Paramètres!$A$1:$I$89,3,0)*VLOOKUP('Données projet'!$B$14,Paramètres!$A$1:$I$89,5,0)</f>
        <v>124.64399999999999</v>
      </c>
      <c r="DQ43" s="13">
        <f t="shared" si="43"/>
        <v>32.755730870217214</v>
      </c>
      <c r="DR43" s="20">
        <f t="shared" si="16"/>
        <v>274.13786459896164</v>
      </c>
      <c r="DS43" s="59">
        <f t="shared" si="17"/>
        <v>541.52461580919385</v>
      </c>
      <c r="DT43" s="59">
        <f ca="1">AVERAGE(OFFSET($DS$3,0,0,'Données projet'!$E$14+1,1))-AVERAGE(OFFSET($H$3,0,0,'Données projet'!$E$14+1,1))</f>
        <v>190.9519472160006</v>
      </c>
      <c r="DU43" s="59">
        <f t="shared" si="44"/>
        <v>170.61553500287511</v>
      </c>
      <c r="DV43" s="15">
        <f>IF(ISNA(VLOOKUP(A43,'Données projet'!$A$165:$I$185,3,0)),0,VLOOKUP(A43,'Données projet'!$A$165:$I$185,3,0))</f>
        <v>7</v>
      </c>
      <c r="DW43" s="15">
        <f>IF(ISNA(VLOOKUP(A43,'Données projet'!$A$165:$I$185,4,0)),0,VLOOKUP(A43,'Données projet'!$A$165:$I$185,4,0))</f>
        <v>170</v>
      </c>
      <c r="DX43" s="16">
        <f>IF(ISNA(VLOOKUP(A43,'Données projet'!$A$165:$I$185,5,0)),0%,VLOOKUP(A43,'Données projet'!$A$165:$I$185,5,0)*VLOOKUP('Données projet'!$B$14,Paramètres!$A$1:$I$89,7,0))</f>
        <v>0.34400000000000003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115.77582458536232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115.77582458536232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62.923659420972413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172</v>
      </c>
      <c r="EH43" s="12">
        <f>VLOOKUP(A43,'Données projet'!$A$191:$I$211,9,0)</f>
        <v>27.4</v>
      </c>
      <c r="EI43" s="12">
        <f t="array" ref="EI43">INDEX(EH:EH,MIN(IF(ISNUMBER(EH43:EH239),ROW(EH43:EH239),"")))</f>
        <v>27.4</v>
      </c>
      <c r="EJ43" s="12">
        <f>IF('Données projet'!$A$192&gt;35,EJ42+EI43-ER42,IF(A43&lt;'Données projet'!$A$192,$EG$205^A43,IF(A43='Données projet'!$A$192,'Données projet'!$B$192,EJ42+EI43-ER42)))</f>
        <v>172.00000000000003</v>
      </c>
      <c r="EK43" s="17">
        <f>EJ43*VLOOKUP('Données projet'!$B$15,Paramètres!$A$1:$I$89,3,0)*VLOOKUP('Données projet'!$B$15,Paramètres!$A$1:$I$89,5,0)</f>
        <v>147.57600000000005</v>
      </c>
      <c r="EL43" s="13">
        <f t="shared" si="45"/>
        <v>38.027201687128077</v>
      </c>
      <c r="EM43" s="20">
        <f t="shared" si="19"/>
        <v>323.25890960508144</v>
      </c>
      <c r="EN43" s="59">
        <f t="shared" si="20"/>
        <v>590.64566081531359</v>
      </c>
      <c r="EO43" s="59">
        <f ca="1">AVERAGE(OFFSET($EN$3,0,0,'Données projet'!$E$15+1,1))-AVERAGE(OFFSET($H$3,0,0,'Données projet'!$E$15+1,1))</f>
        <v>331.94255128154623</v>
      </c>
      <c r="EP43" s="59">
        <f t="shared" si="46"/>
        <v>258.40809812013964</v>
      </c>
      <c r="EQ43" s="15">
        <f>IF(ISNA(VLOOKUP(A43,'Données projet'!$A$191:$I$211,3,0)),0,VLOOKUP(A43,'Données projet'!$A$191:$I$211,3,0))</f>
        <v>5</v>
      </c>
      <c r="ER43" s="15">
        <f>IF(ISNA(VLOOKUP(A43,'Données projet'!$A$191:$I$211,4,0)),0,VLOOKUP(A43,'Données projet'!$A$191:$I$211,4,0))</f>
        <v>137</v>
      </c>
      <c r="ES43" s="16">
        <f>IF(ISNA(VLOOKUP(A43,'Données projet'!$A$191:$I$211,5,0)),0%,VLOOKUP(A43,'Données projet'!$A$191:$I$211,5,0)*VLOOKUP('Données projet'!$B$15,Paramètres!$A$1:$I$89,7,0))</f>
        <v>0.42400000000000004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83.780545741349655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83.780545741349655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62.923659420972413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207</v>
      </c>
      <c r="FC43" s="12">
        <f>VLOOKUP(A43,'Données projet'!$A$217:$I$237,9,0)</f>
        <v>34.4</v>
      </c>
      <c r="FD43" s="12">
        <f t="array" ref="FD43">INDEX(FC:FC,MIN(IF(ISNUMBER(FC43:FC239),ROW(FC43:FC239),"")))</f>
        <v>34.4</v>
      </c>
      <c r="FE43" s="12">
        <f>IF('Données projet'!$A$218&gt;35,FE42+FD43-FM42,IF(A43&lt;'Données projet'!$A$218,$FB$205^A43,IF(A43='Données projet'!$A$218,'Données projet'!$B$218,FE42+FD43-FM42)))</f>
        <v>207.00000000000003</v>
      </c>
      <c r="FF43" s="17">
        <f>FE43*VLOOKUP('Données projet'!$B$16,Paramètres!$A$1:$I$89,3,0)*VLOOKUP('Données projet'!$B$16,Paramètres!$A$1:$I$89,5,0)</f>
        <v>196.98120000000003</v>
      </c>
      <c r="FG43" s="13">
        <f t="shared" si="47"/>
        <v>49.080140741894134</v>
      </c>
      <c r="FH43" s="20">
        <f t="shared" si="22"/>
        <v>428.55683512546562</v>
      </c>
      <c r="FI43" s="59">
        <f t="shared" si="23"/>
        <v>695.94358633569777</v>
      </c>
      <c r="FJ43" s="59">
        <f ca="1">AVERAGE(OFFSET($FI$3,0,0,'Données projet'!$E$16+1,1))-AVERAGE(OFFSET($H$3,0,0,'Données projet'!$E$16+1,1))</f>
        <v>290.72311302449236</v>
      </c>
      <c r="FK43" s="59">
        <f t="shared" si="48"/>
        <v>352.32552988394434</v>
      </c>
      <c r="FL43" s="15">
        <f>IF(ISNA(VLOOKUP(A43,'Données projet'!$A$217:$I$237,3,0)),0,VLOOKUP(A43,'Données projet'!$A$217:$I$237,3,0))</f>
        <v>5</v>
      </c>
      <c r="FM43" s="15">
        <f>IF(ISNA(VLOOKUP(A43,'Données projet'!$A$217:$I$237,4,0)),0,VLOOKUP(A43,'Données projet'!$A$217:$I$237,4,0))</f>
        <v>172</v>
      </c>
      <c r="FN43" s="16">
        <f>IF(ISNA(VLOOKUP(A43,'Données projet'!$A$217:$I$237,5,0)),0%,VLOOKUP(A43,'Données projet'!$A$217:$I$237,5,0)*VLOOKUP('Données projet'!$B$16,Paramètres!$A$1:$I$89,7,0))</f>
        <v>0.34400000000000003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96.657481611669752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96.657481611669752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62.923659420972413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110</v>
      </c>
      <c r="FX43" s="12">
        <f>VLOOKUP(A43,'Données projet'!$A$243:$I$263,9,0)</f>
        <v>19.2</v>
      </c>
      <c r="FY43" s="12">
        <f t="array" ref="FY43">INDEX(FX:FX,MIN(IF(ISNUMBER(FX43:FX239),ROW(FX43:FX239),"")))</f>
        <v>19.2</v>
      </c>
      <c r="FZ43" s="12">
        <f>IF('Données projet'!$A$244&gt;35,FZ42+FY43-GH42,IF(A43&lt;'Données projet'!$A$244,$FW$205^A43,IF(A43='Données projet'!$A$244,'Données projet'!$B$244,FZ42+FY43-GH42)))</f>
        <v>109.99999999999999</v>
      </c>
      <c r="GA43" s="17">
        <f>FZ43*VLOOKUP('Données projet'!$B$17,Paramètres!$A$1:$I$89,3,0)*VLOOKUP('Données projet'!$B$17,Paramètres!$A$1:$I$89,5,0)</f>
        <v>72.072000000000003</v>
      </c>
      <c r="GB43" s="13">
        <f t="shared" si="49"/>
        <v>20.187131385147271</v>
      </c>
      <c r="GC43" s="20">
        <f t="shared" si="25"/>
        <v>160.68465382913149</v>
      </c>
      <c r="GD43" s="59">
        <f t="shared" si="26"/>
        <v>428.07140503936364</v>
      </c>
      <c r="GE43" s="59">
        <f ca="1">AVERAGE(OFFSET($GD$3,0,0,'Données projet'!$E$17+1,1))-AVERAGE(OFFSET($H$3,0,0,'Données projet'!$E$17+1,1))</f>
        <v>123.03972959251965</v>
      </c>
      <c r="GF43" s="59">
        <f t="shared" si="50"/>
        <v>178.27657680839445</v>
      </c>
      <c r="GG43" s="15">
        <f>IF(ISNA(VLOOKUP(A43,'Données projet'!$A$243:$I$263,3,0)),0,VLOOKUP(A43,'Données projet'!$A$243:$I$263,3,0))</f>
        <v>6</v>
      </c>
      <c r="GH43" s="15">
        <f>IF(ISNA(VLOOKUP(A43,'Données projet'!$A$243:$I$263,4,0)),0,VLOOKUP(A43,'Données projet'!$A$243:$I$263,4,0))</f>
        <v>95</v>
      </c>
      <c r="GI43" s="16">
        <f>IF(ISNA(VLOOKUP(A43,'Données projet'!$A$243:$I$263,5,0)),0%,VLOOKUP(A43,'Données projet'!$A$243:$I$263,5,0)*VLOOKUP('Données projet'!$B$17,Paramètres!$A$1:$I$89,7,0))</f>
        <v>0.17200000000000001</v>
      </c>
      <c r="GJ43" s="16">
        <f>IF(ISNA(VLOOKUP(A43,'Données projet'!$A$243:$I$263,6,0)),0%,VLOOKUP(A43,'Données projet'!$A$243:$I$263,6,0)*VLOOKUP('Données projet'!$B$17,Paramètres!$A$1:$I$89,7,0))</f>
        <v>8.6000000000000007E-2</v>
      </c>
      <c r="GK43" s="16">
        <f>IF(ISNA(VLOOKUP(A43,'Données projet'!$A$243:$I$263,7,0)),0%,VLOOKUP(A43,'Données projet'!$A$243:$I$263,7,0))</f>
        <v>0.2</v>
      </c>
      <c r="GL43" s="21">
        <f>EXP(-LN(2)/35)*GL42+(1-EXP(-LN(2)/35))/(LN(2)/35)*GH43*GI43*VLOOKUP('Données projet'!$B$17,Paramètres!$A$1:$I$89,3,0)*0.475*44/12</f>
        <v>21.538970174564447</v>
      </c>
      <c r="GM43" s="21">
        <f>EXP(-LN(2)/25)*GM42+(1-EXP(-LN(2)/25))/(LN(2)/25)*Calculateur!GH43*Calculateur!GJ43*VLOOKUP('Données projet'!$B$17,Paramètres!$A$1:$I$89,3,0)*0.475*44/12</f>
        <v>31.581331999116593</v>
      </c>
      <c r="GN43" s="21">
        <f>EXP(-LN(2)/2)*GN42+(1-EXP(-LN(2)/2))/(LN(2)/2)*GH43*GK43*VLOOKUP('Données projet'!$B$17,Paramètres!$A$1:$I$89,3,0)*0.475*44/12</f>
        <v>14.054398787096815</v>
      </c>
      <c r="GO43" s="21">
        <f t="shared" si="27"/>
        <v>67.174700960777855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62.923659420972413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13.04</v>
      </c>
      <c r="GU43" s="12">
        <f>IF('Données projet'!$A$270&gt;35,GU42+GT43-HC42,IF(A43&lt;'Données projet'!$A$270,$GR$205^A43,IF(A43='Données projet'!$A$270,'Données projet'!$B$270,GU42+GT43-HC42)))</f>
        <v>521.60000000000025</v>
      </c>
      <c r="GV43" s="17">
        <f>GU43*VLOOKUP('Données projet'!$B$18,Paramètres!$A$1:$I$89,3,0)*VLOOKUP('Données projet'!$B$18,Paramètres!$A$1:$I$89,5,0)</f>
        <v>349.88928000000016</v>
      </c>
      <c r="GW43" s="13">
        <f t="shared" si="51"/>
        <v>81.539712420376631</v>
      </c>
      <c r="GX43" s="20">
        <f t="shared" si="28"/>
        <v>751.40549513215626</v>
      </c>
      <c r="GY43" s="59">
        <f t="shared" si="29"/>
        <v>1018.7922463423884</v>
      </c>
      <c r="GZ43" s="59">
        <f ca="1">AVERAGE(OFFSET($GY$3,0,0,'Données projet'!$E$18+1,1))-AVERAGE(OFFSET($H$3,0,0,'Données projet'!$E$18+1,1))</f>
        <v>542.25674729323623</v>
      </c>
      <c r="HA43" s="59">
        <f t="shared" si="52"/>
        <v>614.73906555680685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0</v>
      </c>
      <c r="HH43" s="21">
        <f>EXP(-LN(2)/25)*HH42+(1-EXP(-LN(2)/25))/(LN(2)/25)*Calculateur!HC43*Calculateur!HE43*VLOOKUP('Données projet'!$B$18,Paramètres!$A$1:$I$89,3,0)*0.475*44/12</f>
        <v>0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0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2.8499999999999996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10.449999999999998</v>
      </c>
      <c r="H44" s="67">
        <f t="shared" si="1"/>
        <v>214.86666666666667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63.046418109691061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10.4</v>
      </c>
      <c r="N44" s="13">
        <f>IF('Données projet'!$A$36&gt;35,N43+M44-V43,IF(A44&lt;'Données projet'!$A$36,$K$205^A44,IF(A44='Données projet'!$A$36,'Données projet'!$B$36,N43+M44-V43)))</f>
        <v>426.39999999999964</v>
      </c>
      <c r="O44" s="13">
        <f>N44*VLOOKUP('Données projet'!$B$9,Paramètres!$A$1:$I$89,3,0)*VLOOKUP('Données projet'!$B$9,Paramètres!$A$1:$I$89,5,0)</f>
        <v>372.50303999999971</v>
      </c>
      <c r="P44" s="13">
        <f t="shared" si="33"/>
        <v>86.179183493623299</v>
      </c>
      <c r="Q44" s="20">
        <f t="shared" si="53"/>
        <v>798.87153925139353</v>
      </c>
      <c r="R44" s="59">
        <f t="shared" si="0"/>
        <v>1066.7084056535941</v>
      </c>
      <c r="S44" s="59">
        <f ca="1">AVERAGE(OFFSET($R$3,0,0,'Données projet'!$E$9+1,1))-AVERAGE(OFFSET($H$3,0,0,'Données projet'!$E$9+1,1))</f>
        <v>686.80970545599644</v>
      </c>
      <c r="T44" s="59">
        <f t="shared" si="34"/>
        <v>636.16485232937737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63.046418109691061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8.8333333333333339</v>
      </c>
      <c r="AI44" s="13">
        <f>IF('Données projet'!$A$62&gt;35,AI43+AH44-AQ43,IF(A44&lt;'Données projet'!$A$62,$AF$205^A44,IF(A44='Données projet'!$A$62,'Données projet'!$B$62,AI43+AH44-AQ43)))</f>
        <v>139.1666666666666</v>
      </c>
      <c r="AJ44" s="13">
        <f>AI44*VLOOKUP('Données projet'!$B$10,Paramètres!$A$1:$I$89,3,0)*VLOOKUP('Données projet'!$B$10,Paramètres!$A$1:$I$89,5,0)</f>
        <v>125.91799999999994</v>
      </c>
      <c r="AK44" s="13">
        <f t="shared" si="35"/>
        <v>33.051384765080037</v>
      </c>
      <c r="AL44" s="20">
        <f t="shared" si="4"/>
        <v>276.87167846584765</v>
      </c>
      <c r="AM44" s="59">
        <f t="shared" si="5"/>
        <v>544.70854486804819</v>
      </c>
      <c r="AN44" s="59">
        <f ca="1">AVERAGE(OFFSET($AM$3,0,0,'Données projet'!$E$10+1,1))-AVERAGE(OFFSET($H$3,0,0,'Données projet'!$E$10+1,1))</f>
        <v>323.67375363913726</v>
      </c>
      <c r="AO44" s="59">
        <f t="shared" si="36"/>
        <v>266.03902815735029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2.8047642889412079</v>
      </c>
      <c r="AV44" s="21">
        <f>EXP(-LN(2)/25)*AV43+(1-EXP(-LN(2)/25))/(LN(2)/25)*Calculateur!AQ44*Calculateur!AS44*VLOOKUP('Données projet'!$B$10,Paramètres!$A$1:$I$89,3,0)*0.475*44/12</f>
        <v>2.6852288033783416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5.4899930923195495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63.046418109691061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20.399999999999999</v>
      </c>
      <c r="BD44" s="12">
        <f>IF('Données projet'!$A$88&gt;35,BD43+BC44-BL43,IF(A44&lt;'Données projet'!$A$88,$BA$205^A44,IF(A44='Données projet'!$A$88,'Données projet'!$B$88,BD43+BC44-BL43)))</f>
        <v>519.40000000000009</v>
      </c>
      <c r="BE44" s="13">
        <f>BD44*VLOOKUP('Données projet'!$B$11,Paramètres!$A$1:$I$89,3,0)*VLOOKUP('Données projet'!$B$11,Paramètres!$A$1:$I$89,5,0)</f>
        <v>290.34460000000007</v>
      </c>
      <c r="BF44" s="13">
        <f t="shared" si="37"/>
        <v>69.148483049501621</v>
      </c>
      <c r="BG44" s="20">
        <f t="shared" si="7"/>
        <v>626.11711964454878</v>
      </c>
      <c r="BH44" s="59">
        <f t="shared" si="8"/>
        <v>893.95398604674938</v>
      </c>
      <c r="BI44" s="59">
        <f ca="1">AVERAGE(OFFSET($BH$3,0,0,'Données projet'!$E$11+1,1))-AVERAGE(OFFSET($H$3,0,0,'Données projet'!$E$11+1,1))</f>
        <v>371.46495716091965</v>
      </c>
      <c r="BJ44" s="59">
        <f t="shared" si="38"/>
        <v>579.95059529269417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54.776993796998852</v>
      </c>
      <c r="BQ44" s="21">
        <f>EXP(-LN(2)/25)*BQ43+(1-EXP(-LN(2)/25))/(LN(2)/25)*Calculateur!BL44*Calculateur!BN44*VLOOKUP('Données projet'!$B$11,Paramètres!$A$1:$I$89,3,0)*0.475*44/12</f>
        <v>22.41907632255846</v>
      </c>
      <c r="BR44" s="21">
        <f>EXP(-LN(2)/2)*BR43+(1-EXP(-LN(2)/2))/(LN(2)/2)*BL44*BO44*VLOOKUP('Données projet'!$B$11,Paramètres!$A$1:$I$89,3,0)*0.475*44/12</f>
        <v>3.1739648574465278</v>
      </c>
      <c r="BS44" s="22">
        <f t="shared" si="9"/>
        <v>80.370034977003826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63.046418109691061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54.8</v>
      </c>
      <c r="BY44" s="12">
        <f>IF('Données projet'!$A$114&gt;35,BY43+BX44-CG43,IF(A44&lt;'Données projet'!$A$114,$BV$205^A44,IF(A44='Données projet'!$A$114,'Données projet'!$B$114,BY43+BX44-CG43)))</f>
        <v>94.799999999999955</v>
      </c>
      <c r="BZ44" s="13">
        <f>BY44*VLOOKUP('Données projet'!$B$12,Paramètres!$A$1:$I$89,3,0)*VLOOKUP('Données projet'!$B$12,Paramètres!$A$1:$I$89,5,0)</f>
        <v>59.155199999999972</v>
      </c>
      <c r="CA44" s="13">
        <f t="shared" si="39"/>
        <v>16.954501113721644</v>
      </c>
      <c r="CB44" s="20">
        <f t="shared" si="10"/>
        <v>132.55772943973182</v>
      </c>
      <c r="CC44" s="59">
        <f t="shared" si="11"/>
        <v>400.39459584193236</v>
      </c>
      <c r="CD44" s="59">
        <f ca="1">AVERAGE(OFFSET($CC$3,0,0,'Données projet'!$E$12+1,1))-AVERAGE(OFFSET($H$3,0,0,'Données projet'!$E$12+1,1))</f>
        <v>180.18752244216969</v>
      </c>
      <c r="CE44" s="59">
        <f t="shared" si="40"/>
        <v>350.12096474554676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172.24650580627625</v>
      </c>
      <c r="CL44" s="21">
        <f>EXP(-LN(2)/25)*CL43+(1-EXP(-LN(2)/25))/(LN(2)/25)*Calculateur!CG44*Calculateur!CI44*VLOOKUP('Données projet'!$B$12,Paramètres!$A$1:$I$89,3,0)*0.475*44/12</f>
        <v>102.53679627770501</v>
      </c>
      <c r="CM44" s="21">
        <f>EXP(-LN(2)/2)*CM43+(1-EXP(-LN(2)/2))/(LN(2)/2)*CG44*CJ44*VLOOKUP('Données projet'!$B$12,Paramètres!$A$1:$I$89,3,0)*0.475*44/12</f>
        <v>29.271833091165448</v>
      </c>
      <c r="CN44" s="22">
        <f t="shared" si="12"/>
        <v>304.05513517514669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63.046418109691061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48</v>
      </c>
      <c r="CT44" s="12">
        <f>IF('Données projet'!$A$140&gt;35,CT43+CS44-DB43,IF(A44&lt;'Données projet'!$A$140,$CQ$205^A44,IF(A44='Données projet'!$A$140,'Données projet'!$B$140,CT43+CS44-DB43)))</f>
        <v>87.999999999999943</v>
      </c>
      <c r="CU44" s="17">
        <f>CT44*VLOOKUP('Données projet'!$B$13,Paramètres!$A$1:$I$89,3,0)*VLOOKUP('Données projet'!$B$13,Paramètres!$A$1:$I$89,5,0)</f>
        <v>70.012799999999956</v>
      </c>
      <c r="CV44" s="13">
        <f t="shared" si="41"/>
        <v>19.67663622868147</v>
      </c>
      <c r="CW44" s="20">
        <f t="shared" si="13"/>
        <v>156.20910143162016</v>
      </c>
      <c r="CX44" s="59">
        <f t="shared" si="14"/>
        <v>424.04596783382067</v>
      </c>
      <c r="CY44" s="59">
        <f ca="1">AVERAGE(OFFSET($CX$3,0,0,'Données projet'!$E$13+1,1))-AVERAGE(OFFSET($H$3,0,0,'Données projet'!$E$13+1,1))</f>
        <v>284.31574332240928</v>
      </c>
      <c r="CZ44" s="59">
        <f t="shared" si="42"/>
        <v>403.96994631683913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220.70711930873131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220.70711930873131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63.046418109691061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42</v>
      </c>
      <c r="DO44" s="12">
        <f>IF('Données projet'!$A$166&gt;35,DO43+DN44-DW43,IF(A44&lt;'Données projet'!$A$166,$DL$205^A44,IF(A44='Données projet'!$A$166,'Données projet'!$B$166,DO43+DN44-DW43)))</f>
        <v>42</v>
      </c>
      <c r="DP44" s="17">
        <f>DO44*VLOOKUP('Données projet'!$B$14,Paramètres!$A$1:$I$89,3,0)*VLOOKUP('Données projet'!$B$14,Paramètres!$A$1:$I$89,5,0)</f>
        <v>30.7944</v>
      </c>
      <c r="DQ44" s="13">
        <f t="shared" si="43"/>
        <v>9.5228227376882337</v>
      </c>
      <c r="DR44" s="20">
        <f t="shared" si="16"/>
        <v>70.219162934807017</v>
      </c>
      <c r="DS44" s="59">
        <f t="shared" si="17"/>
        <v>338.05602933700754</v>
      </c>
      <c r="DT44" s="59">
        <f ca="1">AVERAGE(OFFSET($DS$3,0,0,'Données projet'!$E$14+1,1))-AVERAGE(OFFSET($H$3,0,0,'Données projet'!$E$14+1,1))</f>
        <v>190.9519472160006</v>
      </c>
      <c r="DU44" s="59">
        <f t="shared" si="44"/>
        <v>170.61553500287511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113.50553128152357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113.50553128152357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63.046418109691061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34.200000000000003</v>
      </c>
      <c r="EJ44" s="12">
        <f>IF('Données projet'!$A$192&gt;35,EJ43+EI44-ER43,IF(A44&lt;'Données projet'!$A$192,$EG$205^A44,IF(A44='Données projet'!$A$192,'Données projet'!$B$192,EJ43+EI44-ER43)))</f>
        <v>69.200000000000045</v>
      </c>
      <c r="EK44" s="17">
        <f>EJ44*VLOOKUP('Données projet'!$B$15,Paramètres!$A$1:$I$89,3,0)*VLOOKUP('Données projet'!$B$15,Paramètres!$A$1:$I$89,5,0)</f>
        <v>59.373600000000053</v>
      </c>
      <c r="EL44" s="13">
        <f t="shared" si="45"/>
        <v>17.009798834217584</v>
      </c>
      <c r="EM44" s="20">
        <f t="shared" si="19"/>
        <v>133.03441963626241</v>
      </c>
      <c r="EN44" s="59">
        <f t="shared" si="20"/>
        <v>400.87128603846293</v>
      </c>
      <c r="EO44" s="59">
        <f ca="1">AVERAGE(OFFSET($EN$3,0,0,'Données projet'!$E$15+1,1))-AVERAGE(OFFSET($H$3,0,0,'Données projet'!$E$15+1,1))</f>
        <v>331.94255128154623</v>
      </c>
      <c r="EP44" s="59">
        <f t="shared" si="46"/>
        <v>258.40809812013964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82.137660340448875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82.137660340448875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63.046418109691061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41.2</v>
      </c>
      <c r="FE44" s="12">
        <f>IF('Données projet'!$A$218&gt;35,FE43+FD44-FM43,IF(A44&lt;'Données projet'!$A$218,$FB$205^A44,IF(A44='Données projet'!$A$218,'Données projet'!$B$218,FE43+FD44-FM43)))</f>
        <v>76.200000000000045</v>
      </c>
      <c r="FF44" s="17">
        <f>FE44*VLOOKUP('Données projet'!$B$16,Paramètres!$A$1:$I$89,3,0)*VLOOKUP('Données projet'!$B$16,Paramètres!$A$1:$I$89,5,0)</f>
        <v>72.511920000000046</v>
      </c>
      <c r="FG44" s="13">
        <f t="shared" si="47"/>
        <v>20.295970121250878</v>
      </c>
      <c r="FH44" s="20">
        <f t="shared" si="22"/>
        <v>161.64040862784535</v>
      </c>
      <c r="FI44" s="59">
        <f t="shared" si="23"/>
        <v>429.47727503004592</v>
      </c>
      <c r="FJ44" s="59">
        <f ca="1">AVERAGE(OFFSET($FI$3,0,0,'Données projet'!$E$16+1,1))-AVERAGE(OFFSET($H$3,0,0,'Données projet'!$E$16+1,1))</f>
        <v>290.72311302449236</v>
      </c>
      <c r="FK44" s="59">
        <f t="shared" si="48"/>
        <v>352.32552988394434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94.762087352507351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94.762087352507351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63.046418109691061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20.6</v>
      </c>
      <c r="FZ44" s="12">
        <f>IF('Données projet'!$A$244&gt;35,FZ43+FY44-GH43,IF(A44&lt;'Données projet'!$A$244,$FW$205^A44,IF(A44='Données projet'!$A$244,'Données projet'!$B$244,FZ43+FY44-GH43)))</f>
        <v>35.599999999999994</v>
      </c>
      <c r="GA44" s="17">
        <f>FZ44*VLOOKUP('Données projet'!$B$17,Paramètres!$A$1:$I$89,3,0)*VLOOKUP('Données projet'!$B$17,Paramètres!$A$1:$I$89,5,0)</f>
        <v>23.325119999999995</v>
      </c>
      <c r="GB44" s="13">
        <f t="shared" si="49"/>
        <v>7.4500854017956177</v>
      </c>
      <c r="GC44" s="20">
        <f t="shared" si="25"/>
        <v>53.600149408127358</v>
      </c>
      <c r="GD44" s="59">
        <f t="shared" si="26"/>
        <v>321.43701581032792</v>
      </c>
      <c r="GE44" s="59">
        <f ca="1">AVERAGE(OFFSET($GD$3,0,0,'Données projet'!$E$17+1,1))-AVERAGE(OFFSET($H$3,0,0,'Données projet'!$E$17+1,1))</f>
        <v>123.03972959251965</v>
      </c>
      <c r="GF44" s="59">
        <f t="shared" si="50"/>
        <v>178.27657680839445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21.116604106915826</v>
      </c>
      <c r="GM44" s="21">
        <f>EXP(-LN(2)/25)*GM43+(1-EXP(-LN(2)/25))/(LN(2)/25)*Calculateur!GH44*Calculateur!GJ44*VLOOKUP('Données projet'!$B$17,Paramètres!$A$1:$I$89,3,0)*0.475*44/12</f>
        <v>30.71773881481068</v>
      </c>
      <c r="GN44" s="21">
        <f>EXP(-LN(2)/2)*GN43+(1-EXP(-LN(2)/2))/(LN(2)/2)*GH44*GK44*VLOOKUP('Données projet'!$B$17,Paramètres!$A$1:$I$89,3,0)*0.475*44/12</f>
        <v>9.9379606878561475</v>
      </c>
      <c r="GO44" s="21">
        <f t="shared" si="27"/>
        <v>61.77230360958265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63.046418109691061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13.04</v>
      </c>
      <c r="GU44" s="12">
        <f>IF('Données projet'!$A$270&gt;35,GU43+GT44-HC43,IF(A44&lt;'Données projet'!$A$270,$GR$205^A44,IF(A44='Données projet'!$A$270,'Données projet'!$B$270,GU43+GT44-HC43)))</f>
        <v>534.64000000000021</v>
      </c>
      <c r="GV44" s="17">
        <f>GU44*VLOOKUP('Données projet'!$B$18,Paramètres!$A$1:$I$89,3,0)*VLOOKUP('Données projet'!$B$18,Paramètres!$A$1:$I$89,5,0)</f>
        <v>358.63651200000015</v>
      </c>
      <c r="GW44" s="13">
        <f t="shared" si="51"/>
        <v>83.338327968192175</v>
      </c>
      <c r="GX44" s="20">
        <f t="shared" si="28"/>
        <v>769.77284627793495</v>
      </c>
      <c r="GY44" s="59">
        <f t="shared" si="29"/>
        <v>1037.6097126801355</v>
      </c>
      <c r="GZ44" s="59">
        <f ca="1">AVERAGE(OFFSET($GY$3,0,0,'Données projet'!$E$18+1,1))-AVERAGE(OFFSET($H$3,0,0,'Données projet'!$E$18+1,1))</f>
        <v>542.25674729323623</v>
      </c>
      <c r="HA44" s="59">
        <f t="shared" si="52"/>
        <v>614.73906555680685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0</v>
      </c>
      <c r="HH44" s="21">
        <f>EXP(-LN(2)/25)*HH43+(1-EXP(-LN(2)/25))/(LN(2)/25)*Calculateur!HC44*Calculateur!HE44*VLOOKUP('Données projet'!$B$18,Paramètres!$A$1:$I$89,3,0)*0.475*44/12</f>
        <v>0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0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2.8499999999999996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10.449999999999998</v>
      </c>
      <c r="H45" s="67">
        <f t="shared" si="1"/>
        <v>214.86666666666667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63.167047209607759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10.4</v>
      </c>
      <c r="N45" s="13">
        <f>IF('Données projet'!$A$36&gt;35,N44+M45-V44,IF(A45&lt;'Données projet'!$A$36,$K$205^A45,IF(A45='Données projet'!$A$36,'Données projet'!$B$36,N44+M45-V44)))</f>
        <v>436.79999999999961</v>
      </c>
      <c r="O45" s="13">
        <f>N45*VLOOKUP('Données projet'!$B$9,Paramètres!$A$1:$I$89,3,0)*VLOOKUP('Données projet'!$B$9,Paramètres!$A$1:$I$89,5,0)</f>
        <v>381.58847999999972</v>
      </c>
      <c r="P45" s="13">
        <f t="shared" si="33"/>
        <v>88.033837207036399</v>
      </c>
      <c r="Q45" s="20">
        <f t="shared" si="53"/>
        <v>817.92553580225456</v>
      </c>
      <c r="R45" s="59">
        <f t="shared" si="0"/>
        <v>1086.2047089041496</v>
      </c>
      <c r="S45" s="59">
        <f ca="1">AVERAGE(OFFSET($R$3,0,0,'Données projet'!$E$9+1,1))-AVERAGE(OFFSET($H$3,0,0,'Données projet'!$E$9+1,1))</f>
        <v>686.80970545599644</v>
      </c>
      <c r="T45" s="59">
        <f t="shared" si="34"/>
        <v>636.16485232937737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63.167047209607759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148</v>
      </c>
      <c r="AG45" s="12">
        <f>VLOOKUP(A45,'Données projet'!$A$61:$I$81,9,0)</f>
        <v>8.8333333333333339</v>
      </c>
      <c r="AH45" s="12">
        <f t="array" ref="AH45">INDEX(AG:AG,MIN(IF(ISNUMBER(AG45:AG241),ROW(AG45:AG241),"")))</f>
        <v>8.8333333333333339</v>
      </c>
      <c r="AI45" s="13">
        <f>IF('Données projet'!$A$62&gt;35,AI44+AH45-AQ44,IF(A45&lt;'Données projet'!$A$62,$AF$205^A45,IF(A45='Données projet'!$A$62,'Données projet'!$B$62,AI44+AH45-AQ44)))</f>
        <v>147.99999999999994</v>
      </c>
      <c r="AJ45" s="13">
        <f>AI45*VLOOKUP('Données projet'!$B$10,Paramètres!$A$1:$I$89,3,0)*VLOOKUP('Données projet'!$B$10,Paramètres!$A$1:$I$89,5,0)</f>
        <v>133.91039999999995</v>
      </c>
      <c r="AK45" s="13">
        <f t="shared" si="35"/>
        <v>34.898373535125089</v>
      </c>
      <c r="AL45" s="20">
        <f t="shared" si="4"/>
        <v>294.00861390700948</v>
      </c>
      <c r="AM45" s="59">
        <f t="shared" si="5"/>
        <v>562.28778700890462</v>
      </c>
      <c r="AN45" s="59">
        <f ca="1">AVERAGE(OFFSET($AM$3,0,0,'Données projet'!$E$10+1,1))-AVERAGE(OFFSET($H$3,0,0,'Données projet'!$E$10+1,1))</f>
        <v>323.67375363913726</v>
      </c>
      <c r="AO45" s="59">
        <f t="shared" si="36"/>
        <v>266.03902815735029</v>
      </c>
      <c r="AP45" s="15">
        <f>IF(ISNA(VLOOKUP(A45,'Données projet'!$A$61:$I$81,3,0)),0,VLOOKUP(A45,'Données projet'!$A$61:$I$81,3,0))</f>
        <v>2</v>
      </c>
      <c r="AQ45" s="15">
        <f>IF(ISNA(VLOOKUP(A45,'Données projet'!$A$61:$I$81,4,0)),0,VLOOKUP(A45,'Données projet'!$A$61:$I$81,4,0))</f>
        <v>41</v>
      </c>
      <c r="AR45" s="16">
        <f>IF(ISNA(VLOOKUP(A45,'Données projet'!$A$61:$I$81,5,0)),0%,VLOOKUP(A45,'Données projet'!$A$61:$I$81,5,0)*VLOOKUP('Données projet'!$B$10,Paramètres!$A$1:$I$89,7,0))</f>
        <v>8.6000000000000007E-2</v>
      </c>
      <c r="AS45" s="16">
        <f>IF(ISNA(VLOOKUP(A45,'Données projet'!$A$61:$I$81,6,0)),0%,VLOOKUP(A45,'Données projet'!$A$61:$I$81,6,0)*VLOOKUP('Données projet'!$B$10,Paramètres!$A$1:$I$89,7,0))</f>
        <v>8.6000000000000007E-2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6.2765741394617489</v>
      </c>
      <c r="AV45" s="21">
        <f>EXP(-LN(2)/25)*AV44+(1-EXP(-LN(2)/25))/(LN(2)/25)*Calculateur!AQ45*Calculateur!AS45*VLOOKUP('Données projet'!$B$10,Paramètres!$A$1:$I$89,3,0)*0.475*44/12</f>
        <v>6.1247242549422944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12.401298394404044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63.167047209607759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20.399999999999999</v>
      </c>
      <c r="BD45" s="12">
        <f>IF('Données projet'!$A$88&gt;35,BD44+BC45-BL44,IF(A45&lt;'Données projet'!$A$88,$BA$205^A45,IF(A45='Données projet'!$A$88,'Données projet'!$B$88,BD44+BC45-BL44)))</f>
        <v>539.80000000000007</v>
      </c>
      <c r="BE45" s="13">
        <f>BD45*VLOOKUP('Données projet'!$B$11,Paramètres!$A$1:$I$89,3,0)*VLOOKUP('Données projet'!$B$11,Paramètres!$A$1:$I$89,5,0)</f>
        <v>301.74820000000005</v>
      </c>
      <c r="BF45" s="13">
        <f t="shared" si="37"/>
        <v>71.542829318170703</v>
      </c>
      <c r="BG45" s="20">
        <f t="shared" si="7"/>
        <v>650.14854272914738</v>
      </c>
      <c r="BH45" s="59">
        <f t="shared" si="8"/>
        <v>918.42771583104241</v>
      </c>
      <c r="BI45" s="59">
        <f ca="1">AVERAGE(OFFSET($BH$3,0,0,'Données projet'!$E$11+1,1))-AVERAGE(OFFSET($H$3,0,0,'Données projet'!$E$11+1,1))</f>
        <v>371.46495716091965</v>
      </c>
      <c r="BJ45" s="59">
        <f t="shared" si="38"/>
        <v>579.95059529269417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53.702850359306893</v>
      </c>
      <c r="BQ45" s="21">
        <f>EXP(-LN(2)/25)*BQ44+(1-EXP(-LN(2)/25))/(LN(2)/25)*Calculateur!BL45*Calculateur!BN45*VLOOKUP('Données projet'!$B$11,Paramètres!$A$1:$I$89,3,0)*0.475*44/12</f>
        <v>21.806025501550113</v>
      </c>
      <c r="BR45" s="21">
        <f>EXP(-LN(2)/2)*BR44+(1-EXP(-LN(2)/2))/(LN(2)/2)*BL45*BO45*VLOOKUP('Données projet'!$B$11,Paramètres!$A$1:$I$89,3,0)*0.475*44/12</f>
        <v>2.2443320739482338</v>
      </c>
      <c r="BS45" s="22">
        <f t="shared" si="9"/>
        <v>77.753207934805232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63.167047209607759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54.8</v>
      </c>
      <c r="BY45" s="12">
        <f>IF('Données projet'!$A$114&gt;35,BY44+BX45-CG44,IF(A45&lt;'Données projet'!$A$114,$BV$205^A45,IF(A45='Données projet'!$A$114,'Données projet'!$B$114,BY44+BX45-CG44)))</f>
        <v>149.59999999999997</v>
      </c>
      <c r="BZ45" s="13">
        <f>BY45*VLOOKUP('Données projet'!$B$12,Paramètres!$A$1:$I$89,3,0)*VLOOKUP('Données projet'!$B$12,Paramètres!$A$1:$I$89,5,0)</f>
        <v>93.350399999999979</v>
      </c>
      <c r="CA45" s="13">
        <f t="shared" si="39"/>
        <v>25.371533898375823</v>
      </c>
      <c r="CB45" s="20">
        <f t="shared" si="10"/>
        <v>206.77403487300452</v>
      </c>
      <c r="CC45" s="59">
        <f t="shared" si="11"/>
        <v>475.05320797489958</v>
      </c>
      <c r="CD45" s="59">
        <f ca="1">AVERAGE(OFFSET($CC$3,0,0,'Données projet'!$E$12+1,1))-AVERAGE(OFFSET($H$3,0,0,'Données projet'!$E$12+1,1))</f>
        <v>180.18752244216969</v>
      </c>
      <c r="CE45" s="59">
        <f t="shared" si="40"/>
        <v>350.12096474554676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168.86885688740989</v>
      </c>
      <c r="CL45" s="21">
        <f>EXP(-LN(2)/25)*CL44+(1-EXP(-LN(2)/25))/(LN(2)/25)*Calculateur!CG45*Calculateur!CI45*VLOOKUP('Données projet'!$B$12,Paramètres!$A$1:$I$89,3,0)*0.475*44/12</f>
        <v>99.732922191315396</v>
      </c>
      <c r="CM45" s="21">
        <f>EXP(-LN(2)/2)*CM44+(1-EXP(-LN(2)/2))/(LN(2)/2)*CG45*CJ45*VLOOKUP('Données projet'!$B$12,Paramètres!$A$1:$I$89,3,0)*0.475*44/12</f>
        <v>20.698311676523868</v>
      </c>
      <c r="CN45" s="22">
        <f t="shared" si="12"/>
        <v>289.30009075524913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63.167047209607759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48</v>
      </c>
      <c r="CT45" s="12">
        <f>IF('Données projet'!$A$140&gt;35,CT44+CS45-DB44,IF(A45&lt;'Données projet'!$A$140,$CQ$205^A45,IF(A45='Données projet'!$A$140,'Données projet'!$B$140,CT44+CS45-DB44)))</f>
        <v>135.99999999999994</v>
      </c>
      <c r="CU45" s="17">
        <f>CT45*VLOOKUP('Données projet'!$B$13,Paramètres!$A$1:$I$89,3,0)*VLOOKUP('Données projet'!$B$13,Paramètres!$A$1:$I$89,5,0)</f>
        <v>108.20159999999996</v>
      </c>
      <c r="CV45" s="13">
        <f t="shared" si="41"/>
        <v>28.90686185716126</v>
      </c>
      <c r="CW45" s="20">
        <f t="shared" si="13"/>
        <v>238.79723773455575</v>
      </c>
      <c r="CX45" s="59">
        <f t="shared" si="14"/>
        <v>507.0764108364508</v>
      </c>
      <c r="CY45" s="59">
        <f ca="1">AVERAGE(OFFSET($CX$3,0,0,'Données projet'!$E$13+1,1))-AVERAGE(OFFSET($H$3,0,0,'Données projet'!$E$13+1,1))</f>
        <v>284.31574332240928</v>
      </c>
      <c r="CZ45" s="59">
        <f t="shared" si="42"/>
        <v>403.96994631683913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216.37918731713745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216.37918731713745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63.167047209607759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42</v>
      </c>
      <c r="DO45" s="12">
        <f>IF('Données projet'!$A$166&gt;35,DO44+DN45-DW44,IF(A45&lt;'Données projet'!$A$166,$DL$205^A45,IF(A45='Données projet'!$A$166,'Données projet'!$B$166,DO44+DN45-DW44)))</f>
        <v>84</v>
      </c>
      <c r="DP45" s="17">
        <f>DO45*VLOOKUP('Données projet'!$B$14,Paramètres!$A$1:$I$89,3,0)*VLOOKUP('Données projet'!$B$14,Paramètres!$A$1:$I$89,5,0)</f>
        <v>61.588799999999999</v>
      </c>
      <c r="DQ45" s="13">
        <f t="shared" si="43"/>
        <v>17.56935444538782</v>
      </c>
      <c r="DR45" s="20">
        <f t="shared" si="16"/>
        <v>137.86711899238378</v>
      </c>
      <c r="DS45" s="59">
        <f t="shared" si="17"/>
        <v>406.14629209427886</v>
      </c>
      <c r="DT45" s="59">
        <f ca="1">AVERAGE(OFFSET($DS$3,0,0,'Données projet'!$E$14+1,1))-AVERAGE(OFFSET($H$3,0,0,'Données projet'!$E$14+1,1))</f>
        <v>190.9519472160006</v>
      </c>
      <c r="DU45" s="59">
        <f t="shared" si="44"/>
        <v>170.61553500287511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111.27975704463093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111.27975704463093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63.167047209607759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34.200000000000003</v>
      </c>
      <c r="EJ45" s="12">
        <f>IF('Données projet'!$A$192&gt;35,EJ44+EI45-ER44,IF(A45&lt;'Données projet'!$A$192,$EG$205^A45,IF(A45='Données projet'!$A$192,'Données projet'!$B$192,EJ44+EI45-ER44)))</f>
        <v>103.40000000000005</v>
      </c>
      <c r="EK45" s="17">
        <f>EJ45*VLOOKUP('Données projet'!$B$15,Paramètres!$A$1:$I$89,3,0)*VLOOKUP('Données projet'!$B$15,Paramètres!$A$1:$I$89,5,0)</f>
        <v>88.717200000000048</v>
      </c>
      <c r="EL45" s="13">
        <f t="shared" si="45"/>
        <v>24.255586507317101</v>
      </c>
      <c r="EM45" s="20">
        <f t="shared" si="19"/>
        <v>196.76093650024404</v>
      </c>
      <c r="EN45" s="59">
        <f t="shared" si="20"/>
        <v>465.04010960213913</v>
      </c>
      <c r="EO45" s="59">
        <f ca="1">AVERAGE(OFFSET($EN$3,0,0,'Données projet'!$E$15+1,1))-AVERAGE(OFFSET($H$3,0,0,'Données projet'!$E$15+1,1))</f>
        <v>331.94255128154623</v>
      </c>
      <c r="EP45" s="59">
        <f t="shared" si="46"/>
        <v>258.40809812013964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80.526990920198614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80.526990920198614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63.167047209607759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41.2</v>
      </c>
      <c r="FE45" s="12">
        <f>IF('Données projet'!$A$218&gt;35,FE44+FD45-FM44,IF(A45&lt;'Données projet'!$A$218,$FB$205^A45,IF(A45='Données projet'!$A$218,'Données projet'!$B$218,FE44+FD45-FM44)))</f>
        <v>117.40000000000005</v>
      </c>
      <c r="FF45" s="17">
        <f>FE45*VLOOKUP('Données projet'!$B$16,Paramètres!$A$1:$I$89,3,0)*VLOOKUP('Données projet'!$B$16,Paramètres!$A$1:$I$89,5,0)</f>
        <v>111.71784000000005</v>
      </c>
      <c r="FG45" s="13">
        <f t="shared" si="47"/>
        <v>29.735355333168318</v>
      </c>
      <c r="FH45" s="20">
        <f t="shared" si="22"/>
        <v>246.36431520526821</v>
      </c>
      <c r="FI45" s="59">
        <f t="shared" si="23"/>
        <v>514.64348830716335</v>
      </c>
      <c r="FJ45" s="59">
        <f ca="1">AVERAGE(OFFSET($FI$3,0,0,'Données projet'!$E$16+1,1))-AVERAGE(OFFSET($H$3,0,0,'Données projet'!$E$16+1,1))</f>
        <v>290.72311302449236</v>
      </c>
      <c r="FK45" s="59">
        <f t="shared" si="48"/>
        <v>352.32552988394434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92.903860618690771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92.903860618690771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63.167047209607759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20.6</v>
      </c>
      <c r="FZ45" s="12">
        <f>IF('Données projet'!$A$244&gt;35,FZ44+FY45-GH44,IF(A45&lt;'Données projet'!$A$244,$FW$205^A45,IF(A45='Données projet'!$A$244,'Données projet'!$B$244,FZ44+FY45-GH44)))</f>
        <v>56.199999999999996</v>
      </c>
      <c r="GA45" s="17">
        <f>FZ45*VLOOKUP('Données projet'!$B$17,Paramètres!$A$1:$I$89,3,0)*VLOOKUP('Données projet'!$B$17,Paramètres!$A$1:$I$89,5,0)</f>
        <v>36.822239999999994</v>
      </c>
      <c r="GB45" s="13">
        <f t="shared" si="49"/>
        <v>11.152366710789002</v>
      </c>
      <c r="GC45" s="20">
        <f t="shared" si="25"/>
        <v>83.555773354624165</v>
      </c>
      <c r="GD45" s="59">
        <f t="shared" si="26"/>
        <v>351.83494645651922</v>
      </c>
      <c r="GE45" s="59">
        <f ca="1">AVERAGE(OFFSET($GD$3,0,0,'Données projet'!$E$17+1,1))-AVERAGE(OFFSET($H$3,0,0,'Données projet'!$E$17+1,1))</f>
        <v>123.03972959251965</v>
      </c>
      <c r="GF45" s="59">
        <f t="shared" si="50"/>
        <v>178.27657680839445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20.702520380235931</v>
      </c>
      <c r="GM45" s="21">
        <f>EXP(-LN(2)/25)*GM44+(1-EXP(-LN(2)/25))/(LN(2)/25)*Calculateur!GH45*Calculateur!GJ45*VLOOKUP('Données projet'!$B$17,Paramètres!$A$1:$I$89,3,0)*0.475*44/12</f>
        <v>29.877760631544003</v>
      </c>
      <c r="GN45" s="21">
        <f>EXP(-LN(2)/2)*GN44+(1-EXP(-LN(2)/2))/(LN(2)/2)*GH45*GK45*VLOOKUP('Données projet'!$B$17,Paramètres!$A$1:$I$89,3,0)*0.475*44/12</f>
        <v>7.0271993935484085</v>
      </c>
      <c r="GO45" s="21">
        <f t="shared" si="27"/>
        <v>57.607480405328339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63.167047209607759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13.04</v>
      </c>
      <c r="GU45" s="12">
        <f>IF('Données projet'!$A$270&gt;35,GU44+GT45-HC44,IF(A45&lt;'Données projet'!$A$270,$GR$205^A45,IF(A45='Données projet'!$A$270,'Données projet'!$B$270,GU44+GT45-HC44)))</f>
        <v>547.68000000000018</v>
      </c>
      <c r="GV45" s="17">
        <f>GU45*VLOOKUP('Données projet'!$B$18,Paramètres!$A$1:$I$89,3,0)*VLOOKUP('Données projet'!$B$18,Paramètres!$A$1:$I$89,5,0)</f>
        <v>367.38374400000015</v>
      </c>
      <c r="GW45" s="13">
        <f t="shared" si="51"/>
        <v>85.131843909861416</v>
      </c>
      <c r="GX45" s="20">
        <f t="shared" si="28"/>
        <v>788.13131560967543</v>
      </c>
      <c r="GY45" s="59">
        <f t="shared" si="29"/>
        <v>1056.4104887115705</v>
      </c>
      <c r="GZ45" s="59">
        <f ca="1">AVERAGE(OFFSET($GY$3,0,0,'Données projet'!$E$18+1,1))-AVERAGE(OFFSET($H$3,0,0,'Données projet'!$E$18+1,1))</f>
        <v>542.25674729323623</v>
      </c>
      <c r="HA45" s="59">
        <f t="shared" si="52"/>
        <v>614.73906555680685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0</v>
      </c>
      <c r="HH45" s="21">
        <f>EXP(-LN(2)/25)*HH44+(1-EXP(-LN(2)/25))/(LN(2)/25)*Calculateur!HC45*Calculateur!HE45*VLOOKUP('Données projet'!$B$18,Paramètres!$A$1:$I$89,3,0)*0.475*44/12</f>
        <v>0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0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2.8499999999999996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10.449999999999998</v>
      </c>
      <c r="H46" s="67">
        <f t="shared" si="1"/>
        <v>214.86666666666667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63.285583664327163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10.4</v>
      </c>
      <c r="N46" s="13">
        <f>IF('Données projet'!$A$36&gt;35,N45+M46-V45,IF(A46&lt;'Données projet'!$A$36,$K$205^A46,IF(A46='Données projet'!$A$36,'Données projet'!$B$36,N45+M46-V45)))</f>
        <v>447.19999999999959</v>
      </c>
      <c r="O46" s="13">
        <f>N46*VLOOKUP('Données projet'!$B$9,Paramètres!$A$1:$I$89,3,0)*VLOOKUP('Données projet'!$B$9,Paramètres!$A$1:$I$89,5,0)</f>
        <v>390.67391999999967</v>
      </c>
      <c r="P46" s="13">
        <f t="shared" si="33"/>
        <v>89.883357483603689</v>
      </c>
      <c r="Q46" s="20">
        <f t="shared" si="53"/>
        <v>836.97059161727577</v>
      </c>
      <c r="R46" s="59">
        <f t="shared" si="0"/>
        <v>1105.6843983864753</v>
      </c>
      <c r="S46" s="59">
        <f ca="1">AVERAGE(OFFSET($R$3,0,0,'Données projet'!$E$9+1,1))-AVERAGE(OFFSET($H$3,0,0,'Données projet'!$E$9+1,1))</f>
        <v>686.80970545599644</v>
      </c>
      <c r="T46" s="59">
        <f t="shared" si="34"/>
        <v>636.16485232937737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63.285583664327163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8.3333333333333339</v>
      </c>
      <c r="AI46" s="13">
        <f>IF('Données projet'!$A$62&gt;35,AI45+AH46-AQ45,IF(A46&lt;'Données projet'!$A$62,$AF$205^A46,IF(A46='Données projet'!$A$62,'Données projet'!$B$62,AI45+AH46-AQ45)))</f>
        <v>115.33333333333329</v>
      </c>
      <c r="AJ46" s="13">
        <f>AI46*VLOOKUP('Données projet'!$B$10,Paramètres!$A$1:$I$89,3,0)*VLOOKUP('Données projet'!$B$10,Paramètres!$A$1:$I$89,5,0)</f>
        <v>104.35359999999996</v>
      </c>
      <c r="AK46" s="13">
        <f t="shared" si="35"/>
        <v>27.996596320952644</v>
      </c>
      <c r="AL46" s="20">
        <f t="shared" si="4"/>
        <v>230.50992525899244</v>
      </c>
      <c r="AM46" s="59">
        <f t="shared" si="5"/>
        <v>499.22373202819205</v>
      </c>
      <c r="AN46" s="59">
        <f ca="1">AVERAGE(OFFSET($AM$3,0,0,'Données projet'!$E$10+1,1))-AVERAGE(OFFSET($H$3,0,0,'Données projet'!$E$10+1,1))</f>
        <v>323.67375363913726</v>
      </c>
      <c r="AO46" s="59">
        <f t="shared" si="36"/>
        <v>266.03902815735029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6.1534943489191125</v>
      </c>
      <c r="AV46" s="21">
        <f>EXP(-LN(2)/25)*AV45+(1-EXP(-LN(2)/25))/(LN(2)/25)*Calculateur!AQ46*Calculateur!AS46*VLOOKUP('Données projet'!$B$10,Paramètres!$A$1:$I$89,3,0)*0.475*44/12</f>
        <v>5.9572433481056475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12.11073769702476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63.285583664327163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20.399999999999999</v>
      </c>
      <c r="BD46" s="12">
        <f>IF('Données projet'!$A$88&gt;35,BD45+BC46-BL45,IF(A46&lt;'Données projet'!$A$88,$BA$205^A46,IF(A46='Données projet'!$A$88,'Données projet'!$B$88,BD45+BC46-BL45)))</f>
        <v>560.20000000000005</v>
      </c>
      <c r="BE46" s="13">
        <f>BD46*VLOOKUP('Données projet'!$B$11,Paramètres!$A$1:$I$89,3,0)*VLOOKUP('Données projet'!$B$11,Paramètres!$A$1:$I$89,5,0)</f>
        <v>313.15180000000004</v>
      </c>
      <c r="BF46" s="13">
        <f t="shared" si="37"/>
        <v>73.926663436613353</v>
      </c>
      <c r="BG46" s="20">
        <f t="shared" si="7"/>
        <v>674.16165715210161</v>
      </c>
      <c r="BH46" s="59">
        <f t="shared" si="8"/>
        <v>942.87546392130116</v>
      </c>
      <c r="BI46" s="59">
        <f ca="1">AVERAGE(OFFSET($BH$3,0,0,'Données projet'!$E$11+1,1))-AVERAGE(OFFSET($H$3,0,0,'Données projet'!$E$11+1,1))</f>
        <v>371.46495716091965</v>
      </c>
      <c r="BJ46" s="59">
        <f t="shared" si="38"/>
        <v>579.95059529269417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52.649770219265264</v>
      </c>
      <c r="BQ46" s="21">
        <f>EXP(-LN(2)/25)*BQ45+(1-EXP(-LN(2)/25))/(LN(2)/25)*Calculateur!BL46*Calculateur!BN46*VLOOKUP('Données projet'!$B$11,Paramètres!$A$1:$I$89,3,0)*0.475*44/12</f>
        <v>21.209738587481183</v>
      </c>
      <c r="BR46" s="21">
        <f>EXP(-LN(2)/2)*BR45+(1-EXP(-LN(2)/2))/(LN(2)/2)*BL46*BO46*VLOOKUP('Données projet'!$B$11,Paramètres!$A$1:$I$89,3,0)*0.475*44/12</f>
        <v>1.5869824287232643</v>
      </c>
      <c r="BS46" s="22">
        <f t="shared" si="9"/>
        <v>75.446491235469708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63.285583664327163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54.8</v>
      </c>
      <c r="BY46" s="12">
        <f>IF('Données projet'!$A$114&gt;35,BY45+BX46-CG45,IF(A46&lt;'Données projet'!$A$114,$BV$205^A46,IF(A46='Données projet'!$A$114,'Données projet'!$B$114,BY45+BX46-CG45)))</f>
        <v>204.39999999999998</v>
      </c>
      <c r="BZ46" s="13">
        <f>BY46*VLOOKUP('Données projet'!$B$12,Paramètres!$A$1:$I$89,3,0)*VLOOKUP('Données projet'!$B$12,Paramètres!$A$1:$I$89,5,0)</f>
        <v>127.54559999999998</v>
      </c>
      <c r="CA46" s="13">
        <f t="shared" si="39"/>
        <v>33.428591950384806</v>
      </c>
      <c r="CB46" s="20">
        <f t="shared" si="10"/>
        <v>280.36338431358683</v>
      </c>
      <c r="CC46" s="59">
        <f t="shared" si="11"/>
        <v>549.07719108278638</v>
      </c>
      <c r="CD46" s="59">
        <f ca="1">AVERAGE(OFFSET($CC$3,0,0,'Données projet'!$E$12+1,1))-AVERAGE(OFFSET($H$3,0,0,'Données projet'!$E$12+1,1))</f>
        <v>180.18752244216969</v>
      </c>
      <c r="CE46" s="59">
        <f t="shared" si="40"/>
        <v>350.12096474554676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165.5574416036801</v>
      </c>
      <c r="CL46" s="21">
        <f>EXP(-LN(2)/25)*CL45+(1-EXP(-LN(2)/25))/(LN(2)/25)*Calculateur!CG46*Calculateur!CI46*VLOOKUP('Données projet'!$B$12,Paramètres!$A$1:$I$89,3,0)*0.475*44/12</f>
        <v>97.005720189267436</v>
      </c>
      <c r="CM46" s="21">
        <f>EXP(-LN(2)/2)*CM45+(1-EXP(-LN(2)/2))/(LN(2)/2)*CG46*CJ46*VLOOKUP('Données projet'!$B$12,Paramètres!$A$1:$I$89,3,0)*0.475*44/12</f>
        <v>14.635916545582726</v>
      </c>
      <c r="CN46" s="22">
        <f t="shared" si="12"/>
        <v>277.19907833853028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63.285583664327163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48</v>
      </c>
      <c r="CT46" s="12">
        <f>IF('Données projet'!$A$140&gt;35,CT45+CS46-DB45,IF(A46&lt;'Données projet'!$A$140,$CQ$205^A46,IF(A46='Données projet'!$A$140,'Données projet'!$B$140,CT45+CS46-DB45)))</f>
        <v>183.99999999999994</v>
      </c>
      <c r="CU46" s="17">
        <f>CT46*VLOOKUP('Données projet'!$B$13,Paramètres!$A$1:$I$89,3,0)*VLOOKUP('Données projet'!$B$13,Paramètres!$A$1:$I$89,5,0)</f>
        <v>146.39039999999997</v>
      </c>
      <c r="CV46" s="13">
        <f t="shared" si="41"/>
        <v>37.757131804538304</v>
      </c>
      <c r="CW46" s="20">
        <f t="shared" si="13"/>
        <v>320.7236178929042</v>
      </c>
      <c r="CX46" s="59">
        <f t="shared" si="14"/>
        <v>589.43742466210381</v>
      </c>
      <c r="CY46" s="59">
        <f ca="1">AVERAGE(OFFSET($CX$3,0,0,'Données projet'!$E$13+1,1))-AVERAGE(OFFSET($H$3,0,0,'Données projet'!$E$13+1,1))</f>
        <v>284.31574332240928</v>
      </c>
      <c r="CZ46" s="59">
        <f t="shared" si="42"/>
        <v>403.96994631683913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212.13612343212088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212.13612343212088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63.285583664327163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42</v>
      </c>
      <c r="DO46" s="12">
        <f>IF('Données projet'!$A$166&gt;35,DO45+DN46-DW45,IF(A46&lt;'Données projet'!$A$166,$DL$205^A46,IF(A46='Données projet'!$A$166,'Données projet'!$B$166,DO45+DN46-DW45)))</f>
        <v>126</v>
      </c>
      <c r="DP46" s="17">
        <f>DO46*VLOOKUP('Données projet'!$B$14,Paramètres!$A$1:$I$89,3,0)*VLOOKUP('Données projet'!$B$14,Paramètres!$A$1:$I$89,5,0)</f>
        <v>92.383200000000002</v>
      </c>
      <c r="DQ46" s="13">
        <f t="shared" si="43"/>
        <v>25.13911825557507</v>
      </c>
      <c r="DR46" s="20">
        <f t="shared" si="16"/>
        <v>204.68470429512658</v>
      </c>
      <c r="DS46" s="59">
        <f t="shared" si="17"/>
        <v>473.39851106432616</v>
      </c>
      <c r="DT46" s="59">
        <f ca="1">AVERAGE(OFFSET($DS$3,0,0,'Données projet'!$E$14+1,1))-AVERAGE(OFFSET($H$3,0,0,'Données projet'!$E$14+1,1))</f>
        <v>190.9519472160006</v>
      </c>
      <c r="DU46" s="59">
        <f t="shared" si="44"/>
        <v>170.61553500287511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109.09762888293551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109.09762888293551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63.285583664327163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34.200000000000003</v>
      </c>
      <c r="EJ46" s="12">
        <f>IF('Données projet'!$A$192&gt;35,EJ45+EI46-ER45,IF(A46&lt;'Données projet'!$A$192,$EG$205^A46,IF(A46='Données projet'!$A$192,'Données projet'!$B$192,EJ45+EI46-ER45)))</f>
        <v>137.60000000000005</v>
      </c>
      <c r="EK46" s="17">
        <f>EJ46*VLOOKUP('Données projet'!$B$15,Paramètres!$A$1:$I$89,3,0)*VLOOKUP('Données projet'!$B$15,Paramètres!$A$1:$I$89,5,0)</f>
        <v>118.06080000000006</v>
      </c>
      <c r="EL46" s="13">
        <f t="shared" si="45"/>
        <v>31.222284778272353</v>
      </c>
      <c r="EM46" s="20">
        <f t="shared" si="19"/>
        <v>260.00137265549108</v>
      </c>
      <c r="EN46" s="59">
        <f t="shared" si="20"/>
        <v>528.71517942469063</v>
      </c>
      <c r="EO46" s="59">
        <f ca="1">AVERAGE(OFFSET($EN$3,0,0,'Données projet'!$E$15+1,1))-AVERAGE(OFFSET($H$3,0,0,'Données projet'!$E$15+1,1))</f>
        <v>331.94255128154623</v>
      </c>
      <c r="EP46" s="59">
        <f t="shared" si="46"/>
        <v>258.40809812013964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78.947905744868123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78.947905744868123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63.285583664327163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41.2</v>
      </c>
      <c r="FE46" s="12">
        <f>IF('Données projet'!$A$218&gt;35,FE45+FD46-FM45,IF(A46&lt;'Données projet'!$A$218,$FB$205^A46,IF(A46='Données projet'!$A$218,'Données projet'!$B$218,FE45+FD46-FM45)))</f>
        <v>158.60000000000005</v>
      </c>
      <c r="FF46" s="17">
        <f>FE46*VLOOKUP('Données projet'!$B$16,Paramètres!$A$1:$I$89,3,0)*VLOOKUP('Données projet'!$B$16,Paramètres!$A$1:$I$89,5,0)</f>
        <v>150.92376000000004</v>
      </c>
      <c r="FG46" s="13">
        <f t="shared" si="47"/>
        <v>38.788438325438818</v>
      </c>
      <c r="FH46" s="20">
        <f t="shared" si="22"/>
        <v>330.41541208347263</v>
      </c>
      <c r="FI46" s="59">
        <f t="shared" si="23"/>
        <v>599.12921885267224</v>
      </c>
      <c r="FJ46" s="59">
        <f ca="1">AVERAGE(OFFSET($FI$3,0,0,'Données projet'!$E$16+1,1))-AVERAGE(OFFSET($H$3,0,0,'Données projet'!$E$16+1,1))</f>
        <v>290.72311302449236</v>
      </c>
      <c r="FK46" s="59">
        <f t="shared" si="48"/>
        <v>352.32552988394434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91.082072577717938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91.082072577717938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63.285583664327163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20.6</v>
      </c>
      <c r="FZ46" s="12">
        <f>IF('Données projet'!$A$244&gt;35,FZ45+FY46-GH45,IF(A46&lt;'Données projet'!$A$244,$FW$205^A46,IF(A46='Données projet'!$A$244,'Données projet'!$B$244,FZ45+FY46-GH45)))</f>
        <v>76.8</v>
      </c>
      <c r="GA46" s="17">
        <f>FZ46*VLOOKUP('Données projet'!$B$17,Paramètres!$A$1:$I$89,3,0)*VLOOKUP('Données projet'!$B$17,Paramètres!$A$1:$I$89,5,0)</f>
        <v>50.319360000000003</v>
      </c>
      <c r="GB46" s="13">
        <f t="shared" si="49"/>
        <v>14.696205189477473</v>
      </c>
      <c r="GC46" s="20">
        <f t="shared" si="25"/>
        <v>113.23544270500661</v>
      </c>
      <c r="GD46" s="59">
        <f t="shared" si="26"/>
        <v>381.94924947420623</v>
      </c>
      <c r="GE46" s="59">
        <f ca="1">AVERAGE(OFFSET($GD$3,0,0,'Données projet'!$E$17+1,1))-AVERAGE(OFFSET($H$3,0,0,'Données projet'!$E$17+1,1))</f>
        <v>123.03972959251965</v>
      </c>
      <c r="GF46" s="59">
        <f t="shared" si="50"/>
        <v>178.27657680839445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20.296556582870096</v>
      </c>
      <c r="GM46" s="21">
        <f>EXP(-LN(2)/25)*GM45+(1-EXP(-LN(2)/25))/(LN(2)/25)*Calculateur!GH46*Calculateur!GJ46*VLOOKUP('Données projet'!$B$17,Paramètres!$A$1:$I$89,3,0)*0.475*44/12</f>
        <v>29.060751695871286</v>
      </c>
      <c r="GN46" s="21">
        <f>EXP(-LN(2)/2)*GN45+(1-EXP(-LN(2)/2))/(LN(2)/2)*GH46*GK46*VLOOKUP('Données projet'!$B$17,Paramètres!$A$1:$I$89,3,0)*0.475*44/12</f>
        <v>4.9689803439280746</v>
      </c>
      <c r="GO46" s="21">
        <f t="shared" si="27"/>
        <v>54.326288622669459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63.285583664327163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13.04</v>
      </c>
      <c r="GU46" s="12">
        <f>IF('Données projet'!$A$270&gt;35,GU45+GT46-HC45,IF(A46&lt;'Données projet'!$A$270,$GR$205^A46,IF(A46='Données projet'!$A$270,'Données projet'!$B$270,GU45+GT46-HC45)))</f>
        <v>560.72000000000014</v>
      </c>
      <c r="GV46" s="17">
        <f>GU46*VLOOKUP('Données projet'!$B$18,Paramètres!$A$1:$I$89,3,0)*VLOOKUP('Données projet'!$B$18,Paramètres!$A$1:$I$89,5,0)</f>
        <v>376.13097600000009</v>
      </c>
      <c r="GW46" s="13">
        <f t="shared" si="51"/>
        <v>86.920395635972696</v>
      </c>
      <c r="GX46" s="20">
        <f t="shared" si="28"/>
        <v>806.48113893265247</v>
      </c>
      <c r="GY46" s="59">
        <f t="shared" si="29"/>
        <v>1075.194945701852</v>
      </c>
      <c r="GZ46" s="59">
        <f ca="1">AVERAGE(OFFSET($GY$3,0,0,'Données projet'!$E$18+1,1))-AVERAGE(OFFSET($H$3,0,0,'Données projet'!$E$18+1,1))</f>
        <v>542.25674729323623</v>
      </c>
      <c r="HA46" s="59">
        <f t="shared" si="52"/>
        <v>614.73906555680685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0</v>
      </c>
      <c r="HH46" s="21">
        <f>EXP(-LN(2)/25)*HH45+(1-EXP(-LN(2)/25))/(LN(2)/25)*Calculateur!HC46*Calculateur!HE46*VLOOKUP('Données projet'!$B$18,Paramètres!$A$1:$I$89,3,0)*0.475*44/12</f>
        <v>0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0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2.8499999999999996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10.449999999999998</v>
      </c>
      <c r="H47" s="67">
        <f t="shared" si="1"/>
        <v>214.86666666666667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63.402063776565001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10.4</v>
      </c>
      <c r="N47" s="13">
        <f>IF('Données projet'!$A$36&gt;35,N46+M47-V46,IF(A47&lt;'Données projet'!$A$36,$K$205^A47,IF(A47='Données projet'!$A$36,'Données projet'!$B$36,N46+M47-V46)))</f>
        <v>457.59999999999957</v>
      </c>
      <c r="O47" s="13">
        <f>N47*VLOOKUP('Données projet'!$B$9,Paramètres!$A$1:$I$89,3,0)*VLOOKUP('Données projet'!$B$9,Paramètres!$A$1:$I$89,5,0)</f>
        <v>399.75935999999973</v>
      </c>
      <c r="P47" s="13">
        <f t="shared" si="33"/>
        <v>91.727877445698709</v>
      </c>
      <c r="Q47" s="20">
        <f t="shared" si="53"/>
        <v>856.00693855125803</v>
      </c>
      <c r="R47" s="59">
        <f t="shared" si="0"/>
        <v>1125.1478390653297</v>
      </c>
      <c r="S47" s="59">
        <f ca="1">AVERAGE(OFFSET($R$3,0,0,'Données projet'!$E$9+1,1))-AVERAGE(OFFSET($H$3,0,0,'Données projet'!$E$9+1,1))</f>
        <v>686.80970545599644</v>
      </c>
      <c r="T47" s="59">
        <f t="shared" si="34"/>
        <v>636.16485232937737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63.402063776565001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8.3333333333333339</v>
      </c>
      <c r="AI47" s="13">
        <f>IF('Données projet'!$A$62&gt;35,AI46+AH47-AQ46,IF(A47&lt;'Données projet'!$A$62,$AF$205^A47,IF(A47='Données projet'!$A$62,'Données projet'!$B$62,AI46+AH47-AQ46)))</f>
        <v>123.66666666666661</v>
      </c>
      <c r="AJ47" s="13">
        <f>AI47*VLOOKUP('Données projet'!$B$10,Paramètres!$A$1:$I$89,3,0)*VLOOKUP('Données projet'!$B$10,Paramètres!$A$1:$I$89,5,0)</f>
        <v>111.89359999999995</v>
      </c>
      <c r="AK47" s="13">
        <f t="shared" si="35"/>
        <v>29.776687351139607</v>
      </c>
      <c r="AL47" s="20">
        <f t="shared" si="4"/>
        <v>246.74241713656806</v>
      </c>
      <c r="AM47" s="59">
        <f t="shared" si="5"/>
        <v>515.88331765063981</v>
      </c>
      <c r="AN47" s="59">
        <f ca="1">AVERAGE(OFFSET($AM$3,0,0,'Données projet'!$E$10+1,1))-AVERAGE(OFFSET($H$3,0,0,'Données projet'!$E$10+1,1))</f>
        <v>323.67375363913726</v>
      </c>
      <c r="AO47" s="59">
        <f t="shared" si="36"/>
        <v>266.03902815735029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6.0328280779977579</v>
      </c>
      <c r="AV47" s="21">
        <f>EXP(-LN(2)/25)*AV46+(1-EXP(-LN(2)/25))/(LN(2)/25)*Calculateur!AQ47*Calculateur!AS47*VLOOKUP('Données projet'!$B$10,Paramètres!$A$1:$I$89,3,0)*0.475*44/12</f>
        <v>5.7943422154738862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11.827170293471644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63.402063776565001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20.399999999999999</v>
      </c>
      <c r="BD47" s="12">
        <f>IF('Données projet'!$A$88&gt;35,BD46+BC47-BL46,IF(A47&lt;'Données projet'!$A$88,$BA$205^A47,IF(A47='Données projet'!$A$88,'Données projet'!$B$88,BD46+BC47-BL46)))</f>
        <v>580.6</v>
      </c>
      <c r="BE47" s="13">
        <f>BD47*VLOOKUP('Données projet'!$B$11,Paramètres!$A$1:$I$89,3,0)*VLOOKUP('Données projet'!$B$11,Paramètres!$A$1:$I$89,5,0)</f>
        <v>324.55540000000002</v>
      </c>
      <c r="BF47" s="13">
        <f t="shared" si="37"/>
        <v>76.300412056684536</v>
      </c>
      <c r="BG47" s="20">
        <f t="shared" si="7"/>
        <v>698.15720599872554</v>
      </c>
      <c r="BH47" s="59">
        <f t="shared" si="8"/>
        <v>967.29810651279718</v>
      </c>
      <c r="BI47" s="59">
        <f ca="1">AVERAGE(OFFSET($BH$3,0,0,'Données projet'!$E$11+1,1))-AVERAGE(OFFSET($H$3,0,0,'Données projet'!$E$11+1,1))</f>
        <v>371.46495716091965</v>
      </c>
      <c r="BJ47" s="59">
        <f t="shared" si="38"/>
        <v>579.95059529269417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51.61734033845439</v>
      </c>
      <c r="BQ47" s="21">
        <f>EXP(-LN(2)/25)*BQ46+(1-EXP(-LN(2)/25))/(LN(2)/25)*Calculateur!BL47*Calculateur!BN47*VLOOKUP('Données projet'!$B$11,Paramètres!$A$1:$I$89,3,0)*0.475*44/12</f>
        <v>20.629757170434832</v>
      </c>
      <c r="BR47" s="21">
        <f>EXP(-LN(2)/2)*BR46+(1-EXP(-LN(2)/2))/(LN(2)/2)*BL47*BO47*VLOOKUP('Données projet'!$B$11,Paramètres!$A$1:$I$89,3,0)*0.475*44/12</f>
        <v>1.1221660369741171</v>
      </c>
      <c r="BS47" s="22">
        <f t="shared" si="9"/>
        <v>73.369263545863348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63.402063776565001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54.8</v>
      </c>
      <c r="BY47" s="12">
        <f>IF('Données projet'!$A$114&gt;35,BY46+BX47-CG46,IF(A47&lt;'Données projet'!$A$114,$BV$205^A47,IF(A47='Données projet'!$A$114,'Données projet'!$B$114,BY46+BX47-CG46)))</f>
        <v>259.2</v>
      </c>
      <c r="BZ47" s="13">
        <f>BY47*VLOOKUP('Données projet'!$B$12,Paramètres!$A$1:$I$89,3,0)*VLOOKUP('Données projet'!$B$12,Paramètres!$A$1:$I$89,5,0)</f>
        <v>161.74080000000001</v>
      </c>
      <c r="CA47" s="13">
        <f t="shared" si="39"/>
        <v>41.234910079352424</v>
      </c>
      <c r="CB47" s="20">
        <f t="shared" si="10"/>
        <v>353.51602838820548</v>
      </c>
      <c r="CC47" s="59">
        <f t="shared" si="11"/>
        <v>622.65692890227717</v>
      </c>
      <c r="CD47" s="59">
        <f ca="1">AVERAGE(OFFSET($CC$3,0,0,'Données projet'!$E$12+1,1))-AVERAGE(OFFSET($H$3,0,0,'Données projet'!$E$12+1,1))</f>
        <v>180.18752244216969</v>
      </c>
      <c r="CE47" s="59">
        <f t="shared" si="40"/>
        <v>350.12096474554676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162.31096115390037</v>
      </c>
      <c r="CL47" s="21">
        <f>EXP(-LN(2)/25)*CL46+(1-EXP(-LN(2)/25))/(LN(2)/25)*Calculateur!CG47*Calculateur!CI47*VLOOKUP('Données projet'!$B$12,Paramètres!$A$1:$I$89,3,0)*0.475*44/12</f>
        <v>94.353093669382801</v>
      </c>
      <c r="CM47" s="21">
        <f>EXP(-LN(2)/2)*CM46+(1-EXP(-LN(2)/2))/(LN(2)/2)*CG47*CJ47*VLOOKUP('Données projet'!$B$12,Paramètres!$A$1:$I$89,3,0)*0.475*44/12</f>
        <v>10.349155838261936</v>
      </c>
      <c r="CN47" s="22">
        <f t="shared" si="12"/>
        <v>267.01321066154509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63.402063776565001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48</v>
      </c>
      <c r="CT47" s="12">
        <f>IF('Données projet'!$A$140&gt;35,CT46+CS47-DB46,IF(A47&lt;'Données projet'!$A$140,$CQ$205^A47,IF(A47='Données projet'!$A$140,'Données projet'!$B$140,CT46+CS47-DB46)))</f>
        <v>231.99999999999994</v>
      </c>
      <c r="CU47" s="17">
        <f>CT47*VLOOKUP('Données projet'!$B$13,Paramètres!$A$1:$I$89,3,0)*VLOOKUP('Données projet'!$B$13,Paramètres!$A$1:$I$89,5,0)</f>
        <v>184.57919999999999</v>
      </c>
      <c r="CV47" s="13">
        <f t="shared" si="41"/>
        <v>46.339479465836618</v>
      </c>
      <c r="CW47" s="20">
        <f t="shared" si="13"/>
        <v>402.18336673633206</v>
      </c>
      <c r="CX47" s="59">
        <f t="shared" si="14"/>
        <v>671.32426725040375</v>
      </c>
      <c r="CY47" s="59">
        <f ca="1">AVERAGE(OFFSET($CX$3,0,0,'Données projet'!$E$13+1,1))-AVERAGE(OFFSET($H$3,0,0,'Données projet'!$E$13+1,1))</f>
        <v>284.31574332240928</v>
      </c>
      <c r="CZ47" s="59">
        <f t="shared" si="42"/>
        <v>403.96994631683913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207.97626344187606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207.97626344187606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63.402063776565001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42</v>
      </c>
      <c r="DO47" s="12">
        <f>IF('Données projet'!$A$166&gt;35,DO46+DN47-DW46,IF(A47&lt;'Données projet'!$A$166,$DL$205^A47,IF(A47='Données projet'!$A$166,'Données projet'!$B$166,DO46+DN47-DW46)))</f>
        <v>168</v>
      </c>
      <c r="DP47" s="17">
        <f>DO47*VLOOKUP('Données projet'!$B$14,Paramètres!$A$1:$I$89,3,0)*VLOOKUP('Données projet'!$B$14,Paramètres!$A$1:$I$89,5,0)</f>
        <v>123.1776</v>
      </c>
      <c r="DQ47" s="13">
        <f t="shared" si="43"/>
        <v>32.414991240570416</v>
      </c>
      <c r="DR47" s="20">
        <f t="shared" si="16"/>
        <v>270.99042974399345</v>
      </c>
      <c r="DS47" s="59">
        <f t="shared" si="17"/>
        <v>540.13133025806519</v>
      </c>
      <c r="DT47" s="59">
        <f ca="1">AVERAGE(OFFSET($DS$3,0,0,'Données projet'!$E$14+1,1))-AVERAGE(OFFSET($H$3,0,0,'Données projet'!$E$14+1,1))</f>
        <v>190.9519472160006</v>
      </c>
      <c r="DU47" s="59">
        <f t="shared" si="44"/>
        <v>170.61553500287511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106.95829092352419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106.95829092352419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63.402063776565001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34.200000000000003</v>
      </c>
      <c r="EJ47" s="12">
        <f>IF('Données projet'!$A$192&gt;35,EJ46+EI47-ER46,IF(A47&lt;'Données projet'!$A$192,$EG$205^A47,IF(A47='Données projet'!$A$192,'Données projet'!$B$192,EJ46+EI47-ER46)))</f>
        <v>171.80000000000007</v>
      </c>
      <c r="EK47" s="17">
        <f>EJ47*VLOOKUP('Données projet'!$B$15,Paramètres!$A$1:$I$89,3,0)*VLOOKUP('Données projet'!$B$15,Paramètres!$A$1:$I$89,5,0)</f>
        <v>147.40440000000009</v>
      </c>
      <c r="EL47" s="13">
        <f t="shared" si="45"/>
        <v>37.988128303044014</v>
      </c>
      <c r="EM47" s="20">
        <f t="shared" si="19"/>
        <v>322.89198679446849</v>
      </c>
      <c r="EN47" s="59">
        <f t="shared" si="20"/>
        <v>592.03288730854024</v>
      </c>
      <c r="EO47" s="59">
        <f ca="1">AVERAGE(OFFSET($EN$3,0,0,'Données projet'!$E$15+1,1))-AVERAGE(OFFSET($H$3,0,0,'Données projet'!$E$15+1,1))</f>
        <v>331.94255128154623</v>
      </c>
      <c r="EP47" s="59">
        <f t="shared" si="46"/>
        <v>258.40809812013964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77.399785466679006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77.399785466679006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63.402063776565001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41.2</v>
      </c>
      <c r="FE47" s="12">
        <f>IF('Données projet'!$A$218&gt;35,FE46+FD47-FM46,IF(A47&lt;'Données projet'!$A$218,$FB$205^A47,IF(A47='Données projet'!$A$218,'Données projet'!$B$218,FE46+FD47-FM46)))</f>
        <v>199.80000000000007</v>
      </c>
      <c r="FF47" s="17">
        <f>FE47*VLOOKUP('Données projet'!$B$16,Paramètres!$A$1:$I$89,3,0)*VLOOKUP('Données projet'!$B$16,Paramètres!$A$1:$I$89,5,0)</f>
        <v>190.12968000000006</v>
      </c>
      <c r="FG47" s="13">
        <f t="shared" si="47"/>
        <v>47.56862211941737</v>
      </c>
      <c r="FH47" s="20">
        <f t="shared" si="22"/>
        <v>413.99120952465199</v>
      </c>
      <c r="FI47" s="59">
        <f t="shared" si="23"/>
        <v>683.13211003872368</v>
      </c>
      <c r="FJ47" s="59">
        <f ca="1">AVERAGE(OFFSET($FI$3,0,0,'Données projet'!$E$16+1,1))-AVERAGE(OFFSET($H$3,0,0,'Données projet'!$E$16+1,1))</f>
        <v>290.72311302449236</v>
      </c>
      <c r="FK47" s="59">
        <f t="shared" si="48"/>
        <v>352.32552988394434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89.296008689047596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89.296008689047596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63.402063776565001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20.6</v>
      </c>
      <c r="FZ47" s="12">
        <f>IF('Données projet'!$A$244&gt;35,FZ46+FY47-GH46,IF(A47&lt;'Données projet'!$A$244,$FW$205^A47,IF(A47='Données projet'!$A$244,'Données projet'!$B$244,FZ46+FY47-GH46)))</f>
        <v>97.4</v>
      </c>
      <c r="GA47" s="17">
        <f>FZ47*VLOOKUP('Données projet'!$B$17,Paramètres!$A$1:$I$89,3,0)*VLOOKUP('Données projet'!$B$17,Paramètres!$A$1:$I$89,5,0)</f>
        <v>63.816480000000006</v>
      </c>
      <c r="GB47" s="13">
        <f t="shared" si="49"/>
        <v>18.129704574147024</v>
      </c>
      <c r="GC47" s="20">
        <f t="shared" si="25"/>
        <v>142.72293813330606</v>
      </c>
      <c r="GD47" s="59">
        <f t="shared" si="26"/>
        <v>411.86383864737775</v>
      </c>
      <c r="GE47" s="59">
        <f ca="1">AVERAGE(OFFSET($GD$3,0,0,'Données projet'!$E$17+1,1))-AVERAGE(OFFSET($H$3,0,0,'Données projet'!$E$17+1,1))</f>
        <v>123.03972959251965</v>
      </c>
      <c r="GF47" s="59">
        <f t="shared" si="50"/>
        <v>178.27657680839445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19.898553487957138</v>
      </c>
      <c r="GM47" s="21">
        <f>EXP(-LN(2)/25)*GM46+(1-EXP(-LN(2)/25))/(LN(2)/25)*Calculateur!GH47*Calculateur!GJ47*VLOOKUP('Données projet'!$B$17,Paramètres!$A$1:$I$89,3,0)*0.475*44/12</f>
        <v>28.266083912509174</v>
      </c>
      <c r="GN47" s="21">
        <f>EXP(-LN(2)/2)*GN46+(1-EXP(-LN(2)/2))/(LN(2)/2)*GH47*GK47*VLOOKUP('Données projet'!$B$17,Paramètres!$A$1:$I$89,3,0)*0.475*44/12</f>
        <v>3.5135996967742051</v>
      </c>
      <c r="GO47" s="21">
        <f t="shared" si="27"/>
        <v>51.678237097240519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63.402063776565001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13.04</v>
      </c>
      <c r="GU47" s="12">
        <f>IF('Données projet'!$A$270&gt;35,GU46+GT47-HC46,IF(A47&lt;'Données projet'!$A$270,$GR$205^A47,IF(A47='Données projet'!$A$270,'Données projet'!$B$270,GU46+GT47-HC46)))</f>
        <v>573.7600000000001</v>
      </c>
      <c r="GV47" s="17">
        <f>GU47*VLOOKUP('Données projet'!$B$18,Paramètres!$A$1:$I$89,3,0)*VLOOKUP('Données projet'!$B$18,Paramètres!$A$1:$I$89,5,0)</f>
        <v>384.87820800000009</v>
      </c>
      <c r="GW47" s="13">
        <f t="shared" si="51"/>
        <v>88.70411188058435</v>
      </c>
      <c r="GX47" s="20">
        <f t="shared" si="28"/>
        <v>824.82254045868456</v>
      </c>
      <c r="GY47" s="59">
        <f t="shared" si="29"/>
        <v>1093.9634409727562</v>
      </c>
      <c r="GZ47" s="59">
        <f ca="1">AVERAGE(OFFSET($GY$3,0,0,'Données projet'!$E$18+1,1))-AVERAGE(OFFSET($H$3,0,0,'Données projet'!$E$18+1,1))</f>
        <v>542.25674729323623</v>
      </c>
      <c r="HA47" s="59">
        <f t="shared" si="52"/>
        <v>614.73906555680685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0</v>
      </c>
      <c r="HH47" s="21">
        <f>EXP(-LN(2)/25)*HH46+(1-EXP(-LN(2)/25))/(LN(2)/25)*Calculateur!HC47*Calculateur!HE47*VLOOKUP('Données projet'!$B$18,Paramètres!$A$1:$I$89,3,0)*0.475*44/12</f>
        <v>0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0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2.8499999999999996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10.449999999999998</v>
      </c>
      <c r="H48" s="67">
        <f t="shared" si="1"/>
        <v>214.86666666666667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63.51652321926602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468</v>
      </c>
      <c r="L48" s="12">
        <f>VLOOKUP(A48,'Données projet'!$A$35:$I$55,9,0)</f>
        <v>10.4</v>
      </c>
      <c r="M48" s="12">
        <f t="array" ref="M48">INDEX(L:L,MIN(IF(ISNUMBER(L48:L244),ROW(L48:L244),"")))</f>
        <v>10.4</v>
      </c>
      <c r="N48" s="13">
        <f>IF('Données projet'!$A$36&gt;35,N47+M48-V47,IF(A48&lt;'Données projet'!$A$36,$K$205^A48,IF(A48='Données projet'!$A$36,'Données projet'!$B$36,N47+M48-V47)))</f>
        <v>467.99999999999955</v>
      </c>
      <c r="O48" s="13">
        <f>N48*VLOOKUP('Données projet'!$B$9,Paramètres!$A$1:$I$89,3,0)*VLOOKUP('Données projet'!$B$9,Paramètres!$A$1:$I$89,5,0)</f>
        <v>408.84479999999962</v>
      </c>
      <c r="P48" s="13">
        <f t="shared" si="33"/>
        <v>93.56752381931453</v>
      </c>
      <c r="Q48" s="20">
        <f t="shared" si="53"/>
        <v>875.03479731863888</v>
      </c>
      <c r="R48" s="59">
        <f t="shared" si="0"/>
        <v>1144.5953824559476</v>
      </c>
      <c r="S48" s="59">
        <f ca="1">AVERAGE(OFFSET($R$3,0,0,'Données projet'!$E$9+1,1))-AVERAGE(OFFSET($H$3,0,0,'Données projet'!$E$9+1,1))</f>
        <v>686.80970545599644</v>
      </c>
      <c r="T48" s="59">
        <f t="shared" si="34"/>
        <v>636.16485232937737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63.51652321926602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8.3333333333333339</v>
      </c>
      <c r="AI48" s="13">
        <f>IF('Données projet'!$A$62&gt;35,AI47+AH48-AQ47,IF(A48&lt;'Données projet'!$A$62,$AF$205^A48,IF(A48='Données projet'!$A$62,'Données projet'!$B$62,AI47+AH48-AQ47)))</f>
        <v>131.99999999999994</v>
      </c>
      <c r="AJ48" s="13">
        <f>AI48*VLOOKUP('Données projet'!$B$10,Paramètres!$A$1:$I$89,3,0)*VLOOKUP('Données projet'!$B$10,Paramètres!$A$1:$I$89,5,0)</f>
        <v>119.43359999999994</v>
      </c>
      <c r="AK48" s="13">
        <f t="shared" si="35"/>
        <v>31.54285944220668</v>
      </c>
      <c r="AL48" s="20">
        <f t="shared" si="4"/>
        <v>262.95066686184316</v>
      </c>
      <c r="AM48" s="59">
        <f t="shared" si="5"/>
        <v>532.51125199915191</v>
      </c>
      <c r="AN48" s="59">
        <f ca="1">AVERAGE(OFFSET($AM$3,0,0,'Données projet'!$E$10+1,1))-AVERAGE(OFFSET($H$3,0,0,'Données projet'!$E$10+1,1))</f>
        <v>323.67375363913726</v>
      </c>
      <c r="AO48" s="59">
        <f t="shared" si="36"/>
        <v>266.03902815735029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5.914527999050013</v>
      </c>
      <c r="AV48" s="21">
        <f>EXP(-LN(2)/25)*AV47+(1-EXP(-LN(2)/25))/(LN(2)/25)*Calculateur!AQ48*Calculateur!AS48*VLOOKUP('Données projet'!$B$10,Paramètres!$A$1:$I$89,3,0)*0.475*44/12</f>
        <v>5.6358956228805388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11.550423621930552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63.51652321926602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601</v>
      </c>
      <c r="BB48" s="12">
        <f>VLOOKUP(A48,'Données projet'!$A$87:$I$107,9,0)</f>
        <v>20.399999999999999</v>
      </c>
      <c r="BC48" s="12">
        <f t="array" ref="BC48">INDEX(BB:BB,MIN(IF(ISNUMBER(BB48:BB244),ROW(BB48:BB244),"")))</f>
        <v>20.399999999999999</v>
      </c>
      <c r="BD48" s="12">
        <f>IF('Données projet'!$A$88&gt;35,BD47+BC48-BL47,IF(A48&lt;'Données projet'!$A$88,$BA$205^A48,IF(A48='Données projet'!$A$88,'Données projet'!$B$88,BD47+BC48-BL47)))</f>
        <v>601</v>
      </c>
      <c r="BE48" s="13">
        <f>BD48*VLOOKUP('Données projet'!$B$11,Paramètres!$A$1:$I$89,3,0)*VLOOKUP('Données projet'!$B$11,Paramètres!$A$1:$I$89,5,0)</f>
        <v>335.959</v>
      </c>
      <c r="BF48" s="13">
        <f t="shared" si="37"/>
        <v>78.664470148497045</v>
      </c>
      <c r="BG48" s="20">
        <f t="shared" si="7"/>
        <v>722.1358771752989</v>
      </c>
      <c r="BH48" s="59">
        <f t="shared" si="8"/>
        <v>991.69646231260765</v>
      </c>
      <c r="BI48" s="59">
        <f ca="1">AVERAGE(OFFSET($BH$3,0,0,'Données projet'!$E$11+1,1))-AVERAGE(OFFSET($H$3,0,0,'Données projet'!$E$11+1,1))</f>
        <v>371.46495716091965</v>
      </c>
      <c r="BJ48" s="59">
        <f t="shared" si="38"/>
        <v>579.95059529269417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601</v>
      </c>
      <c r="BM48" s="16">
        <f>IF(ISNA(VLOOKUP(A48,'Données projet'!$A$87:$I$107,5,0)),0%,VLOOKUP(A48,'Données projet'!$A$87:$I$107,5,0)*VLOOKUP('Données projet'!$B$11,Paramètres!$A$1:$I$89,7,0))</f>
        <v>0.38500000000000001</v>
      </c>
      <c r="BN48" s="16">
        <f>IF(ISNA(VLOOKUP(A48,'Données projet'!$A$87:$I$107,6,0)),0%,VLOOKUP(A48,'Données projet'!$A$87:$I$107,6,0)*VLOOKUP('Données projet'!$B$11,Paramètres!$A$1:$I$89,7,0))</f>
        <v>0.11000000000000001</v>
      </c>
      <c r="BO48" s="16">
        <f>IF(ISNA(VLOOKUP(A48,'Données projet'!$A$87:$I$107,7,0)),0%,VLOOKUP(A48,'Données projet'!$A$87:$I$107,7,0))</f>
        <v>0.1</v>
      </c>
      <c r="BP48" s="21">
        <f>EXP(-LN(2)/35)*BP47+(1-EXP(-LN(2)/35))/(LN(2)/35)*BL48*BM48*VLOOKUP('Données projet'!$B$11,Paramètres!$A$1:$I$89,3,0)*0.475*44/12</f>
        <v>222.18859391361602</v>
      </c>
      <c r="BQ48" s="21">
        <f>EXP(-LN(2)/25)*BQ47+(1-EXP(-LN(2)/25))/(LN(2)/25)*Calculateur!BL48*Calculateur!BN48*VLOOKUP('Données projet'!$B$11,Paramètres!$A$1:$I$89,3,0)*0.475*44/12</f>
        <v>68.89644930755864</v>
      </c>
      <c r="BR48" s="21">
        <f>EXP(-LN(2)/2)*BR47+(1-EXP(-LN(2)/2))/(LN(2)/2)*BL48*BO48*VLOOKUP('Données projet'!$B$11,Paramètres!$A$1:$I$89,3,0)*0.475*44/12</f>
        <v>38.831854258831029</v>
      </c>
      <c r="BS48" s="22">
        <f t="shared" si="9"/>
        <v>329.91689748000567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63.51652321926602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314</v>
      </c>
      <c r="BW48" s="12">
        <f>VLOOKUP(A48,'Données projet'!$A$113:$I$133,9,0)</f>
        <v>54.8</v>
      </c>
      <c r="BX48" s="12">
        <f t="array" ref="BX48">INDEX(BW:BW,MIN(IF(ISNUMBER(BW48:BW244),ROW(BW48:BW244),"")))</f>
        <v>54.8</v>
      </c>
      <c r="BY48" s="12">
        <f>IF('Données projet'!$A$114&gt;35,BY47+BX48-CG47,IF(A48&lt;'Données projet'!$A$114,$BV$205^A48,IF(A48='Données projet'!$A$114,'Données projet'!$B$114,BY47+BX48-CG47)))</f>
        <v>314</v>
      </c>
      <c r="BZ48" s="13">
        <f>BY48*VLOOKUP('Données projet'!$B$12,Paramètres!$A$1:$I$89,3,0)*VLOOKUP('Données projet'!$B$12,Paramètres!$A$1:$I$89,5,0)</f>
        <v>195.93600000000001</v>
      </c>
      <c r="CA48" s="13">
        <f t="shared" si="39"/>
        <v>48.849959202565898</v>
      </c>
      <c r="CB48" s="20">
        <f t="shared" si="10"/>
        <v>426.33554561113556</v>
      </c>
      <c r="CC48" s="59">
        <f t="shared" si="11"/>
        <v>695.89613074844431</v>
      </c>
      <c r="CD48" s="59">
        <f ca="1">AVERAGE(OFFSET($CC$3,0,0,'Données projet'!$E$12+1,1))-AVERAGE(OFFSET($H$3,0,0,'Données projet'!$E$12+1,1))</f>
        <v>180.18752244216969</v>
      </c>
      <c r="CE48" s="59">
        <f t="shared" si="40"/>
        <v>350.12096474554676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314</v>
      </c>
      <c r="CH48" s="16">
        <f>IF(ISNA(VLOOKUP(A48,'Données projet'!$A$113:$I$133,5,0)),0%,VLOOKUP(A48,'Données projet'!$A$113:$I$133,5,0)*VLOOKUP('Données projet'!$B$12,Paramètres!$A$1:$I$89,7,0))</f>
        <v>0.42</v>
      </c>
      <c r="CI48" s="16">
        <f>IF(ISNA(VLOOKUP(A48,'Données projet'!$A$113:$I$133,6,0)),0%,VLOOKUP(A48,'Données projet'!$A$113:$I$133,6,0)*VLOOKUP('Données projet'!$B$12,Paramètres!$A$1:$I$89,7,0))</f>
        <v>0.12</v>
      </c>
      <c r="CJ48" s="16">
        <f>IF(ISNA(VLOOKUP(A48,'Données projet'!$A$113:$I$133,7,0)),0%,VLOOKUP(A48,'Données projet'!$A$113:$I$133,7,0))</f>
        <v>0.1</v>
      </c>
      <c r="CK48" s="21">
        <f>EXP(-LN(2)/35)*CK47+(1-EXP(-LN(2)/35))/(LN(2)/35)*CG48*CH48*VLOOKUP('Données projet'!$B$12,Paramètres!$A$1:$I$89,3,0)*0.475*44/12</f>
        <v>268.29527012480401</v>
      </c>
      <c r="CL48" s="21">
        <f>EXP(-LN(2)/25)*CL47+(1-EXP(-LN(2)/25))/(LN(2)/25)*Calculateur!CG48*Calculateur!CI48*VLOOKUP('Données projet'!$B$12,Paramètres!$A$1:$I$89,3,0)*0.475*44/12</f>
        <v>122.84080202994167</v>
      </c>
      <c r="CM48" s="21">
        <f>EXP(-LN(2)/2)*CM47+(1-EXP(-LN(2)/2))/(LN(2)/2)*CG48*CJ48*VLOOKUP('Données projet'!$B$12,Paramètres!$A$1:$I$89,3,0)*0.475*44/12</f>
        <v>29.502465017605928</v>
      </c>
      <c r="CN48" s="22">
        <f t="shared" si="12"/>
        <v>420.63853717235156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63.51652321926602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280</v>
      </c>
      <c r="CR48" s="12">
        <f>VLOOKUP(A48,'Données projet'!$A$139:$I$159,9,0)</f>
        <v>48</v>
      </c>
      <c r="CS48" s="12">
        <f t="array" ref="CS48">INDEX(CR:CR,MIN(IF(ISNUMBER(CR48:CR244),ROW(CR48:CR244),"")))</f>
        <v>48</v>
      </c>
      <c r="CT48" s="12">
        <f>IF('Données projet'!$A$140&gt;35,CT47+CS48-DB47,IF(A48&lt;'Données projet'!$A$140,$CQ$205^A48,IF(A48='Données projet'!$A$140,'Données projet'!$B$140,CT47+CS48-DB47)))</f>
        <v>279.99999999999994</v>
      </c>
      <c r="CU48" s="17">
        <f>CT48*VLOOKUP('Données projet'!$B$13,Paramètres!$A$1:$I$89,3,0)*VLOOKUP('Données projet'!$B$13,Paramètres!$A$1:$I$89,5,0)</f>
        <v>222.76799999999997</v>
      </c>
      <c r="CV48" s="13">
        <f t="shared" si="41"/>
        <v>54.716058356609508</v>
      </c>
      <c r="CW48" s="20">
        <f t="shared" si="13"/>
        <v>483.28473497109485</v>
      </c>
      <c r="CX48" s="59">
        <f t="shared" si="14"/>
        <v>752.8453201084036</v>
      </c>
      <c r="CY48" s="59">
        <f ca="1">AVERAGE(OFFSET($CX$3,0,0,'Données projet'!$E$13+1,1))-AVERAGE(OFFSET($H$3,0,0,'Données projet'!$E$13+1,1))</f>
        <v>284.31574332240928</v>
      </c>
      <c r="CZ48" s="59">
        <f t="shared" si="42"/>
        <v>403.96994631683913</v>
      </c>
      <c r="DA48" s="15">
        <f>IF(ISNA(VLOOKUP(A48,'Données projet'!$A$139:$I$159,3,0)),0,VLOOKUP(A48,'Données projet'!$A$139:$I$159,3,0))</f>
        <v>8</v>
      </c>
      <c r="DB48" s="15">
        <f>IF(ISNA(VLOOKUP(A48,'Données projet'!$A$139:$I$159,4,0)),0,VLOOKUP(A48,'Données projet'!$A$139:$I$159,4,0))</f>
        <v>254</v>
      </c>
      <c r="DC48" s="16">
        <f>IF(ISNA(VLOOKUP(A48,'Données projet'!$A$139:$I$159,5,0)),0%,VLOOKUP(A48,'Données projet'!$A$139:$I$159,5,0)*VLOOKUP('Données projet'!$B$13,Paramètres!$A$1:$I$89,7,0))</f>
        <v>0.42400000000000004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298.61792531694596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298.61792531694596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63.51652321926602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210</v>
      </c>
      <c r="DM48" s="12">
        <f>VLOOKUP(A48,'Données projet'!$A$165:$I$185,9,0)</f>
        <v>42</v>
      </c>
      <c r="DN48" s="12">
        <f t="array" ref="DN48">INDEX(DM:DM,MIN(IF(ISNUMBER(DM48:DM244),ROW(DM48:DM244),"")))</f>
        <v>42</v>
      </c>
      <c r="DO48" s="12">
        <f>IF('Données projet'!$A$166&gt;35,DO47+DN48-DW47,IF(A48&lt;'Données projet'!$A$166,$DL$205^A48,IF(A48='Données projet'!$A$166,'Données projet'!$B$166,DO47+DN48-DW47)))</f>
        <v>210</v>
      </c>
      <c r="DP48" s="17">
        <f>DO48*VLOOKUP('Données projet'!$B$14,Paramètres!$A$1:$I$89,3,0)*VLOOKUP('Données projet'!$B$14,Paramètres!$A$1:$I$89,5,0)</f>
        <v>153.97199999999998</v>
      </c>
      <c r="DQ48" s="13">
        <f t="shared" si="43"/>
        <v>39.479859284656378</v>
      </c>
      <c r="DR48" s="20">
        <f t="shared" si="16"/>
        <v>336.92865492077652</v>
      </c>
      <c r="DS48" s="59">
        <f t="shared" si="17"/>
        <v>606.48924005808522</v>
      </c>
      <c r="DT48" s="59">
        <f ca="1">AVERAGE(OFFSET($DS$3,0,0,'Données projet'!$E$14+1,1))-AVERAGE(OFFSET($H$3,0,0,'Données projet'!$E$14+1,1))</f>
        <v>190.9519472160006</v>
      </c>
      <c r="DU48" s="59">
        <f t="shared" si="44"/>
        <v>170.61553500287511</v>
      </c>
      <c r="DV48" s="15">
        <f>IF(ISNA(VLOOKUP(A48,'Données projet'!$A$165:$I$185,3,0)),0,VLOOKUP(A48,'Données projet'!$A$165:$I$185,3,0))</f>
        <v>8</v>
      </c>
      <c r="DW48" s="15">
        <f>IF(ISNA(VLOOKUP(A48,'Données projet'!$A$165:$I$185,4,0)),0,VLOOKUP(A48,'Données projet'!$A$165:$I$185,4,0))</f>
        <v>210</v>
      </c>
      <c r="DX48" s="16">
        <f>IF(ISNA(VLOOKUP(A48,'Données projet'!$A$165:$I$185,5,0)),0%,VLOOKUP(A48,'Données projet'!$A$165:$I$185,5,0)*VLOOKUP('Données projet'!$B$14,Paramètres!$A$1:$I$89,7,0))</f>
        <v>0.34400000000000003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163.4136550120715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163.4136550120715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63.51652321926602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206</v>
      </c>
      <c r="EH48" s="12">
        <f>VLOOKUP(A48,'Données projet'!$A$191:$I$211,9,0)</f>
        <v>34.200000000000003</v>
      </c>
      <c r="EI48" s="12">
        <f t="array" ref="EI48">INDEX(EH:EH,MIN(IF(ISNUMBER(EH48:EH244),ROW(EH48:EH244),"")))</f>
        <v>34.200000000000003</v>
      </c>
      <c r="EJ48" s="12">
        <f>IF('Données projet'!$A$192&gt;35,EJ47+EI48-ER47,IF(A48&lt;'Données projet'!$A$192,$EG$205^A48,IF(A48='Données projet'!$A$192,'Données projet'!$B$192,EJ47+EI48-ER47)))</f>
        <v>206.00000000000006</v>
      </c>
      <c r="EK48" s="17">
        <f>EJ48*VLOOKUP('Données projet'!$B$15,Paramètres!$A$1:$I$89,3,0)*VLOOKUP('Données projet'!$B$15,Paramètres!$A$1:$I$89,5,0)</f>
        <v>176.74800000000008</v>
      </c>
      <c r="EL48" s="13">
        <f t="shared" si="45"/>
        <v>44.597910160550732</v>
      </c>
      <c r="EM48" s="20">
        <f t="shared" si="19"/>
        <v>385.51079352962597</v>
      </c>
      <c r="EN48" s="59">
        <f t="shared" si="20"/>
        <v>655.07137866693472</v>
      </c>
      <c r="EO48" s="59">
        <f ca="1">AVERAGE(OFFSET($EN$3,0,0,'Données projet'!$E$15+1,1))-AVERAGE(OFFSET($H$3,0,0,'Données projet'!$E$15+1,1))</f>
        <v>331.94255128154623</v>
      </c>
      <c r="EP48" s="59">
        <f t="shared" si="46"/>
        <v>258.40809812013964</v>
      </c>
      <c r="EQ48" s="15">
        <f>IF(ISNA(VLOOKUP(A48,'Données projet'!$A$191:$I$211,3,0)),0,VLOOKUP(A48,'Données projet'!$A$191:$I$211,3,0))</f>
        <v>6</v>
      </c>
      <c r="ER48" s="15">
        <f>IF(ISNA(VLOOKUP(A48,'Données projet'!$A$191:$I$211,4,0)),0,VLOOKUP(A48,'Données projet'!$A$191:$I$211,4,0))</f>
        <v>171</v>
      </c>
      <c r="ES48" s="16">
        <f>IF(ISNA(VLOOKUP(A48,'Données projet'!$A$191:$I$211,5,0)),0%,VLOOKUP(A48,'Données projet'!$A$191:$I$211,5,0)*VLOOKUP('Données projet'!$B$15,Paramètres!$A$1:$I$89,7,0))</f>
        <v>0.42400000000000004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144.65160181607479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144.65160181607479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63.51652321926602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241</v>
      </c>
      <c r="FC48" s="12">
        <f>VLOOKUP(A48,'Données projet'!$A$217:$I$237,9,0)</f>
        <v>41.2</v>
      </c>
      <c r="FD48" s="12">
        <f t="array" ref="FD48">INDEX(FC:FC,MIN(IF(ISNUMBER(FC48:FC244),ROW(FC48:FC244),"")))</f>
        <v>41.2</v>
      </c>
      <c r="FE48" s="12">
        <f>IF('Données projet'!$A$218&gt;35,FE47+FD48-FM47,IF(A48&lt;'Données projet'!$A$218,$FB$205^A48,IF(A48='Données projet'!$A$218,'Données projet'!$B$218,FE47+FD48-FM47)))</f>
        <v>241.00000000000006</v>
      </c>
      <c r="FF48" s="17">
        <f>FE48*VLOOKUP('Données projet'!$B$16,Paramètres!$A$1:$I$89,3,0)*VLOOKUP('Données projet'!$B$16,Paramètres!$A$1:$I$89,5,0)</f>
        <v>229.33560000000003</v>
      </c>
      <c r="FG48" s="13">
        <f t="shared" si="47"/>
        <v>56.138998539243907</v>
      </c>
      <c r="FH48" s="20">
        <f t="shared" si="22"/>
        <v>497.20159245584978</v>
      </c>
      <c r="FI48" s="59">
        <f t="shared" si="23"/>
        <v>766.76217759315853</v>
      </c>
      <c r="FJ48" s="59">
        <f ca="1">AVERAGE(OFFSET($FI$3,0,0,'Données projet'!$E$16+1,1))-AVERAGE(OFFSET($H$3,0,0,'Données projet'!$E$16+1,1))</f>
        <v>290.72311302449236</v>
      </c>
      <c r="FK48" s="59">
        <f t="shared" si="48"/>
        <v>352.32552988394434</v>
      </c>
      <c r="FL48" s="15">
        <f>IF(ISNA(VLOOKUP(A48,'Données projet'!$A$217:$I$237,3,0)),0,VLOOKUP(A48,'Données projet'!$A$217:$I$237,3,0))</f>
        <v>6</v>
      </c>
      <c r="FM48" s="15">
        <f>IF(ISNA(VLOOKUP(A48,'Données projet'!$A$217:$I$237,4,0)),0,VLOOKUP(A48,'Données projet'!$A$217:$I$237,4,0))</f>
        <v>206</v>
      </c>
      <c r="FN48" s="16">
        <f>IF(ISNA(VLOOKUP(A48,'Données projet'!$A$217:$I$237,5,0)),0%,VLOOKUP(A48,'Données projet'!$A$217:$I$237,5,0)*VLOOKUP('Données projet'!$B$16,Paramètres!$A$1:$I$89,7,0))</f>
        <v>0.34400000000000003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162.09145963506489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162.09145963506489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63.51652321926602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118</v>
      </c>
      <c r="FX48" s="12">
        <f>VLOOKUP(A48,'Données projet'!$A$243:$I$263,9,0)</f>
        <v>20.6</v>
      </c>
      <c r="FY48" s="12">
        <f t="array" ref="FY48">INDEX(FX:FX,MIN(IF(ISNUMBER(FX48:FX244),ROW(FX48:FX244),"")))</f>
        <v>20.6</v>
      </c>
      <c r="FZ48" s="12">
        <f>IF('Données projet'!$A$244&gt;35,FZ47+FY48-GH47,IF(A48&lt;'Données projet'!$A$244,$FW$205^A48,IF(A48='Données projet'!$A$244,'Données projet'!$B$244,FZ47+FY48-GH47)))</f>
        <v>118</v>
      </c>
      <c r="GA48" s="17">
        <f>FZ48*VLOOKUP('Données projet'!$B$17,Paramètres!$A$1:$I$89,3,0)*VLOOKUP('Données projet'!$B$17,Paramètres!$A$1:$I$89,5,0)</f>
        <v>77.313599999999994</v>
      </c>
      <c r="GB48" s="13">
        <f t="shared" si="49"/>
        <v>21.479045333592058</v>
      </c>
      <c r="GC48" s="20">
        <f t="shared" si="25"/>
        <v>172.06385728933947</v>
      </c>
      <c r="GD48" s="59">
        <f t="shared" si="26"/>
        <v>441.62444242664822</v>
      </c>
      <c r="GE48" s="59">
        <f ca="1">AVERAGE(OFFSET($GD$3,0,0,'Données projet'!$E$17+1,1))-AVERAGE(OFFSET($H$3,0,0,'Données projet'!$E$17+1,1))</f>
        <v>123.03972959251965</v>
      </c>
      <c r="GF48" s="59">
        <f t="shared" si="50"/>
        <v>178.27657680839445</v>
      </c>
      <c r="GG48" s="15">
        <f>IF(ISNA(VLOOKUP(A48,'Données projet'!$A$243:$I$263,3,0)),0,VLOOKUP(A48,'Données projet'!$A$243:$I$263,3,0))</f>
        <v>7</v>
      </c>
      <c r="GH48" s="15">
        <f>IF(ISNA(VLOOKUP(A48,'Données projet'!$A$243:$I$263,4,0)),0,VLOOKUP(A48,'Données projet'!$A$243:$I$263,4,0))</f>
        <v>103</v>
      </c>
      <c r="GI48" s="16">
        <f>IF(ISNA(VLOOKUP(A48,'Données projet'!$A$243:$I$263,5,0)),0%,VLOOKUP(A48,'Données projet'!$A$243:$I$263,5,0)*VLOOKUP('Données projet'!$B$17,Paramètres!$A$1:$I$89,7,0))</f>
        <v>0.17200000000000001</v>
      </c>
      <c r="GJ48" s="16">
        <f>IF(ISNA(VLOOKUP(A48,'Données projet'!$A$243:$I$263,6,0)),0%,VLOOKUP(A48,'Données projet'!$A$243:$I$263,6,0)*VLOOKUP('Données projet'!$B$17,Paramètres!$A$1:$I$89,7,0))</f>
        <v>8.6000000000000007E-2</v>
      </c>
      <c r="GK48" s="16">
        <f>IF(ISNA(VLOOKUP(A48,'Données projet'!$A$243:$I$263,7,0)),0%,VLOOKUP(A48,'Données projet'!$A$243:$I$263,7,0))</f>
        <v>0.2</v>
      </c>
      <c r="GL48" s="21">
        <f>EXP(-LN(2)/35)*GL47+(1-EXP(-LN(2)/35))/(LN(2)/35)*GH48*GI48*VLOOKUP('Données projet'!$B$17,Paramètres!$A$1:$I$89,3,0)*0.475*44/12</f>
        <v>32.340128068319032</v>
      </c>
      <c r="GM48" s="21">
        <f>EXP(-LN(2)/25)*GM47+(1-EXP(-LN(2)/25))/(LN(2)/25)*Calculateur!GH48*Calculateur!GJ48*VLOOKUP('Données projet'!$B$17,Paramètres!$A$1:$I$89,3,0)*0.475*44/12</f>
        <v>33.883771110196449</v>
      </c>
      <c r="GN48" s="21">
        <f>EXP(-LN(2)/2)*GN47+(1-EXP(-LN(2)/2))/(LN(2)/2)*GH48*GK48*VLOOKUP('Données projet'!$B$17,Paramètres!$A$1:$I$89,3,0)*0.475*44/12</f>
        <v>15.219386161622719</v>
      </c>
      <c r="GO48" s="21">
        <f t="shared" si="27"/>
        <v>81.443285340138203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63.51652321926602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13.04</v>
      </c>
      <c r="GU48" s="12">
        <f>IF('Données projet'!$A$270&gt;35,GU47+GT48-HC47,IF(A48&lt;'Données projet'!$A$270,$GR$205^A48,IF(A48='Données projet'!$A$270,'Données projet'!$B$270,GU47+GT48-HC47)))</f>
        <v>586.80000000000007</v>
      </c>
      <c r="GV48" s="17">
        <f>GU48*VLOOKUP('Données projet'!$B$18,Paramètres!$A$1:$I$89,3,0)*VLOOKUP('Données projet'!$B$18,Paramètres!$A$1:$I$89,5,0)</f>
        <v>393.62544000000003</v>
      </c>
      <c r="GW48" s="13">
        <f t="shared" si="51"/>
        <v>90.483115192227871</v>
      </c>
      <c r="GX48" s="20">
        <f t="shared" si="28"/>
        <v>843.15573362646353</v>
      </c>
      <c r="GY48" s="59">
        <f t="shared" si="29"/>
        <v>1112.7163187637723</v>
      </c>
      <c r="GZ48" s="59">
        <f ca="1">AVERAGE(OFFSET($GY$3,0,0,'Données projet'!$E$18+1,1))-AVERAGE(OFFSET($H$3,0,0,'Données projet'!$E$18+1,1))</f>
        <v>542.25674729323623</v>
      </c>
      <c r="HA48" s="59">
        <f t="shared" si="52"/>
        <v>614.73906555680685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0</v>
      </c>
      <c r="HH48" s="21">
        <f>EXP(-LN(2)/25)*HH47+(1-EXP(-LN(2)/25))/(LN(2)/25)*Calculateur!HC48*Calculateur!HE48*VLOOKUP('Données projet'!$B$18,Paramètres!$A$1:$I$89,3,0)*0.475*44/12</f>
        <v>0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0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2.8499999999999996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10.449999999999998</v>
      </c>
      <c r="H49" s="67">
        <f t="shared" si="1"/>
        <v>214.86666666666667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63.628997046529165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10.4</v>
      </c>
      <c r="N49" s="13">
        <f>IF('Données projet'!$A$36&gt;35,N48+M49-V48,IF(A49&lt;'Données projet'!$A$36,$K$205^A49,IF(A49='Données projet'!$A$36,'Données projet'!$B$36,N48+M49-V48)))</f>
        <v>478.39999999999952</v>
      </c>
      <c r="O49" s="13">
        <f>N49*VLOOKUP('Données projet'!$B$9,Paramètres!$A$1:$I$89,3,0)*VLOOKUP('Données projet'!$B$9,Paramètres!$A$1:$I$89,5,0)</f>
        <v>417.93023999999963</v>
      </c>
      <c r="P49" s="13">
        <f t="shared" si="33"/>
        <v>95.402417376608895</v>
      </c>
      <c r="Q49" s="20">
        <f t="shared" si="53"/>
        <v>894.05437826425975</v>
      </c>
      <c r="R49" s="59">
        <f t="shared" si="0"/>
        <v>1164.0273674348666</v>
      </c>
      <c r="S49" s="59">
        <f ca="1">AVERAGE(OFFSET($R$3,0,0,'Données projet'!$E$9+1,1))-AVERAGE(OFFSET($H$3,0,0,'Données projet'!$E$9+1,1))</f>
        <v>686.80970545599644</v>
      </c>
      <c r="T49" s="59">
        <f t="shared" si="34"/>
        <v>636.16485232937737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63.628997046529165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8.3333333333333339</v>
      </c>
      <c r="AI49" s="13">
        <f>IF('Données projet'!$A$62&gt;35,AI48+AH49-AQ48,IF(A49&lt;'Données projet'!$A$62,$AF$205^A49,IF(A49='Données projet'!$A$62,'Données projet'!$B$62,AI48+AH49-AQ48)))</f>
        <v>140.33333333333329</v>
      </c>
      <c r="AJ49" s="13">
        <f>AI49*VLOOKUP('Données projet'!$B$10,Paramètres!$A$1:$I$89,3,0)*VLOOKUP('Données projet'!$B$10,Paramètres!$A$1:$I$89,5,0)</f>
        <v>126.97359999999996</v>
      </c>
      <c r="AK49" s="13">
        <f t="shared" si="35"/>
        <v>33.296091343362306</v>
      </c>
      <c r="AL49" s="20">
        <f t="shared" si="4"/>
        <v>279.13637908968929</v>
      </c>
      <c r="AM49" s="59">
        <f t="shared" si="5"/>
        <v>549.10936826029615</v>
      </c>
      <c r="AN49" s="59">
        <f ca="1">AVERAGE(OFFSET($AM$3,0,0,'Données projet'!$E$10+1,1))-AVERAGE(OFFSET($H$3,0,0,'Données projet'!$E$10+1,1))</f>
        <v>323.67375363913726</v>
      </c>
      <c r="AO49" s="59">
        <f t="shared" si="36"/>
        <v>266.03902815735029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5.7985477124945097</v>
      </c>
      <c r="AV49" s="21">
        <f>EXP(-LN(2)/25)*AV48+(1-EXP(-LN(2)/25))/(LN(2)/25)*Calculateur!AQ49*Calculateur!AS49*VLOOKUP('Données projet'!$B$10,Paramètres!$A$1:$I$89,3,0)*0.475*44/12</f>
        <v>5.4817817606940009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11.280329473188511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63.628997046529165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371.46495716091965</v>
      </c>
      <c r="BJ49" s="59">
        <f t="shared" si="38"/>
        <v>579.95059529269417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217.83161110863065</v>
      </c>
      <c r="BQ49" s="21">
        <f>EXP(-LN(2)/25)*BQ48+(1-EXP(-LN(2)/25))/(LN(2)/25)*Calculateur!BL49*Calculateur!BN49*VLOOKUP('Données projet'!$B$11,Paramètres!$A$1:$I$89,3,0)*0.475*44/12</f>
        <v>67.012472278136642</v>
      </c>
      <c r="BR49" s="21">
        <f>EXP(-LN(2)/2)*BR48+(1-EXP(-LN(2)/2))/(LN(2)/2)*BL49*BO49*VLOOKUP('Données projet'!$B$11,Paramètres!$A$1:$I$89,3,0)*0.475*44/12</f>
        <v>27.458267472467139</v>
      </c>
      <c r="BS49" s="22">
        <f t="shared" si="9"/>
        <v>312.30235085923442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63.628997046529165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>
        <f>BY49*VLOOKUP('Données projet'!$B$12,Paramètres!$A$1:$I$89,3,0)*VLOOKUP('Données projet'!$B$12,Paramètres!$A$1:$I$89,5,0)</f>
        <v>0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180.18752244216969</v>
      </c>
      <c r="CE49" s="59">
        <f t="shared" si="40"/>
        <v>350.12096474554676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263.03416352161287</v>
      </c>
      <c r="CL49" s="21">
        <f>EXP(-LN(2)/25)*CL48+(1-EXP(-LN(2)/25))/(LN(2)/25)*Calculateur!CG49*Calculateur!CI49*VLOOKUP('Données projet'!$B$12,Paramètres!$A$1:$I$89,3,0)*0.475*44/12</f>
        <v>119.48171383851589</v>
      </c>
      <c r="CM49" s="21">
        <f>EXP(-LN(2)/2)*CM48+(1-EXP(-LN(2)/2))/(LN(2)/2)*CG49*CJ49*VLOOKUP('Données projet'!$B$12,Paramètres!$A$1:$I$89,3,0)*0.475*44/12</f>
        <v>20.861393075668051</v>
      </c>
      <c r="CN49" s="22">
        <f t="shared" si="12"/>
        <v>403.37727043579679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63.628997046529165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55.4</v>
      </c>
      <c r="CT49" s="12">
        <f>IF('Données projet'!$A$140&gt;35,CT48+CS49-DB48,IF(A49&lt;'Données projet'!$A$140,$CQ$205^A49,IF(A49='Données projet'!$A$140,'Données projet'!$B$140,CT48+CS49-DB48)))</f>
        <v>81.39999999999992</v>
      </c>
      <c r="CU49" s="17">
        <f>CT49*VLOOKUP('Données projet'!$B$13,Paramètres!$A$1:$I$89,3,0)*VLOOKUP('Données projet'!$B$13,Paramètres!$A$1:$I$89,5,0)</f>
        <v>64.761839999999935</v>
      </c>
      <c r="CV49" s="13">
        <f t="shared" si="41"/>
        <v>18.366808240092467</v>
      </c>
      <c r="CW49" s="20">
        <f t="shared" si="13"/>
        <v>144.78239568482761</v>
      </c>
      <c r="CX49" s="59">
        <f t="shared" si="14"/>
        <v>414.7553848554345</v>
      </c>
      <c r="CY49" s="59">
        <f ca="1">AVERAGE(OFFSET($CX$3,0,0,'Données projet'!$E$13+1,1))-AVERAGE(OFFSET($H$3,0,0,'Données projet'!$E$13+1,1))</f>
        <v>284.31574332240928</v>
      </c>
      <c r="CZ49" s="59">
        <f t="shared" si="42"/>
        <v>403.96994631683913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292.76220994043035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292.76220994043035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63.628997046529165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51</v>
      </c>
      <c r="DO49" s="12">
        <f>IF('Données projet'!$A$166&gt;35,DO48+DN49-DW48,IF(A49&lt;'Données projet'!$A$166,$DL$205^A49,IF(A49='Données projet'!$A$166,'Données projet'!$B$166,DO48+DN49-DW48)))</f>
        <v>51</v>
      </c>
      <c r="DP49" s="17">
        <f>DO49*VLOOKUP('Données projet'!$B$14,Paramètres!$A$1:$I$89,3,0)*VLOOKUP('Données projet'!$B$14,Paramètres!$A$1:$I$89,5,0)</f>
        <v>37.3932</v>
      </c>
      <c r="DQ49" s="13">
        <f t="shared" si="43"/>
        <v>11.305027805177131</v>
      </c>
      <c r="DR49" s="20">
        <f t="shared" si="16"/>
        <v>84.81608009401684</v>
      </c>
      <c r="DS49" s="59">
        <f t="shared" si="17"/>
        <v>354.78906926462378</v>
      </c>
      <c r="DT49" s="59">
        <f ca="1">AVERAGE(OFFSET($DS$3,0,0,'Données projet'!$E$14+1,1))-AVERAGE(OFFSET($H$3,0,0,'Données projet'!$E$14+1,1))</f>
        <v>190.9519472160006</v>
      </c>
      <c r="DU49" s="59">
        <f t="shared" si="44"/>
        <v>170.61553500287511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160.2092129097725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160.2092129097725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63.628997046529165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40.799999999999997</v>
      </c>
      <c r="EJ49" s="12">
        <f>IF('Données projet'!$A$192&gt;35,EJ48+EI49-ER48,IF(A49&lt;'Données projet'!$A$192,$EG$205^A49,IF(A49='Données projet'!$A$192,'Données projet'!$B$192,EJ48+EI49-ER48)))</f>
        <v>75.800000000000068</v>
      </c>
      <c r="EK49" s="17">
        <f>EJ49*VLOOKUP('Données projet'!$B$15,Paramètres!$A$1:$I$89,3,0)*VLOOKUP('Données projet'!$B$15,Paramètres!$A$1:$I$89,5,0)</f>
        <v>65.036400000000071</v>
      </c>
      <c r="EL49" s="13">
        <f t="shared" si="45"/>
        <v>18.435594307834819</v>
      </c>
      <c r="EM49" s="20">
        <f t="shared" si="19"/>
        <v>145.38039008614575</v>
      </c>
      <c r="EN49" s="59">
        <f t="shared" si="20"/>
        <v>415.35337925675265</v>
      </c>
      <c r="EO49" s="59">
        <f ca="1">AVERAGE(OFFSET($EN$3,0,0,'Données projet'!$E$15+1,1))-AVERAGE(OFFSET($H$3,0,0,'Données projet'!$E$15+1,1))</f>
        <v>331.94255128154623</v>
      </c>
      <c r="EP49" s="59">
        <f t="shared" si="46"/>
        <v>258.40809812013964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141.81507213322681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141.81507213322681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63.628997046529165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47.8</v>
      </c>
      <c r="FE49" s="12">
        <f>IF('Données projet'!$A$218&gt;35,FE48+FD49-FM48,IF(A49&lt;'Données projet'!$A$218,$FB$205^A49,IF(A49='Données projet'!$A$218,'Données projet'!$B$218,FE48+FD49-FM48)))</f>
        <v>82.800000000000068</v>
      </c>
      <c r="FF49" s="17">
        <f>FE49*VLOOKUP('Données projet'!$B$16,Paramètres!$A$1:$I$89,3,0)*VLOOKUP('Données projet'!$B$16,Paramètres!$A$1:$I$89,5,0)</f>
        <v>78.792480000000069</v>
      </c>
      <c r="FG49" s="13">
        <f t="shared" si="47"/>
        <v>21.841678378498901</v>
      </c>
      <c r="FH49" s="20">
        <f t="shared" si="22"/>
        <v>175.27115917588571</v>
      </c>
      <c r="FI49" s="59">
        <f t="shared" si="23"/>
        <v>445.24414834649264</v>
      </c>
      <c r="FJ49" s="59">
        <f ca="1">AVERAGE(OFFSET($FI$3,0,0,'Données projet'!$E$16+1,1))-AVERAGE(OFFSET($H$3,0,0,'Données projet'!$E$16+1,1))</f>
        <v>290.72311302449236</v>
      </c>
      <c r="FK49" s="59">
        <f t="shared" si="48"/>
        <v>352.32552988394434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158.91294497764943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158.91294497764943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63.628997046529165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21.8</v>
      </c>
      <c r="FZ49" s="12">
        <f>IF('Données projet'!$A$244&gt;35,FZ48+FY49-GH48,IF(A49&lt;'Données projet'!$A$244,$FW$205^A49,IF(A49='Données projet'!$A$244,'Données projet'!$B$244,FZ48+FY49-GH48)))</f>
        <v>36.800000000000011</v>
      </c>
      <c r="GA49" s="17">
        <f>FZ49*VLOOKUP('Données projet'!$B$17,Paramètres!$A$1:$I$89,3,0)*VLOOKUP('Données projet'!$B$17,Paramètres!$A$1:$I$89,5,0)</f>
        <v>24.111360000000008</v>
      </c>
      <c r="GB49" s="13">
        <f t="shared" si="49"/>
        <v>7.67155080572127</v>
      </c>
      <c r="GC49" s="20">
        <f t="shared" si="25"/>
        <v>55.355236319964554</v>
      </c>
      <c r="GD49" s="59">
        <f t="shared" si="26"/>
        <v>325.32822549057147</v>
      </c>
      <c r="GE49" s="59">
        <f ca="1">AVERAGE(OFFSET($GD$3,0,0,'Données projet'!$E$17+1,1))-AVERAGE(OFFSET($H$3,0,0,'Données projet'!$E$17+1,1))</f>
        <v>123.03972959251965</v>
      </c>
      <c r="GF49" s="59">
        <f t="shared" si="50"/>
        <v>178.27657680839445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31.705957882429683</v>
      </c>
      <c r="GM49" s="21">
        <f>EXP(-LN(2)/25)*GM48+(1-EXP(-LN(2)/25))/(LN(2)/25)*Calculateur!GH49*Calculateur!GJ49*VLOOKUP('Données projet'!$B$17,Paramètres!$A$1:$I$89,3,0)*0.475*44/12</f>
        <v>32.95721760731805</v>
      </c>
      <c r="GN49" s="21">
        <f>EXP(-LN(2)/2)*GN48+(1-EXP(-LN(2)/2))/(LN(2)/2)*GH49*GK49*VLOOKUP('Données projet'!$B$17,Paramètres!$A$1:$I$89,3,0)*0.475*44/12</f>
        <v>10.761731160380126</v>
      </c>
      <c r="GO49" s="21">
        <f t="shared" si="27"/>
        <v>75.424906650127852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63.628997046529165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13.04</v>
      </c>
      <c r="GU49" s="12">
        <f>IF('Données projet'!$A$270&gt;35,GU48+GT49-HC48,IF(A49&lt;'Données projet'!$A$270,$GR$205^A49,IF(A49='Données projet'!$A$270,'Données projet'!$B$270,GU48+GT49-HC48)))</f>
        <v>599.84</v>
      </c>
      <c r="GV49" s="17">
        <f>GU49*VLOOKUP('Données projet'!$B$18,Paramètres!$A$1:$I$89,3,0)*VLOOKUP('Données projet'!$B$18,Paramètres!$A$1:$I$89,5,0)</f>
        <v>402.37267200000002</v>
      </c>
      <c r="GW49" s="13">
        <f t="shared" si="51"/>
        <v>92.257522361864545</v>
      </c>
      <c r="GX49" s="20">
        <f t="shared" si="28"/>
        <v>861.48092184691404</v>
      </c>
      <c r="GY49" s="59">
        <f t="shared" si="29"/>
        <v>1131.453911017521</v>
      </c>
      <c r="GZ49" s="59">
        <f ca="1">AVERAGE(OFFSET($GY$3,0,0,'Données projet'!$E$18+1,1))-AVERAGE(OFFSET($H$3,0,0,'Données projet'!$E$18+1,1))</f>
        <v>542.25674729323623</v>
      </c>
      <c r="HA49" s="59">
        <f t="shared" si="52"/>
        <v>614.73906555680685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0</v>
      </c>
      <c r="HH49" s="21">
        <f>EXP(-LN(2)/25)*HH48+(1-EXP(-LN(2)/25))/(LN(2)/25)*Calculateur!HC49*Calculateur!HE49*VLOOKUP('Données projet'!$B$18,Paramètres!$A$1:$I$89,3,0)*0.475*44/12</f>
        <v>0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0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2.8499999999999996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10.449999999999998</v>
      </c>
      <c r="H50" s="67">
        <f t="shared" si="1"/>
        <v>214.86666666666667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63.739519704343095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10.4</v>
      </c>
      <c r="N50" s="13">
        <f>IF('Données projet'!$A$36&gt;35,N49+M50-V49,IF(A50&lt;'Données projet'!$A$36,$K$205^A50,IF(A50='Données projet'!$A$36,'Données projet'!$B$36,N49+M50-V49)))</f>
        <v>488.7999999999995</v>
      </c>
      <c r="O50" s="13">
        <f>N50*VLOOKUP('Données projet'!$B$9,Paramètres!$A$1:$I$89,3,0)*VLOOKUP('Données projet'!$B$9,Paramètres!$A$1:$I$89,5,0)</f>
        <v>427.01567999999958</v>
      </c>
      <c r="P50" s="13">
        <f t="shared" si="33"/>
        <v>97.232673338880545</v>
      </c>
      <c r="Q50" s="20">
        <f t="shared" si="53"/>
        <v>913.06588206521621</v>
      </c>
      <c r="R50" s="59">
        <f t="shared" si="0"/>
        <v>1183.4441209811409</v>
      </c>
      <c r="S50" s="59">
        <f ca="1">AVERAGE(OFFSET($R$3,0,0,'Données projet'!$E$9+1,1))-AVERAGE(OFFSET($H$3,0,0,'Données projet'!$E$9+1,1))</f>
        <v>686.80970545599644</v>
      </c>
      <c r="T50" s="59">
        <f t="shared" si="34"/>
        <v>636.16485232937737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63.739519704343095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8.3333333333333339</v>
      </c>
      <c r="AI50" s="13">
        <f>IF('Données projet'!$A$62&gt;35,AI49+AH50-AQ49,IF(A50&lt;'Données projet'!$A$62,$AF$205^A50,IF(A50='Données projet'!$A$62,'Données projet'!$B$62,AI49+AH50-AQ49)))</f>
        <v>148.66666666666663</v>
      </c>
      <c r="AJ50" s="13">
        <f>AI50*VLOOKUP('Données projet'!$B$10,Paramètres!$A$1:$I$89,3,0)*VLOOKUP('Données projet'!$B$10,Paramètres!$A$1:$I$89,5,0)</f>
        <v>134.51359999999997</v>
      </c>
      <c r="AK50" s="13">
        <f t="shared" si="35"/>
        <v>35.037238995886256</v>
      </c>
      <c r="AL50" s="20">
        <f t="shared" si="4"/>
        <v>295.30104458450182</v>
      </c>
      <c r="AM50" s="59">
        <f t="shared" si="5"/>
        <v>565.67928350042644</v>
      </c>
      <c r="AN50" s="59">
        <f ca="1">AVERAGE(OFFSET($AM$3,0,0,'Données projet'!$E$10+1,1))-AVERAGE(OFFSET($H$3,0,0,'Données projet'!$E$10+1,1))</f>
        <v>323.67375363913726</v>
      </c>
      <c r="AO50" s="59">
        <f t="shared" si="36"/>
        <v>266.03902815735029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5.6848417286173705</v>
      </c>
      <c r="AV50" s="21">
        <f>EXP(-LN(2)/25)*AV49+(1-EXP(-LN(2)/25))/(LN(2)/25)*Calculateur!AQ50*Calculateur!AS50*VLOOKUP('Données projet'!$B$10,Paramètres!$A$1:$I$89,3,0)*0.475*44/12</f>
        <v>5.331882150173449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11.01672387879082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63.739519704343095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371.46495716091965</v>
      </c>
      <c r="BJ50" s="59">
        <f t="shared" si="38"/>
        <v>579.95059529269417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213.56006607895392</v>
      </c>
      <c r="BQ50" s="21">
        <f>EXP(-LN(2)/25)*BQ49+(1-EXP(-LN(2)/25))/(LN(2)/25)*Calculateur!BL50*Calculateur!BN50*VLOOKUP('Données projet'!$B$11,Paramètres!$A$1:$I$89,3,0)*0.475*44/12</f>
        <v>65.180012699658235</v>
      </c>
      <c r="BR50" s="21">
        <f>EXP(-LN(2)/2)*BR49+(1-EXP(-LN(2)/2))/(LN(2)/2)*BL50*BO50*VLOOKUP('Données projet'!$B$11,Paramètres!$A$1:$I$89,3,0)*0.475*44/12</f>
        <v>19.415927129415518</v>
      </c>
      <c r="BS50" s="22">
        <f t="shared" si="9"/>
        <v>298.15600590802768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63.739519704343095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>
        <f>BY50*VLOOKUP('Données projet'!$B$12,Paramètres!$A$1:$I$89,3,0)*VLOOKUP('Données projet'!$B$12,Paramètres!$A$1:$I$89,5,0)</f>
        <v>0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180.18752244216969</v>
      </c>
      <c r="CE50" s="59">
        <f t="shared" si="40"/>
        <v>350.12096474554676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257.87622400995213</v>
      </c>
      <c r="CL50" s="21">
        <f>EXP(-LN(2)/25)*CL49+(1-EXP(-LN(2)/25))/(LN(2)/25)*Calculateur!CG50*Calculateur!CI50*VLOOKUP('Données projet'!$B$12,Paramètres!$A$1:$I$89,3,0)*0.475*44/12</f>
        <v>116.21448009033142</v>
      </c>
      <c r="CM50" s="21">
        <f>EXP(-LN(2)/2)*CM49+(1-EXP(-LN(2)/2))/(LN(2)/2)*CG50*CJ50*VLOOKUP('Données projet'!$B$12,Paramètres!$A$1:$I$89,3,0)*0.475*44/12</f>
        <v>14.751232508802968</v>
      </c>
      <c r="CN50" s="22">
        <f t="shared" si="12"/>
        <v>388.84193660908653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63.739519704343095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55.4</v>
      </c>
      <c r="CT50" s="12">
        <f>IF('Données projet'!$A$140&gt;35,CT49+CS50-DB49,IF(A50&lt;'Données projet'!$A$140,$CQ$205^A50,IF(A50='Données projet'!$A$140,'Données projet'!$B$140,CT49+CS50-DB49)))</f>
        <v>136.79999999999993</v>
      </c>
      <c r="CU50" s="17">
        <f>CT50*VLOOKUP('Données projet'!$B$13,Paramètres!$A$1:$I$89,3,0)*VLOOKUP('Données projet'!$B$13,Paramètres!$A$1:$I$89,5,0)</f>
        <v>108.83807999999993</v>
      </c>
      <c r="CV50" s="13">
        <f t="shared" si="41"/>
        <v>29.057058197191768</v>
      </c>
      <c r="CW50" s="20">
        <f t="shared" si="13"/>
        <v>240.16736569344221</v>
      </c>
      <c r="CX50" s="59">
        <f t="shared" si="14"/>
        <v>510.54560460936688</v>
      </c>
      <c r="CY50" s="59">
        <f ca="1">AVERAGE(OFFSET($CX$3,0,0,'Données projet'!$E$13+1,1))-AVERAGE(OFFSET($H$3,0,0,'Données projet'!$E$13+1,1))</f>
        <v>284.31574332240928</v>
      </c>
      <c r="CZ50" s="59">
        <f t="shared" si="42"/>
        <v>403.96994631683913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287.02132157081451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287.02132157081451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63.739519704343095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51</v>
      </c>
      <c r="DO50" s="12">
        <f>IF('Données projet'!$A$166&gt;35,DO49+DN50-DW49,IF(A50&lt;'Données projet'!$A$166,$DL$205^A50,IF(A50='Données projet'!$A$166,'Données projet'!$B$166,DO49+DN50-DW49)))</f>
        <v>102</v>
      </c>
      <c r="DP50" s="17">
        <f>DO50*VLOOKUP('Données projet'!$B$14,Paramètres!$A$1:$I$89,3,0)*VLOOKUP('Données projet'!$B$14,Paramètres!$A$1:$I$89,5,0)</f>
        <v>74.7864</v>
      </c>
      <c r="DQ50" s="13">
        <f t="shared" si="43"/>
        <v>20.857475351088969</v>
      </c>
      <c r="DR50" s="20">
        <f t="shared" si="16"/>
        <v>166.57974956981329</v>
      </c>
      <c r="DS50" s="59">
        <f t="shared" si="17"/>
        <v>436.95798848573793</v>
      </c>
      <c r="DT50" s="59">
        <f ca="1">AVERAGE(OFFSET($DS$3,0,0,'Données projet'!$E$14+1,1))-AVERAGE(OFFSET($H$3,0,0,'Données projet'!$E$14+1,1))</f>
        <v>190.9519472160006</v>
      </c>
      <c r="DU50" s="59">
        <f t="shared" si="44"/>
        <v>170.61553500287511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157.06760796258288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157.06760796258288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63.739519704343095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40.799999999999997</v>
      </c>
      <c r="EJ50" s="12">
        <f>IF('Données projet'!$A$192&gt;35,EJ49+EI50-ER49,IF(A50&lt;'Données projet'!$A$192,$EG$205^A50,IF(A50='Données projet'!$A$192,'Données projet'!$B$192,EJ49+EI50-ER49)))</f>
        <v>116.60000000000007</v>
      </c>
      <c r="EK50" s="17">
        <f>EJ50*VLOOKUP('Données projet'!$B$15,Paramètres!$A$1:$I$89,3,0)*VLOOKUP('Données projet'!$B$15,Paramètres!$A$1:$I$89,5,0)</f>
        <v>100.04280000000006</v>
      </c>
      <c r="EL50" s="13">
        <f t="shared" si="45"/>
        <v>26.972193804202917</v>
      </c>
      <c r="EM50" s="20">
        <f t="shared" si="19"/>
        <v>221.21778087565349</v>
      </c>
      <c r="EN50" s="59">
        <f t="shared" si="20"/>
        <v>491.59601979157816</v>
      </c>
      <c r="EO50" s="59">
        <f ca="1">AVERAGE(OFFSET($EN$3,0,0,'Données projet'!$E$15+1,1))-AVERAGE(OFFSET($H$3,0,0,'Données projet'!$E$15+1,1))</f>
        <v>331.94255128154623</v>
      </c>
      <c r="EP50" s="59">
        <f t="shared" si="46"/>
        <v>258.40809812013964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139.0341650673472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139.0341650673472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63.739519704343095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47.8</v>
      </c>
      <c r="FE50" s="12">
        <f>IF('Données projet'!$A$218&gt;35,FE49+FD50-FM49,IF(A50&lt;'Données projet'!$A$218,$FB$205^A50,IF(A50='Données projet'!$A$218,'Données projet'!$B$218,FE49+FD50-FM49)))</f>
        <v>130.60000000000008</v>
      </c>
      <c r="FF50" s="17">
        <f>FE50*VLOOKUP('Données projet'!$B$16,Paramètres!$A$1:$I$89,3,0)*VLOOKUP('Données projet'!$B$16,Paramètres!$A$1:$I$89,5,0)</f>
        <v>124.27896000000008</v>
      </c>
      <c r="FG50" s="13">
        <f t="shared" si="47"/>
        <v>32.670952282304853</v>
      </c>
      <c r="FH50" s="20">
        <f t="shared" si="22"/>
        <v>273.35443055834776</v>
      </c>
      <c r="FI50" s="59">
        <f t="shared" si="23"/>
        <v>543.73266947427237</v>
      </c>
      <c r="FJ50" s="59">
        <f ca="1">AVERAGE(OFFSET($FI$3,0,0,'Données projet'!$E$16+1,1))-AVERAGE(OFFSET($H$3,0,0,'Données projet'!$E$16+1,1))</f>
        <v>290.72311302449236</v>
      </c>
      <c r="FK50" s="59">
        <f t="shared" si="48"/>
        <v>352.32552988394434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155.79675905396337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155.79675905396337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63.739519704343095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21.8</v>
      </c>
      <c r="FZ50" s="12">
        <f>IF('Données projet'!$A$244&gt;35,FZ49+FY50-GH49,IF(A50&lt;'Données projet'!$A$244,$FW$205^A50,IF(A50='Données projet'!$A$244,'Données projet'!$B$244,FZ49+FY50-GH49)))</f>
        <v>58.600000000000009</v>
      </c>
      <c r="GA50" s="17">
        <f>FZ50*VLOOKUP('Données projet'!$B$17,Paramètres!$A$1:$I$89,3,0)*VLOOKUP('Données projet'!$B$17,Paramètres!$A$1:$I$89,5,0)</f>
        <v>38.394720000000007</v>
      </c>
      <c r="GB50" s="13">
        <f t="shared" si="49"/>
        <v>11.57215831564239</v>
      </c>
      <c r="GC50" s="20">
        <f t="shared" si="25"/>
        <v>87.025646399743835</v>
      </c>
      <c r="GD50" s="59">
        <f t="shared" si="26"/>
        <v>357.4038853156685</v>
      </c>
      <c r="GE50" s="59">
        <f ca="1">AVERAGE(OFFSET($GD$3,0,0,'Données projet'!$E$17+1,1))-AVERAGE(OFFSET($H$3,0,0,'Données projet'!$E$17+1,1))</f>
        <v>123.03972959251965</v>
      </c>
      <c r="GF50" s="59">
        <f t="shared" si="50"/>
        <v>178.27657680839445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31.084223387080005</v>
      </c>
      <c r="GM50" s="21">
        <f>EXP(-LN(2)/25)*GM49+(1-EXP(-LN(2)/25))/(LN(2)/25)*Calculateur!GH50*Calculateur!GJ50*VLOOKUP('Données projet'!$B$17,Paramètres!$A$1:$I$89,3,0)*0.475*44/12</f>
        <v>32.056000758701188</v>
      </c>
      <c r="GN50" s="21">
        <f>EXP(-LN(2)/2)*GN49+(1-EXP(-LN(2)/2))/(LN(2)/2)*GH50*GK50*VLOOKUP('Données projet'!$B$17,Paramètres!$A$1:$I$89,3,0)*0.475*44/12</f>
        <v>7.6096930808113603</v>
      </c>
      <c r="GO50" s="21">
        <f t="shared" si="27"/>
        <v>70.749917226592544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63.739519704343095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13.04</v>
      </c>
      <c r="GU50" s="12">
        <f>IF('Données projet'!$A$270&gt;35,GU49+GT50-HC49,IF(A50&lt;'Données projet'!$A$270,$GR$205^A50,IF(A50='Données projet'!$A$270,'Données projet'!$B$270,GU49+GT50-HC49)))</f>
        <v>612.88</v>
      </c>
      <c r="GV50" s="17">
        <f>GU50*VLOOKUP('Données projet'!$B$18,Paramètres!$A$1:$I$89,3,0)*VLOOKUP('Données projet'!$B$18,Paramètres!$A$1:$I$89,5,0)</f>
        <v>411.11990399999996</v>
      </c>
      <c r="GW50" s="13">
        <f t="shared" si="51"/>
        <v>94.027444812578196</v>
      </c>
      <c r="GX50" s="20">
        <f t="shared" si="28"/>
        <v>879.79829918190705</v>
      </c>
      <c r="GY50" s="59">
        <f t="shared" si="29"/>
        <v>1150.1765380978318</v>
      </c>
      <c r="GZ50" s="59">
        <f ca="1">AVERAGE(OFFSET($GY$3,0,0,'Données projet'!$E$18+1,1))-AVERAGE(OFFSET($H$3,0,0,'Données projet'!$E$18+1,1))</f>
        <v>542.25674729323623</v>
      </c>
      <c r="HA50" s="59">
        <f t="shared" si="52"/>
        <v>614.73906555680685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0</v>
      </c>
      <c r="HH50" s="21">
        <f>EXP(-LN(2)/25)*HH49+(1-EXP(-LN(2)/25))/(LN(2)/25)*Calculateur!HC50*Calculateur!HE50*VLOOKUP('Données projet'!$B$18,Paramètres!$A$1:$I$89,3,0)*0.475*44/12</f>
        <v>0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0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2.8499999999999996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10.449999999999998</v>
      </c>
      <c r="H51" s="67">
        <f t="shared" si="1"/>
        <v>214.86666666666667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63.848125041135617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10.4</v>
      </c>
      <c r="N51" s="13">
        <f>IF('Données projet'!$A$36&gt;35,N50+M51-V50,IF(A51&lt;'Données projet'!$A$36,$K$205^A51,IF(A51='Données projet'!$A$36,'Données projet'!$B$36,N50+M51-V50)))</f>
        <v>499.19999999999948</v>
      </c>
      <c r="O51" s="13">
        <f>N51*VLOOKUP('Données projet'!$B$9,Paramètres!$A$1:$I$89,3,0)*VLOOKUP('Données projet'!$B$9,Paramètres!$A$1:$I$89,5,0)</f>
        <v>436.10111999999958</v>
      </c>
      <c r="P51" s="13">
        <f t="shared" si="33"/>
        <v>99.058401744282691</v>
      </c>
      <c r="Q51" s="20">
        <f t="shared" si="53"/>
        <v>932.06950037129161</v>
      </c>
      <c r="R51" s="59">
        <f t="shared" si="0"/>
        <v>1202.8459588554556</v>
      </c>
      <c r="S51" s="59">
        <f ca="1">AVERAGE(OFFSET($R$3,0,0,'Données projet'!$E$9+1,1))-AVERAGE(OFFSET($H$3,0,0,'Données projet'!$E$9+1,1))</f>
        <v>686.80970545599644</v>
      </c>
      <c r="T51" s="59">
        <f t="shared" si="34"/>
        <v>636.16485232937737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63.848125041135617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157</v>
      </c>
      <c r="AG51" s="12">
        <f>VLOOKUP(A51,'Données projet'!$A$61:$I$81,9,0)</f>
        <v>8.3333333333333339</v>
      </c>
      <c r="AH51" s="12">
        <f t="array" ref="AH51">INDEX(AG:AG,MIN(IF(ISNUMBER(AG51:AG247),ROW(AG51:AG247),"")))</f>
        <v>8.3333333333333339</v>
      </c>
      <c r="AI51" s="13">
        <f>IF('Données projet'!$A$62&gt;35,AI50+AH51-AQ50,IF(A51&lt;'Données projet'!$A$62,$AF$205^A51,IF(A51='Données projet'!$A$62,'Données projet'!$B$62,AI50+AH51-AQ50)))</f>
        <v>156.99999999999997</v>
      </c>
      <c r="AJ51" s="13">
        <f>AI51*VLOOKUP('Données projet'!$B$10,Paramètres!$A$1:$I$89,3,0)*VLOOKUP('Données projet'!$B$10,Paramètres!$A$1:$I$89,5,0)</f>
        <v>142.05359999999996</v>
      </c>
      <c r="AK51" s="13">
        <f t="shared" si="35"/>
        <v>36.767056963845889</v>
      </c>
      <c r="AL51" s="20">
        <f t="shared" si="4"/>
        <v>311.44597754536488</v>
      </c>
      <c r="AM51" s="59">
        <f t="shared" si="5"/>
        <v>582.22243602952881</v>
      </c>
      <c r="AN51" s="59">
        <f ca="1">AVERAGE(OFFSET($AM$3,0,0,'Données projet'!$E$10+1,1))-AVERAGE(OFFSET($H$3,0,0,'Données projet'!$E$10+1,1))</f>
        <v>323.67375363913726</v>
      </c>
      <c r="AO51" s="59">
        <f t="shared" si="36"/>
        <v>266.03902815735029</v>
      </c>
      <c r="AP51" s="15">
        <f>IF(ISNA(VLOOKUP(A51,'Données projet'!$A$61:$I$81,3,0)),0,VLOOKUP(A51,'Données projet'!$A$61:$I$81,3,0))</f>
        <v>3</v>
      </c>
      <c r="AQ51" s="15">
        <f>IF(ISNA(VLOOKUP(A51,'Données projet'!$A$61:$I$81,4,0)),0,VLOOKUP(A51,'Données projet'!$A$61:$I$81,4,0))</f>
        <v>41</v>
      </c>
      <c r="AR51" s="16">
        <f>IF(ISNA(VLOOKUP(A51,'Données projet'!$A$61:$I$81,5,0)),0%,VLOOKUP(A51,'Données projet'!$A$61:$I$81,5,0)*VLOOKUP('Données projet'!$B$10,Paramètres!$A$1:$I$89,7,0))</f>
        <v>0.129</v>
      </c>
      <c r="AS51" s="16">
        <f>IF(ISNA(VLOOKUP(A51,'Données projet'!$A$61:$I$81,6,0)),0%,VLOOKUP(A51,'Données projet'!$A$61:$I$81,6,0)*VLOOKUP('Données projet'!$B$10,Paramètres!$A$1:$I$89,7,0))</f>
        <v>0.17200000000000001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10.863579800964335</v>
      </c>
      <c r="AV51" s="21">
        <f>EXP(-LN(2)/25)*AV50+(1-EXP(-LN(2)/25))/(LN(2)/25)*Calculateur!AQ51*Calculateur!AS51*VLOOKUP('Données projet'!$B$10,Paramètres!$A$1:$I$89,3,0)*0.475*44/12</f>
        <v>12.211927901190219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23.075507702154553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63.848125041135617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371.46495716091965</v>
      </c>
      <c r="BJ51" s="59">
        <f t="shared" si="38"/>
        <v>579.95059529269417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209.37228344192397</v>
      </c>
      <c r="BQ51" s="21">
        <f>EXP(-LN(2)/25)*BQ50+(1-EXP(-LN(2)/25))/(LN(2)/25)*Calculateur!BL51*Calculateur!BN51*VLOOKUP('Données projet'!$B$11,Paramètres!$A$1:$I$89,3,0)*0.475*44/12</f>
        <v>63.397661824718185</v>
      </c>
      <c r="BR51" s="21">
        <f>EXP(-LN(2)/2)*BR50+(1-EXP(-LN(2)/2))/(LN(2)/2)*BL51*BO51*VLOOKUP('Données projet'!$B$11,Paramètres!$A$1:$I$89,3,0)*0.475*44/12</f>
        <v>13.729133736233571</v>
      </c>
      <c r="BS51" s="22">
        <f t="shared" si="9"/>
        <v>286.4990790028757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63.848125041135617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>
        <f>BY51*VLOOKUP('Données projet'!$B$12,Paramètres!$A$1:$I$89,3,0)*VLOOKUP('Données projet'!$B$12,Paramètres!$A$1:$I$89,5,0)</f>
        <v>0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180.18752244216969</v>
      </c>
      <c r="CE51" s="59">
        <f t="shared" si="40"/>
        <v>350.12096474554676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252.81942854608261</v>
      </c>
      <c r="CL51" s="21">
        <f>EXP(-LN(2)/25)*CL50+(1-EXP(-LN(2)/25))/(LN(2)/25)*Calculateur!CG51*Calculateur!CI51*VLOOKUP('Données projet'!$B$12,Paramètres!$A$1:$I$89,3,0)*0.475*44/12</f>
        <v>113.03658902080741</v>
      </c>
      <c r="CM51" s="21">
        <f>EXP(-LN(2)/2)*CM50+(1-EXP(-LN(2)/2))/(LN(2)/2)*CG51*CJ51*VLOOKUP('Données projet'!$B$12,Paramètres!$A$1:$I$89,3,0)*0.475*44/12</f>
        <v>10.430696537834027</v>
      </c>
      <c r="CN51" s="22">
        <f t="shared" si="12"/>
        <v>376.28671410472407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63.848125041135617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55.4</v>
      </c>
      <c r="CT51" s="12">
        <f>IF('Données projet'!$A$140&gt;35,CT50+CS51-DB50,IF(A51&lt;'Données projet'!$A$140,$CQ$205^A51,IF(A51='Données projet'!$A$140,'Données projet'!$B$140,CT50+CS51-DB50)))</f>
        <v>192.19999999999993</v>
      </c>
      <c r="CU51" s="17">
        <f>CT51*VLOOKUP('Données projet'!$B$13,Paramètres!$A$1:$I$89,3,0)*VLOOKUP('Données projet'!$B$13,Paramètres!$A$1:$I$89,5,0)</f>
        <v>152.91431999999995</v>
      </c>
      <c r="CV51" s="13">
        <f t="shared" si="41"/>
        <v>39.240131769905737</v>
      </c>
      <c r="CW51" s="20">
        <f t="shared" si="13"/>
        <v>334.66900349925237</v>
      </c>
      <c r="CX51" s="59">
        <f t="shared" si="14"/>
        <v>605.44546198341629</v>
      </c>
      <c r="CY51" s="59">
        <f ca="1">AVERAGE(OFFSET($CX$3,0,0,'Données projet'!$E$13+1,1))-AVERAGE(OFFSET($H$3,0,0,'Données projet'!$E$13+1,1))</f>
        <v>284.31574332240928</v>
      </c>
      <c r="CZ51" s="59">
        <f t="shared" si="42"/>
        <v>403.96994631683913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281.39300852053071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281.39300852053071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63.848125041135617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51</v>
      </c>
      <c r="DO51" s="12">
        <f>IF('Données projet'!$A$166&gt;35,DO50+DN51-DW50,IF(A51&lt;'Données projet'!$A$166,$DL$205^A51,IF(A51='Données projet'!$A$166,'Données projet'!$B$166,DO50+DN51-DW50)))</f>
        <v>153</v>
      </c>
      <c r="DP51" s="17">
        <f>DO51*VLOOKUP('Données projet'!$B$14,Paramètres!$A$1:$I$89,3,0)*VLOOKUP('Données projet'!$B$14,Paramètres!$A$1:$I$89,5,0)</f>
        <v>112.17959999999999</v>
      </c>
      <c r="DQ51" s="13">
        <f t="shared" si="43"/>
        <v>29.8439274472838</v>
      </c>
      <c r="DR51" s="20">
        <f t="shared" si="16"/>
        <v>247.35764363735257</v>
      </c>
      <c r="DS51" s="59">
        <f t="shared" si="17"/>
        <v>518.13410212151643</v>
      </c>
      <c r="DT51" s="59">
        <f ca="1">AVERAGE(OFFSET($DS$3,0,0,'Données projet'!$E$14+1,1))-AVERAGE(OFFSET($H$3,0,0,'Données projet'!$E$14+1,1))</f>
        <v>190.9519472160006</v>
      </c>
      <c r="DU51" s="59">
        <f t="shared" si="44"/>
        <v>170.61553500287511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153.98760797221786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153.98760797221786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63.848125041135617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40.799999999999997</v>
      </c>
      <c r="EJ51" s="12">
        <f>IF('Données projet'!$A$192&gt;35,EJ50+EI51-ER50,IF(A51&lt;'Données projet'!$A$192,$EG$205^A51,IF(A51='Données projet'!$A$192,'Données projet'!$B$192,EJ50+EI51-ER50)))</f>
        <v>157.40000000000006</v>
      </c>
      <c r="EK51" s="17">
        <f>EJ51*VLOOKUP('Données projet'!$B$15,Paramètres!$A$1:$I$89,3,0)*VLOOKUP('Données projet'!$B$15,Paramètres!$A$1:$I$89,5,0)</f>
        <v>135.04920000000007</v>
      </c>
      <c r="EL51" s="13">
        <f t="shared" si="45"/>
        <v>35.160481198018488</v>
      </c>
      <c r="EM51" s="20">
        <f t="shared" si="19"/>
        <v>296.44852808654895</v>
      </c>
      <c r="EN51" s="59">
        <f t="shared" si="20"/>
        <v>567.22498657071287</v>
      </c>
      <c r="EO51" s="59">
        <f ca="1">AVERAGE(OFFSET($EN$3,0,0,'Données projet'!$E$15+1,1))-AVERAGE(OFFSET($H$3,0,0,'Données projet'!$E$15+1,1))</f>
        <v>331.94255128154623</v>
      </c>
      <c r="EP51" s="59">
        <f t="shared" si="46"/>
        <v>258.40809812013964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136.30778989284366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136.30778989284366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63.848125041135617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47.8</v>
      </c>
      <c r="FE51" s="12">
        <f>IF('Données projet'!$A$218&gt;35,FE50+FD51-FM50,IF(A51&lt;'Données projet'!$A$218,$FB$205^A51,IF(A51='Données projet'!$A$218,'Données projet'!$B$218,FE50+FD51-FM50)))</f>
        <v>178.40000000000009</v>
      </c>
      <c r="FF51" s="17">
        <f>FE51*VLOOKUP('Données projet'!$B$16,Paramètres!$A$1:$I$89,3,0)*VLOOKUP('Données projet'!$B$16,Paramètres!$A$1:$I$89,5,0)</f>
        <v>169.7654400000001</v>
      </c>
      <c r="FG51" s="13">
        <f t="shared" si="47"/>
        <v>43.037485727362501</v>
      </c>
      <c r="FH51" s="20">
        <f t="shared" si="22"/>
        <v>370.63176230848984</v>
      </c>
      <c r="FI51" s="59">
        <f t="shared" si="23"/>
        <v>641.40822079265376</v>
      </c>
      <c r="FJ51" s="59">
        <f ca="1">AVERAGE(OFFSET($FI$3,0,0,'Données projet'!$E$16+1,1))-AVERAGE(OFFSET($H$3,0,0,'Données projet'!$E$16+1,1))</f>
        <v>290.72311302449236</v>
      </c>
      <c r="FK51" s="59">
        <f t="shared" si="48"/>
        <v>352.32552988394434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152.74167963555507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152.74167963555507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63.848125041135617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21.8</v>
      </c>
      <c r="FZ51" s="12">
        <f>IF('Données projet'!$A$244&gt;35,FZ50+FY51-GH50,IF(A51&lt;'Données projet'!$A$244,$FW$205^A51,IF(A51='Données projet'!$A$244,'Données projet'!$B$244,FZ50+FY51-GH50)))</f>
        <v>80.400000000000006</v>
      </c>
      <c r="GA51" s="17">
        <f>FZ51*VLOOKUP('Données projet'!$B$17,Paramètres!$A$1:$I$89,3,0)*VLOOKUP('Données projet'!$B$17,Paramètres!$A$1:$I$89,5,0)</f>
        <v>52.678080000000001</v>
      </c>
      <c r="GB51" s="13">
        <f t="shared" si="49"/>
        <v>15.303271301805914</v>
      </c>
      <c r="GC51" s="20">
        <f t="shared" si="25"/>
        <v>118.40085351731194</v>
      </c>
      <c r="GD51" s="59">
        <f t="shared" si="26"/>
        <v>389.17731200147585</v>
      </c>
      <c r="GE51" s="59">
        <f ca="1">AVERAGE(OFFSET($GD$3,0,0,'Données projet'!$E$17+1,1))-AVERAGE(OFFSET($H$3,0,0,'Données projet'!$E$17+1,1))</f>
        <v>123.03972959251965</v>
      </c>
      <c r="GF51" s="59">
        <f t="shared" si="50"/>
        <v>178.27657680839445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30.474680725963537</v>
      </c>
      <c r="GM51" s="21">
        <f>EXP(-LN(2)/25)*GM50+(1-EXP(-LN(2)/25))/(LN(2)/25)*Calculateur!GH51*Calculateur!GJ51*VLOOKUP('Données projet'!$B$17,Paramètres!$A$1:$I$89,3,0)*0.475*44/12</f>
        <v>31.17942773220269</v>
      </c>
      <c r="GN51" s="21">
        <f>EXP(-LN(2)/2)*GN50+(1-EXP(-LN(2)/2))/(LN(2)/2)*GH51*GK51*VLOOKUP('Données projet'!$B$17,Paramètres!$A$1:$I$89,3,0)*0.475*44/12</f>
        <v>5.380865580190064</v>
      </c>
      <c r="GO51" s="21">
        <f t="shared" si="27"/>
        <v>67.034974038356296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63.848125041135617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13.04</v>
      </c>
      <c r="GU51" s="12">
        <f>IF('Données projet'!$A$270&gt;35,GU50+GT51-HC50,IF(A51&lt;'Données projet'!$A$270,$GR$205^A51,IF(A51='Données projet'!$A$270,'Données projet'!$B$270,GU50+GT51-HC50)))</f>
        <v>625.91999999999996</v>
      </c>
      <c r="GV51" s="17">
        <f>GU51*VLOOKUP('Données projet'!$B$18,Paramètres!$A$1:$I$89,3,0)*VLOOKUP('Données projet'!$B$18,Paramètres!$A$1:$I$89,5,0)</f>
        <v>419.86713600000002</v>
      </c>
      <c r="GW51" s="13">
        <f t="shared" si="51"/>
        <v>95.792988955166948</v>
      </c>
      <c r="GX51" s="20">
        <f t="shared" si="28"/>
        <v>898.10805096358263</v>
      </c>
      <c r="GY51" s="59">
        <f t="shared" si="29"/>
        <v>1168.8845094477465</v>
      </c>
      <c r="GZ51" s="59">
        <f ca="1">AVERAGE(OFFSET($GY$3,0,0,'Données projet'!$E$18+1,1))-AVERAGE(OFFSET($H$3,0,0,'Données projet'!$E$18+1,1))</f>
        <v>542.25674729323623</v>
      </c>
      <c r="HA51" s="59">
        <f t="shared" si="52"/>
        <v>614.73906555680685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0</v>
      </c>
      <c r="HH51" s="21">
        <f>EXP(-LN(2)/25)*HH50+(1-EXP(-LN(2)/25))/(LN(2)/25)*Calculateur!HC51*Calculateur!HE51*VLOOKUP('Données projet'!$B$18,Paramètres!$A$1:$I$89,3,0)*0.475*44/12</f>
        <v>0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0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2.8499999999999996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10.449999999999998</v>
      </c>
      <c r="H52" s="67">
        <f t="shared" si="1"/>
        <v>214.86666666666667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63.954846318139928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10.4</v>
      </c>
      <c r="N52" s="13">
        <f>IF('Données projet'!$A$36&gt;35,N51+M52-V51,IF(A52&lt;'Données projet'!$A$36,$K$205^A52,IF(A52='Données projet'!$A$36,'Données projet'!$B$36,N51+M52-V51)))</f>
        <v>509.59999999999945</v>
      </c>
      <c r="O52" s="13">
        <f>N52*VLOOKUP('Données projet'!$B$9,Paramètres!$A$1:$I$89,3,0)*VLOOKUP('Données projet'!$B$9,Paramètres!$A$1:$I$89,5,0)</f>
        <v>445.18655999999964</v>
      </c>
      <c r="P52" s="13">
        <f t="shared" si="33"/>
        <v>100.87970778402851</v>
      </c>
      <c r="Q52" s="20">
        <f t="shared" si="53"/>
        <v>951.06541639051557</v>
      </c>
      <c r="R52" s="59">
        <f t="shared" si="0"/>
        <v>1222.2331862236954</v>
      </c>
      <c r="S52" s="59">
        <f ca="1">AVERAGE(OFFSET($R$3,0,0,'Données projet'!$E$9+1,1))-AVERAGE(OFFSET($H$3,0,0,'Données projet'!$E$9+1,1))</f>
        <v>686.80970545599644</v>
      </c>
      <c r="T52" s="59">
        <f t="shared" si="34"/>
        <v>636.16485232937737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63.954846318139928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7.833333333333333</v>
      </c>
      <c r="AI52" s="13">
        <f>IF('Données projet'!$A$62&gt;35,AI51+AH52-AQ51,IF(A52&lt;'Données projet'!$A$62,$AF$205^A52,IF(A52='Données projet'!$A$62,'Données projet'!$B$62,AI51+AH52-AQ51)))</f>
        <v>123.83333333333331</v>
      </c>
      <c r="AJ52" s="13">
        <f>AI52*VLOOKUP('Données projet'!$B$10,Paramètres!$A$1:$I$89,3,0)*VLOOKUP('Données projet'!$B$10,Paramètres!$A$1:$I$89,5,0)</f>
        <v>112.04439999999998</v>
      </c>
      <c r="AK52" s="13">
        <f t="shared" si="35"/>
        <v>29.812143709975022</v>
      </c>
      <c r="AL52" s="20">
        <f t="shared" si="4"/>
        <v>247.06681362820646</v>
      </c>
      <c r="AM52" s="59">
        <f t="shared" si="5"/>
        <v>518.23458346138625</v>
      </c>
      <c r="AN52" s="59">
        <f ca="1">AVERAGE(OFFSET($AM$3,0,0,'Données projet'!$E$10+1,1))-AVERAGE(OFFSET($H$3,0,0,'Données projet'!$E$10+1,1))</f>
        <v>323.67375363913726</v>
      </c>
      <c r="AO52" s="59">
        <f t="shared" si="36"/>
        <v>266.03902815735029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10.650551627196826</v>
      </c>
      <c r="AV52" s="21">
        <f>EXP(-LN(2)/25)*AV51+(1-EXP(-LN(2)/25))/(LN(2)/25)*Calculateur!AQ52*Calculateur!AS52*VLOOKUP('Données projet'!$B$10,Paramètres!$A$1:$I$89,3,0)*0.475*44/12</f>
        <v>11.877992090534795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22.528543717731623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63.954846318139928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371.46495716091965</v>
      </c>
      <c r="BJ52" s="59">
        <f t="shared" si="38"/>
        <v>579.95059529269417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205.26662066811096</v>
      </c>
      <c r="BQ52" s="21">
        <f>EXP(-LN(2)/25)*BQ51+(1-EXP(-LN(2)/25))/(LN(2)/25)*Calculateur!BL52*Calculateur!BN52*VLOOKUP('Données projet'!$B$11,Paramètres!$A$1:$I$89,3,0)*0.475*44/12</f>
        <v>61.664049428183127</v>
      </c>
      <c r="BR52" s="21">
        <f>EXP(-LN(2)/2)*BR51+(1-EXP(-LN(2)/2))/(LN(2)/2)*BL52*BO52*VLOOKUP('Données projet'!$B$11,Paramètres!$A$1:$I$89,3,0)*0.475*44/12</f>
        <v>9.7079635647077609</v>
      </c>
      <c r="BS52" s="22">
        <f t="shared" si="9"/>
        <v>276.63863366100185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63.954846318139928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>
        <f>BY52*VLOOKUP('Données projet'!$B$12,Paramètres!$A$1:$I$89,3,0)*VLOOKUP('Données projet'!$B$12,Paramètres!$A$1:$I$89,5,0)</f>
        <v>0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180.18752244216969</v>
      </c>
      <c r="CE52" s="59">
        <f t="shared" si="40"/>
        <v>350.12096474554676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247.8617937569189</v>
      </c>
      <c r="CL52" s="21">
        <f>EXP(-LN(2)/25)*CL51+(1-EXP(-LN(2)/25))/(LN(2)/25)*Calculateur!CG52*Calculateur!CI52*VLOOKUP('Données projet'!$B$12,Paramètres!$A$1:$I$89,3,0)*0.475*44/12</f>
        <v>109.94559754969757</v>
      </c>
      <c r="CM52" s="21">
        <f>EXP(-LN(2)/2)*CM51+(1-EXP(-LN(2)/2))/(LN(2)/2)*CG52*CJ52*VLOOKUP('Données projet'!$B$12,Paramètres!$A$1:$I$89,3,0)*0.475*44/12</f>
        <v>7.3756162544014847</v>
      </c>
      <c r="CN52" s="22">
        <f t="shared" si="12"/>
        <v>365.18300756101797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63.954846318139928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55.4</v>
      </c>
      <c r="CT52" s="12">
        <f>IF('Données projet'!$A$140&gt;35,CT51+CS52-DB51,IF(A52&lt;'Données projet'!$A$140,$CQ$205^A52,IF(A52='Données projet'!$A$140,'Données projet'!$B$140,CT51+CS52-DB51)))</f>
        <v>247.59999999999994</v>
      </c>
      <c r="CU52" s="17">
        <f>CT52*VLOOKUP('Données projet'!$B$13,Paramètres!$A$1:$I$89,3,0)*VLOOKUP('Données projet'!$B$13,Paramètres!$A$1:$I$89,5,0)</f>
        <v>196.99055999999996</v>
      </c>
      <c r="CV52" s="13">
        <f t="shared" si="41"/>
        <v>49.082201425782408</v>
      </c>
      <c r="CW52" s="20">
        <f t="shared" si="13"/>
        <v>428.57672614990429</v>
      </c>
      <c r="CX52" s="59">
        <f t="shared" si="14"/>
        <v>699.74449598308411</v>
      </c>
      <c r="CY52" s="59">
        <f ca="1">AVERAGE(OFFSET($CX$3,0,0,'Données projet'!$E$13+1,1))-AVERAGE(OFFSET($H$3,0,0,'Données projet'!$E$13+1,1))</f>
        <v>284.31574332240928</v>
      </c>
      <c r="CZ52" s="59">
        <f t="shared" si="42"/>
        <v>403.96994631683913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275.87506325623099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275.87506325623099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63.954846318139928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51</v>
      </c>
      <c r="DO52" s="12">
        <f>IF('Données projet'!$A$166&gt;35,DO51+DN52-DW51,IF(A52&lt;'Données projet'!$A$166,$DL$205^A52,IF(A52='Données projet'!$A$166,'Données projet'!$B$166,DO51+DN52-DW51)))</f>
        <v>204</v>
      </c>
      <c r="DP52" s="17">
        <f>DO52*VLOOKUP('Données projet'!$B$14,Paramètres!$A$1:$I$89,3,0)*VLOOKUP('Données projet'!$B$14,Paramètres!$A$1:$I$89,5,0)</f>
        <v>149.5728</v>
      </c>
      <c r="DQ52" s="13">
        <f t="shared" si="43"/>
        <v>38.481486779011689</v>
      </c>
      <c r="DR52" s="20">
        <f t="shared" si="16"/>
        <v>327.52788280677868</v>
      </c>
      <c r="DS52" s="59">
        <f t="shared" si="17"/>
        <v>598.69565263995844</v>
      </c>
      <c r="DT52" s="59">
        <f ca="1">AVERAGE(OFFSET($DS$3,0,0,'Données projet'!$E$14+1,1))-AVERAGE(OFFSET($H$3,0,0,'Données projet'!$E$14+1,1))</f>
        <v>190.9519472160006</v>
      </c>
      <c r="DU52" s="59">
        <f t="shared" si="44"/>
        <v>170.61553500287511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150.96800490304938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150.96800490304938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63.954846318139928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40.799999999999997</v>
      </c>
      <c r="EJ52" s="12">
        <f>IF('Données projet'!$A$192&gt;35,EJ51+EI52-ER51,IF(A52&lt;'Données projet'!$A$192,$EG$205^A52,IF(A52='Données projet'!$A$192,'Données projet'!$B$192,EJ51+EI52-ER51)))</f>
        <v>198.20000000000005</v>
      </c>
      <c r="EK52" s="17">
        <f>EJ52*VLOOKUP('Données projet'!$B$15,Paramètres!$A$1:$I$89,3,0)*VLOOKUP('Données projet'!$B$15,Paramètres!$A$1:$I$89,5,0)</f>
        <v>170.05560000000006</v>
      </c>
      <c r="EL52" s="13">
        <f t="shared" si="45"/>
        <v>43.102475898738923</v>
      </c>
      <c r="EM52" s="20">
        <f t="shared" si="19"/>
        <v>371.25031552363703</v>
      </c>
      <c r="EN52" s="59">
        <f t="shared" si="20"/>
        <v>642.41808535681685</v>
      </c>
      <c r="EO52" s="59">
        <f ca="1">AVERAGE(OFFSET($EN$3,0,0,'Données projet'!$E$15+1,1))-AVERAGE(OFFSET($H$3,0,0,'Données projet'!$E$15+1,1))</f>
        <v>331.94255128154623</v>
      </c>
      <c r="EP52" s="59">
        <f t="shared" si="46"/>
        <v>258.40809812013964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133.63487727258749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133.63487727258749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63.954846318139928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47.8</v>
      </c>
      <c r="FE52" s="12">
        <f>IF('Données projet'!$A$218&gt;35,FE51+FD52-FM51,IF(A52&lt;'Données projet'!$A$218,$FB$205^A52,IF(A52='Données projet'!$A$218,'Données projet'!$B$218,FE51+FD52-FM51)))</f>
        <v>226.2000000000001</v>
      </c>
      <c r="FF52" s="17">
        <f>FE52*VLOOKUP('Données projet'!$B$16,Paramètres!$A$1:$I$89,3,0)*VLOOKUP('Données projet'!$B$16,Paramètres!$A$1:$I$89,5,0)</f>
        <v>215.2519200000001</v>
      </c>
      <c r="FG52" s="13">
        <f t="shared" si="47"/>
        <v>53.081607218603985</v>
      </c>
      <c r="FH52" s="20">
        <f t="shared" si="22"/>
        <v>467.34755990573552</v>
      </c>
      <c r="FI52" s="59">
        <f t="shared" si="23"/>
        <v>738.51532973891528</v>
      </c>
      <c r="FJ52" s="59">
        <f ca="1">AVERAGE(OFFSET($FI$3,0,0,'Données projet'!$E$16+1,1))-AVERAGE(OFFSET($H$3,0,0,'Données projet'!$E$16+1,1))</f>
        <v>290.72311302449236</v>
      </c>
      <c r="FK52" s="59">
        <f t="shared" si="48"/>
        <v>352.32552988394434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149.74650846112732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149.74650846112732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63.954846318139928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21.8</v>
      </c>
      <c r="FZ52" s="12">
        <f>IF('Données projet'!$A$244&gt;35,FZ51+FY52-GH51,IF(A52&lt;'Données projet'!$A$244,$FW$205^A52,IF(A52='Données projet'!$A$244,'Données projet'!$B$244,FZ51+FY52-GH51)))</f>
        <v>102.2</v>
      </c>
      <c r="GA52" s="17">
        <f>FZ52*VLOOKUP('Données projet'!$B$17,Paramètres!$A$1:$I$89,3,0)*VLOOKUP('Données projet'!$B$17,Paramètres!$A$1:$I$89,5,0)</f>
        <v>66.961439999999996</v>
      </c>
      <c r="GB52" s="13">
        <f t="shared" si="49"/>
        <v>18.9169381762505</v>
      </c>
      <c r="GC52" s="20">
        <f t="shared" si="25"/>
        <v>149.5715086569696</v>
      </c>
      <c r="GD52" s="59">
        <f t="shared" si="26"/>
        <v>420.73927849014933</v>
      </c>
      <c r="GE52" s="59">
        <f ca="1">AVERAGE(OFFSET($GD$3,0,0,'Données projet'!$E$17+1,1))-AVERAGE(OFFSET($H$3,0,0,'Données projet'!$E$17+1,1))</f>
        <v>123.03972959251965</v>
      </c>
      <c r="GF52" s="59">
        <f t="shared" si="50"/>
        <v>178.27657680839445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29.877090824647251</v>
      </c>
      <c r="GM52" s="21">
        <f>EXP(-LN(2)/25)*GM51+(1-EXP(-LN(2)/25))/(LN(2)/25)*Calculateur!GH52*Calculateur!GJ52*VLOOKUP('Données projet'!$B$17,Paramètres!$A$1:$I$89,3,0)*0.475*44/12</f>
        <v>30.326824641210763</v>
      </c>
      <c r="GN52" s="21">
        <f>EXP(-LN(2)/2)*GN51+(1-EXP(-LN(2)/2))/(LN(2)/2)*GH52*GK52*VLOOKUP('Données projet'!$B$17,Paramètres!$A$1:$I$89,3,0)*0.475*44/12</f>
        <v>3.804846540405681</v>
      </c>
      <c r="GO52" s="21">
        <f t="shared" si="27"/>
        <v>64.008762006263694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63.954846318139928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13.04</v>
      </c>
      <c r="GU52" s="12">
        <f>IF('Données projet'!$A$270&gt;35,GU51+GT52-HC51,IF(A52&lt;'Données projet'!$A$270,$GR$205^A52,IF(A52='Données projet'!$A$270,'Données projet'!$B$270,GU51+GT52-HC51)))</f>
        <v>638.95999999999992</v>
      </c>
      <c r="GV52" s="17">
        <f>GU52*VLOOKUP('Données projet'!$B$18,Paramètres!$A$1:$I$89,3,0)*VLOOKUP('Données projet'!$B$18,Paramètres!$A$1:$I$89,5,0)</f>
        <v>428.61436799999996</v>
      </c>
      <c r="GW52" s="13">
        <f t="shared" si="51"/>
        <v>97.55425651326594</v>
      </c>
      <c r="GX52" s="20">
        <f t="shared" si="28"/>
        <v>916.41035436060474</v>
      </c>
      <c r="GY52" s="59">
        <f t="shared" si="29"/>
        <v>1187.5781241937846</v>
      </c>
      <c r="GZ52" s="59">
        <f ca="1">AVERAGE(OFFSET($GY$3,0,0,'Données projet'!$E$18+1,1))-AVERAGE(OFFSET($H$3,0,0,'Données projet'!$E$18+1,1))</f>
        <v>542.25674729323623</v>
      </c>
      <c r="HA52" s="59">
        <f t="shared" si="52"/>
        <v>614.73906555680685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0</v>
      </c>
      <c r="HH52" s="21">
        <f>EXP(-LN(2)/25)*HH51+(1-EXP(-LN(2)/25))/(LN(2)/25)*Calculateur!HC52*Calculateur!HE52*VLOOKUP('Données projet'!$B$18,Paramètres!$A$1:$I$89,3,0)*0.475*44/12</f>
        <v>0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0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2.8499999999999996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10.449999999999998</v>
      </c>
      <c r="H53" s="67">
        <f t="shared" si="1"/>
        <v>214.86666666666667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64.059716219581247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520</v>
      </c>
      <c r="L53" s="12">
        <f>VLOOKUP(A53,'Données projet'!$A$35:$I$55,9,0)</f>
        <v>10.4</v>
      </c>
      <c r="M53" s="12">
        <f t="array" ref="M53">INDEX(L:L,MIN(IF(ISNUMBER(L53:L249),ROW(L53:L249),"")))</f>
        <v>10.4</v>
      </c>
      <c r="N53" s="13">
        <f>IF('Données projet'!$A$36&gt;35,N52+M53-V52,IF(A53&lt;'Données projet'!$A$36,$K$205^A53,IF(A53='Données projet'!$A$36,'Données projet'!$B$36,N52+M53-V52)))</f>
        <v>519.99999999999943</v>
      </c>
      <c r="O53" s="13">
        <f>N53*VLOOKUP('Données projet'!$B$9,Paramètres!$A$1:$I$89,3,0)*VLOOKUP('Données projet'!$B$9,Paramètres!$A$1:$I$89,5,0)</f>
        <v>454.27199999999954</v>
      </c>
      <c r="P53" s="13">
        <f t="shared" si="33"/>
        <v>102.69669211037596</v>
      </c>
      <c r="Q53" s="20">
        <f t="shared" si="53"/>
        <v>970.05380542557066</v>
      </c>
      <c r="R53" s="59">
        <f t="shared" si="0"/>
        <v>1241.6060982307019</v>
      </c>
      <c r="S53" s="59">
        <f ca="1">AVERAGE(OFFSET($R$3,0,0,'Données projet'!$E$9+1,1))-AVERAGE(OFFSET($H$3,0,0,'Données projet'!$E$9+1,1))</f>
        <v>686.80970545599644</v>
      </c>
      <c r="T53" s="59">
        <f t="shared" si="34"/>
        <v>636.16485232937737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64.059716219581247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7.833333333333333</v>
      </c>
      <c r="AI53" s="13">
        <f>IF('Données projet'!$A$62&gt;35,AI52+AH53-AQ52,IF(A53&lt;'Données projet'!$A$62,$AF$205^A53,IF(A53='Données projet'!$A$62,'Données projet'!$B$62,AI52+AH53-AQ52)))</f>
        <v>131.66666666666666</v>
      </c>
      <c r="AJ53" s="13">
        <f>AI53*VLOOKUP('Données projet'!$B$10,Paramètres!$A$1:$I$89,3,0)*VLOOKUP('Données projet'!$B$10,Paramètres!$A$1:$I$89,5,0)</f>
        <v>119.13199999999999</v>
      </c>
      <c r="AK53" s="13">
        <f t="shared" si="35"/>
        <v>31.472467091979826</v>
      </c>
      <c r="AL53" s="20">
        <f t="shared" si="4"/>
        <v>262.30278018519817</v>
      </c>
      <c r="AM53" s="59">
        <f t="shared" si="5"/>
        <v>533.8550729903294</v>
      </c>
      <c r="AN53" s="59">
        <f ca="1">AVERAGE(OFFSET($AM$3,0,0,'Données projet'!$E$10+1,1))-AVERAGE(OFFSET($H$3,0,0,'Données projet'!$E$10+1,1))</f>
        <v>323.67375363913726</v>
      </c>
      <c r="AO53" s="59">
        <f t="shared" si="36"/>
        <v>266.03902815735029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10.441700805982544</v>
      </c>
      <c r="AV53" s="21">
        <f>EXP(-LN(2)/25)*AV52+(1-EXP(-LN(2)/25))/(LN(2)/25)*Calculateur!AQ53*Calculateur!AS53*VLOOKUP('Données projet'!$B$10,Paramètres!$A$1:$I$89,3,0)*0.475*44/12</f>
        <v>11.553187772182664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21.994888578165209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64.059716219581247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371.46495716091965</v>
      </c>
      <c r="BJ53" s="59">
        <f t="shared" si="38"/>
        <v>579.95059529269417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201.24146743708542</v>
      </c>
      <c r="BQ53" s="21">
        <f>EXP(-LN(2)/25)*BQ52+(1-EXP(-LN(2)/25))/(LN(2)/25)*Calculateur!BL53*Calculateur!BN53*VLOOKUP('Données projet'!$B$11,Paramètres!$A$1:$I$89,3,0)*0.475*44/12</f>
        <v>59.977842753798036</v>
      </c>
      <c r="BR53" s="21">
        <f>EXP(-LN(2)/2)*BR52+(1-EXP(-LN(2)/2))/(LN(2)/2)*BL53*BO53*VLOOKUP('Données projet'!$B$11,Paramètres!$A$1:$I$89,3,0)*0.475*44/12</f>
        <v>6.8645668681167873</v>
      </c>
      <c r="BS53" s="22">
        <f t="shared" si="9"/>
        <v>268.08387705900026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64.059716219581247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>
        <f>BY53*VLOOKUP('Données projet'!$B$12,Paramètres!$A$1:$I$89,3,0)*VLOOKUP('Données projet'!$B$12,Paramètres!$A$1:$I$89,5,0)</f>
        <v>0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180.18752244216969</v>
      </c>
      <c r="CE53" s="59">
        <f t="shared" si="40"/>
        <v>350.12096474554676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243.00137516211205</v>
      </c>
      <c r="CL53" s="21">
        <f>EXP(-LN(2)/25)*CL52+(1-EXP(-LN(2)/25))/(LN(2)/25)*Calculateur!CG53*Calculateur!CI53*VLOOKUP('Données projet'!$B$12,Paramètres!$A$1:$I$89,3,0)*0.475*44/12</f>
        <v>106.93912940291339</v>
      </c>
      <c r="CM53" s="21">
        <f>EXP(-LN(2)/2)*CM52+(1-EXP(-LN(2)/2))/(LN(2)/2)*CG53*CJ53*VLOOKUP('Données projet'!$B$12,Paramètres!$A$1:$I$89,3,0)*0.475*44/12</f>
        <v>5.2153482689170145</v>
      </c>
      <c r="CN53" s="22">
        <f t="shared" si="12"/>
        <v>355.15585283394245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64.059716219581247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303</v>
      </c>
      <c r="CR53" s="12">
        <f>VLOOKUP(A53,'Données projet'!$A$139:$I$159,9,0)</f>
        <v>55.4</v>
      </c>
      <c r="CS53" s="12">
        <f t="array" ref="CS53">INDEX(CR:CR,MIN(IF(ISNUMBER(CR53:CR249),ROW(CR53:CR249),"")))</f>
        <v>55.4</v>
      </c>
      <c r="CT53" s="12">
        <f>IF('Données projet'!$A$140&gt;35,CT52+CS53-DB52,IF(A53&lt;'Données projet'!$A$140,$CQ$205^A53,IF(A53='Données projet'!$A$140,'Données projet'!$B$140,CT52+CS53-DB52)))</f>
        <v>302.99999999999994</v>
      </c>
      <c r="CU53" s="17">
        <f>CT53*VLOOKUP('Données projet'!$B$13,Paramètres!$A$1:$I$89,3,0)*VLOOKUP('Données projet'!$B$13,Paramètres!$A$1:$I$89,5,0)</f>
        <v>241.06679999999997</v>
      </c>
      <c r="CV53" s="13">
        <f t="shared" si="41"/>
        <v>58.668998418543559</v>
      </c>
      <c r="CW53" s="20">
        <f t="shared" si="13"/>
        <v>522.03984891229663</v>
      </c>
      <c r="CX53" s="59">
        <f t="shared" si="14"/>
        <v>793.59214171742792</v>
      </c>
      <c r="CY53" s="59">
        <f ca="1">AVERAGE(OFFSET($CX$3,0,0,'Données projet'!$E$13+1,1))-AVERAGE(OFFSET($H$3,0,0,'Données projet'!$E$13+1,1))</f>
        <v>284.31574332240928</v>
      </c>
      <c r="CZ53" s="59">
        <f t="shared" si="42"/>
        <v>403.96994631683913</v>
      </c>
      <c r="DA53" s="15">
        <f>IF(ISNA(VLOOKUP(A53,'Données projet'!$A$139:$I$159,3,0)),0,VLOOKUP(A53,'Données projet'!$A$139:$I$159,3,0))</f>
        <v>9</v>
      </c>
      <c r="DB53" s="15">
        <f>IF(ISNA(VLOOKUP(A53,'Données projet'!$A$139:$I$159,4,0)),0,VLOOKUP(A53,'Données projet'!$A$139:$I$159,4,0))</f>
        <v>282</v>
      </c>
      <c r="DC53" s="16">
        <f>IF(ISNA(VLOOKUP(A53,'Données projet'!$A$139:$I$159,5,0)),0%,VLOOKUP(A53,'Données projet'!$A$139:$I$159,5,0)*VLOOKUP('Données projet'!$B$13,Paramètres!$A$1:$I$89,7,0))</f>
        <v>0.42400000000000004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375.62684032265054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375.62684032265054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64.059716219581247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255</v>
      </c>
      <c r="DM53" s="12">
        <f>VLOOKUP(A53,'Données projet'!$A$165:$I$185,9,0)</f>
        <v>51</v>
      </c>
      <c r="DN53" s="12">
        <f t="array" ref="DN53">INDEX(DM:DM,MIN(IF(ISNUMBER(DM53:DM249),ROW(DM53:DM249),"")))</f>
        <v>51</v>
      </c>
      <c r="DO53" s="12">
        <f>IF('Données projet'!$A$166&gt;35,DO52+DN53-DW52,IF(A53&lt;'Données projet'!$A$166,$DL$205^A53,IF(A53='Données projet'!$A$166,'Données projet'!$B$166,DO52+DN53-DW52)))</f>
        <v>255</v>
      </c>
      <c r="DP53" s="17">
        <f>DO53*VLOOKUP('Données projet'!$B$14,Paramètres!$A$1:$I$89,3,0)*VLOOKUP('Données projet'!$B$14,Paramètres!$A$1:$I$89,5,0)</f>
        <v>186.96600000000001</v>
      </c>
      <c r="DQ53" s="13">
        <f t="shared" si="43"/>
        <v>46.868551400324648</v>
      </c>
      <c r="DR53" s="20">
        <f t="shared" si="16"/>
        <v>407.26184368889875</v>
      </c>
      <c r="DS53" s="59">
        <f t="shared" si="17"/>
        <v>678.81413649402998</v>
      </c>
      <c r="DT53" s="59">
        <f ca="1">AVERAGE(OFFSET($DS$3,0,0,'Données projet'!$E$14+1,1))-AVERAGE(OFFSET($H$3,0,0,'Données projet'!$E$14+1,1))</f>
        <v>190.9519472160006</v>
      </c>
      <c r="DU53" s="59">
        <f t="shared" si="44"/>
        <v>170.61553500287511</v>
      </c>
      <c r="DV53" s="15">
        <f>IF(ISNA(VLOOKUP(A53,'Données projet'!$A$165:$I$185,3,0)),0,VLOOKUP(A53,'Données projet'!$A$165:$I$185,3,0))</f>
        <v>9</v>
      </c>
      <c r="DW53" s="15">
        <f>IF(ISNA(VLOOKUP(A53,'Données projet'!$A$165:$I$185,4,0)),0,VLOOKUP(A53,'Données projet'!$A$165:$I$185,4,0))</f>
        <v>255</v>
      </c>
      <c r="DX53" s="16">
        <f>IF(ISNA(VLOOKUP(A53,'Données projet'!$A$165:$I$185,5,0)),0%,VLOOKUP(A53,'Données projet'!$A$165:$I$185,5,0)*VLOOKUP('Données projet'!$B$14,Paramètres!$A$1:$I$89,7,0))</f>
        <v>0.34400000000000003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219.10738340132789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219.10738340132789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64.059716219581247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239</v>
      </c>
      <c r="EH53" s="12">
        <f>VLOOKUP(A53,'Données projet'!$A$191:$I$211,9,0)</f>
        <v>40.799999999999997</v>
      </c>
      <c r="EI53" s="12">
        <f t="array" ref="EI53">INDEX(EH:EH,MIN(IF(ISNUMBER(EH53:EH249),ROW(EH53:EH249),"")))</f>
        <v>40.799999999999997</v>
      </c>
      <c r="EJ53" s="12">
        <f>IF('Données projet'!$A$192&gt;35,EJ52+EI53-ER52,IF(A53&lt;'Données projet'!$A$192,$EG$205^A53,IF(A53='Données projet'!$A$192,'Données projet'!$B$192,EJ52+EI53-ER52)))</f>
        <v>239.00000000000006</v>
      </c>
      <c r="EK53" s="17">
        <f>EJ53*VLOOKUP('Données projet'!$B$15,Paramètres!$A$1:$I$89,3,0)*VLOOKUP('Données projet'!$B$15,Paramètres!$A$1:$I$89,5,0)</f>
        <v>205.06200000000007</v>
      </c>
      <c r="EL53" s="13">
        <f t="shared" si="45"/>
        <v>50.855018623514866</v>
      </c>
      <c r="EM53" s="20">
        <f t="shared" si="19"/>
        <v>445.7221407692885</v>
      </c>
      <c r="EN53" s="59">
        <f t="shared" si="20"/>
        <v>717.27443357441973</v>
      </c>
      <c r="EO53" s="59">
        <f ca="1">AVERAGE(OFFSET($EN$3,0,0,'Données projet'!$E$15+1,1))-AVERAGE(OFFSET($H$3,0,0,'Données projet'!$E$15+1,1))</f>
        <v>331.94255128154623</v>
      </c>
      <c r="EP53" s="59">
        <f t="shared" si="46"/>
        <v>258.40809812013964</v>
      </c>
      <c r="EQ53" s="15">
        <f>IF(ISNA(VLOOKUP(A53,'Données projet'!$A$191:$I$211,3,0)),0,VLOOKUP(A53,'Données projet'!$A$191:$I$211,3,0))</f>
        <v>7</v>
      </c>
      <c r="ER53" s="15">
        <f>IF(ISNA(VLOOKUP(A53,'Données projet'!$A$191:$I$211,4,0)),0,VLOOKUP(A53,'Données projet'!$A$191:$I$211,4,0))</f>
        <v>204</v>
      </c>
      <c r="ES53" s="16">
        <f>IF(ISNA(VLOOKUP(A53,'Données projet'!$A$191:$I$211,5,0)),0%,VLOOKUP(A53,'Données projet'!$A$191:$I$211,5,0)*VLOOKUP('Données projet'!$B$15,Paramètres!$A$1:$I$89,7,0))</f>
        <v>0.42400000000000004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213.05528002195325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213.05528002195325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64.059716219581247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274</v>
      </c>
      <c r="FC53" s="12">
        <f>VLOOKUP(A53,'Données projet'!$A$217:$I$237,9,0)</f>
        <v>47.8</v>
      </c>
      <c r="FD53" s="12">
        <f t="array" ref="FD53">INDEX(FC:FC,MIN(IF(ISNUMBER(FC53:FC249),ROW(FC53:FC249),"")))</f>
        <v>47.8</v>
      </c>
      <c r="FE53" s="12">
        <f>IF('Données projet'!$A$218&gt;35,FE52+FD53-FM52,IF(A53&lt;'Données projet'!$A$218,$FB$205^A53,IF(A53='Données projet'!$A$218,'Données projet'!$B$218,FE52+FD53-FM52)))</f>
        <v>274.00000000000011</v>
      </c>
      <c r="FF53" s="17">
        <f>FE53*VLOOKUP('Données projet'!$B$16,Paramètres!$A$1:$I$89,3,0)*VLOOKUP('Données projet'!$B$16,Paramètres!$A$1:$I$89,5,0)</f>
        <v>260.73840000000013</v>
      </c>
      <c r="FG53" s="13">
        <f t="shared" si="47"/>
        <v>62.879749008354764</v>
      </c>
      <c r="FH53" s="20">
        <f t="shared" si="22"/>
        <v>563.634942856218</v>
      </c>
      <c r="FI53" s="59">
        <f t="shared" si="23"/>
        <v>835.18723566134918</v>
      </c>
      <c r="FJ53" s="59">
        <f ca="1">AVERAGE(OFFSET($FI$3,0,0,'Données projet'!$E$16+1,1))-AVERAGE(OFFSET($H$3,0,0,'Données projet'!$E$16+1,1))</f>
        <v>290.72311302449236</v>
      </c>
      <c r="FK53" s="59">
        <f t="shared" si="48"/>
        <v>352.32552988394434</v>
      </c>
      <c r="FL53" s="15">
        <f>IF(ISNA(VLOOKUP(A53,'Données projet'!$A$217:$I$237,3,0)),0,VLOOKUP(A53,'Données projet'!$A$217:$I$237,3,0))</f>
        <v>7</v>
      </c>
      <c r="FM53" s="15">
        <f>IF(ISNA(VLOOKUP(A53,'Données projet'!$A$217:$I$237,4,0)),0,VLOOKUP(A53,'Données projet'!$A$217:$I$237,4,0))</f>
        <v>239</v>
      </c>
      <c r="FN53" s="16">
        <f>IF(ISNA(VLOOKUP(A53,'Données projet'!$A$217:$I$237,5,0)),0%,VLOOKUP(A53,'Données projet'!$A$217:$I$237,5,0)*VLOOKUP('Données projet'!$B$16,Paramètres!$A$1:$I$89,7,0))</f>
        <v>0.34400000000000003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233.29847561841092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233.29847561841092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64.059716219581247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124</v>
      </c>
      <c r="FX53" s="12">
        <f>VLOOKUP(A53,'Données projet'!$A$243:$I$263,9,0)</f>
        <v>21.8</v>
      </c>
      <c r="FY53" s="12">
        <f t="array" ref="FY53">INDEX(FX:FX,MIN(IF(ISNUMBER(FX53:FX249),ROW(FX53:FX249),"")))</f>
        <v>21.8</v>
      </c>
      <c r="FZ53" s="12">
        <f>IF('Données projet'!$A$244&gt;35,FZ52+FY53-GH52,IF(A53&lt;'Données projet'!$A$244,$FW$205^A53,IF(A53='Données projet'!$A$244,'Données projet'!$B$244,FZ52+FY53-GH52)))</f>
        <v>124</v>
      </c>
      <c r="GA53" s="17">
        <f>FZ53*VLOOKUP('Données projet'!$B$17,Paramètres!$A$1:$I$89,3,0)*VLOOKUP('Données projet'!$B$17,Paramètres!$A$1:$I$89,5,0)</f>
        <v>81.244799999999998</v>
      </c>
      <c r="GB53" s="13">
        <f t="shared" si="49"/>
        <v>22.441270156928962</v>
      </c>
      <c r="GC53" s="20">
        <f t="shared" si="25"/>
        <v>180.58657218998462</v>
      </c>
      <c r="GD53" s="59">
        <f t="shared" si="26"/>
        <v>452.13886499511585</v>
      </c>
      <c r="GE53" s="59">
        <f ca="1">AVERAGE(OFFSET($GD$3,0,0,'Données projet'!$E$17+1,1))-AVERAGE(OFFSET($H$3,0,0,'Données projet'!$E$17+1,1))</f>
        <v>123.03972959251965</v>
      </c>
      <c r="GF53" s="59">
        <f t="shared" si="50"/>
        <v>178.27657680839445</v>
      </c>
      <c r="GG53" s="15">
        <f>IF(ISNA(VLOOKUP(A53,'Données projet'!$A$243:$I$263,3,0)),0,VLOOKUP(A53,'Données projet'!$A$243:$I$263,3,0))</f>
        <v>8</v>
      </c>
      <c r="GH53" s="15">
        <f>IF(ISNA(VLOOKUP(A53,'Données projet'!$A$243:$I$263,4,0)),0,VLOOKUP(A53,'Données projet'!$A$243:$I$263,4,0))</f>
        <v>109</v>
      </c>
      <c r="GI53" s="16">
        <f>IF(ISNA(VLOOKUP(A53,'Données projet'!$A$243:$I$263,5,0)),0%,VLOOKUP(A53,'Données projet'!$A$243:$I$263,5,0)*VLOOKUP('Données projet'!$B$17,Paramètres!$A$1:$I$89,7,0))</f>
        <v>0.17200000000000001</v>
      </c>
      <c r="GJ53" s="16">
        <f>IF(ISNA(VLOOKUP(A53,'Données projet'!$A$243:$I$263,6,0)),0%,VLOOKUP(A53,'Données projet'!$A$243:$I$263,6,0)*VLOOKUP('Données projet'!$B$17,Paramètres!$A$1:$I$89,7,0))</f>
        <v>8.6000000000000007E-2</v>
      </c>
      <c r="GK53" s="16">
        <f>IF(ISNA(VLOOKUP(A53,'Données projet'!$A$243:$I$263,7,0)),0%,VLOOKUP(A53,'Données projet'!$A$243:$I$263,7,0))</f>
        <v>0.2</v>
      </c>
      <c r="GL53" s="21">
        <f>EXP(-LN(2)/35)*GL52+(1-EXP(-LN(2)/35))/(LN(2)/35)*GH53*GI53*VLOOKUP('Données projet'!$B$17,Paramètres!$A$1:$I$89,3,0)*0.475*44/12</f>
        <v>42.870474300978877</v>
      </c>
      <c r="GM53" s="21">
        <f>EXP(-LN(2)/25)*GM52+(1-EXP(-LN(2)/25))/(LN(2)/25)*Calculateur!GH53*Calculateur!GJ53*VLOOKUP('Données projet'!$B$17,Paramètres!$A$1:$I$89,3,0)*0.475*44/12</f>
        <v>36.260430178140311</v>
      </c>
      <c r="GN53" s="21">
        <f>EXP(-LN(2)/2)*GN52+(1-EXP(-LN(2)/2))/(LN(2)/2)*GH53*GK53*VLOOKUP('Données projet'!$B$17,Paramètres!$A$1:$I$89,3,0)*0.475*44/12</f>
        <v>16.167167381093048</v>
      </c>
      <c r="GO53" s="21">
        <f t="shared" si="27"/>
        <v>95.298071860212232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64.059716219581247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652</v>
      </c>
      <c r="GS53" s="12">
        <f>VLOOKUP(A53,'Données projet'!$A$269:$I$289,9,0)</f>
        <v>13.04</v>
      </c>
      <c r="GT53" s="12">
        <f t="array" ref="GT53">INDEX(GS:GS,MIN(IF(ISNUMBER(GS53:GS249),ROW(GS53:GS249),"")))</f>
        <v>13.04</v>
      </c>
      <c r="GU53" s="12">
        <f>IF('Données projet'!$A$270&gt;35,GU52+GT53-HC52,IF(A53&lt;'Données projet'!$A$270,$GR$205^A53,IF(A53='Données projet'!$A$270,'Données projet'!$B$270,GU52+GT53-HC52)))</f>
        <v>651.99999999999989</v>
      </c>
      <c r="GV53" s="17">
        <f>GU53*VLOOKUP('Données projet'!$B$18,Paramètres!$A$1:$I$89,3,0)*VLOOKUP('Données projet'!$B$18,Paramètres!$A$1:$I$89,5,0)</f>
        <v>437.36159999999995</v>
      </c>
      <c r="GW53" s="13">
        <f t="shared" si="51"/>
        <v>99.311344821179887</v>
      </c>
      <c r="GX53" s="20">
        <f t="shared" si="28"/>
        <v>934.70537889688819</v>
      </c>
      <c r="GY53" s="59">
        <f t="shared" si="29"/>
        <v>1206.2576717020195</v>
      </c>
      <c r="GZ53" s="59">
        <f ca="1">AVERAGE(OFFSET($GY$3,0,0,'Données projet'!$E$18+1,1))-AVERAGE(OFFSET($H$3,0,0,'Données projet'!$E$18+1,1))</f>
        <v>542.25674729323623</v>
      </c>
      <c r="HA53" s="59">
        <f t="shared" si="52"/>
        <v>614.73906555680685</v>
      </c>
      <c r="HB53" s="15">
        <f>IF(ISNA(VLOOKUP(A53,'Données projet'!$A$269:$I$289,3,0)),0,VLOOKUP(A53,'Données projet'!$A$269:$I$289,3,0))</f>
        <v>1</v>
      </c>
      <c r="HC53" s="15">
        <f>IF(ISNA(VLOOKUP(A53,'Données projet'!$A$269:$I$289,4,0)),0,VLOOKUP(A53,'Données projet'!$A$269:$I$289,4,0))</f>
        <v>415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0</v>
      </c>
      <c r="HH53" s="21">
        <f>EXP(-LN(2)/25)*HH52+(1-EXP(-LN(2)/25))/(LN(2)/25)*Calculateur!HC53*Calculateur!HE53*VLOOKUP('Données projet'!$B$18,Paramètres!$A$1:$I$89,3,0)*0.475*44/12</f>
        <v>0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0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2.8499999999999996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10.449999999999998</v>
      </c>
      <c r="H54" s="67">
        <f t="shared" si="1"/>
        <v>214.86666666666667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64.162766862686539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10.4</v>
      </c>
      <c r="N54" s="13">
        <f>IF('Données projet'!$A$36&gt;35,N53+M54-V53,IF(A54&lt;'Données projet'!$A$36,$K$205^A54,IF(A54='Données projet'!$A$36,'Données projet'!$B$36,N53+M54-V53)))</f>
        <v>530.39999999999941</v>
      </c>
      <c r="O54" s="13">
        <f>N54*VLOOKUP('Données projet'!$B$9,Paramètres!$A$1:$I$89,3,0)*VLOOKUP('Données projet'!$B$9,Paramètres!$A$1:$I$89,5,0)</f>
        <v>463.3574399999996</v>
      </c>
      <c r="P54" s="13">
        <f t="shared" si="33"/>
        <v>104.50945111927871</v>
      </c>
      <c r="Q54" s="20">
        <f t="shared" si="53"/>
        <v>989.03483536607621</v>
      </c>
      <c r="R54" s="59">
        <f t="shared" si="0"/>
        <v>1260.9649805292602</v>
      </c>
      <c r="S54" s="59">
        <f ca="1">AVERAGE(OFFSET($R$3,0,0,'Données projet'!$E$9+1,1))-AVERAGE(OFFSET($H$3,0,0,'Données projet'!$E$9+1,1))</f>
        <v>686.80970545599644</v>
      </c>
      <c r="T54" s="59">
        <f t="shared" si="34"/>
        <v>636.16485232937737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64.162766862686539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7.833333333333333</v>
      </c>
      <c r="AI54" s="13">
        <f>IF('Données projet'!$A$62&gt;35,AI53+AH54-AQ53,IF(A54&lt;'Données projet'!$A$62,$AF$205^A54,IF(A54='Données projet'!$A$62,'Données projet'!$B$62,AI53+AH54-AQ53)))</f>
        <v>139.5</v>
      </c>
      <c r="AJ54" s="13">
        <f>AI54*VLOOKUP('Données projet'!$B$10,Paramètres!$A$1:$I$89,3,0)*VLOOKUP('Données projet'!$B$10,Paramètres!$A$1:$I$89,5,0)</f>
        <v>126.2196</v>
      </c>
      <c r="AK54" s="13">
        <f t="shared" si="35"/>
        <v>33.121325210832396</v>
      </c>
      <c r="AL54" s="20">
        <f t="shared" si="4"/>
        <v>277.51877807553302</v>
      </c>
      <c r="AM54" s="59">
        <f t="shared" si="5"/>
        <v>549.44892323871704</v>
      </c>
      <c r="AN54" s="59">
        <f ca="1">AVERAGE(OFFSET($AM$3,0,0,'Données projet'!$E$10+1,1))-AVERAGE(OFFSET($H$3,0,0,'Données projet'!$E$10+1,1))</f>
        <v>323.67375363913726</v>
      </c>
      <c r="AO54" s="59">
        <f t="shared" si="36"/>
        <v>266.03902815735029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10.236945421985849</v>
      </c>
      <c r="AV54" s="21">
        <f>EXP(-LN(2)/25)*AV53+(1-EXP(-LN(2)/25))/(LN(2)/25)*Calculateur!AQ54*Calculateur!AS54*VLOOKUP('Données projet'!$B$10,Paramètres!$A$1:$I$89,3,0)*0.475*44/12</f>
        <v>11.237265244996589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21.474210666982437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64.162766862686539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371.46495716091965</v>
      </c>
      <c r="BJ54" s="59">
        <f t="shared" si="38"/>
        <v>579.95059529269417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197.29524500581923</v>
      </c>
      <c r="BQ54" s="21">
        <f>EXP(-LN(2)/25)*BQ53+(1-EXP(-LN(2)/25))/(LN(2)/25)*Calculateur!BL54*Calculateur!BN54*VLOOKUP('Données projet'!$B$11,Paramètres!$A$1:$I$89,3,0)*0.475*44/12</f>
        <v>58.337745489597758</v>
      </c>
      <c r="BR54" s="21">
        <f>EXP(-LN(2)/2)*BR53+(1-EXP(-LN(2)/2))/(LN(2)/2)*BL54*BO54*VLOOKUP('Données projet'!$B$11,Paramètres!$A$1:$I$89,3,0)*0.475*44/12</f>
        <v>4.8539817823538813</v>
      </c>
      <c r="BS54" s="22">
        <f t="shared" si="9"/>
        <v>260.48697227777086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64.162766862686539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>
        <f>BY54*VLOOKUP('Données projet'!$B$12,Paramètres!$A$1:$I$89,3,0)*VLOOKUP('Données projet'!$B$12,Paramètres!$A$1:$I$89,5,0)</f>
        <v>0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180.18752244216969</v>
      </c>
      <c r="CE54" s="59">
        <f t="shared" si="40"/>
        <v>350.12096474554676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238.23626641138677</v>
      </c>
      <c r="CL54" s="21">
        <f>EXP(-LN(2)/25)*CL53+(1-EXP(-LN(2)/25))/(LN(2)/25)*Calculateur!CG54*Calculateur!CI54*VLOOKUP('Données projet'!$B$12,Paramètres!$A$1:$I$89,3,0)*0.475*44/12</f>
        <v>104.01487328570633</v>
      </c>
      <c r="CM54" s="21">
        <f>EXP(-LN(2)/2)*CM53+(1-EXP(-LN(2)/2))/(LN(2)/2)*CG54*CJ54*VLOOKUP('Données projet'!$B$12,Paramètres!$A$1:$I$89,3,0)*0.475*44/12</f>
        <v>3.6878081272007432</v>
      </c>
      <c r="CN54" s="22">
        <f t="shared" si="12"/>
        <v>345.93894782429385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64.162766862686539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60.6</v>
      </c>
      <c r="CT54" s="12">
        <f>IF('Données projet'!$A$140&gt;35,CT53+CS54-DB53,IF(A54&lt;'Données projet'!$A$140,$CQ$205^A54,IF(A54='Données projet'!$A$140,'Données projet'!$B$140,CT53+CS54-DB53)))</f>
        <v>81.599999999999966</v>
      </c>
      <c r="CU54" s="17">
        <f>CT54*VLOOKUP('Données projet'!$B$13,Paramètres!$A$1:$I$89,3,0)*VLOOKUP('Données projet'!$B$13,Paramètres!$A$1:$I$89,5,0)</f>
        <v>64.92095999999998</v>
      </c>
      <c r="CV54" s="13">
        <f t="shared" si="41"/>
        <v>18.406677019418211</v>
      </c>
      <c r="CW54" s="20">
        <f t="shared" si="13"/>
        <v>145.12896780882002</v>
      </c>
      <c r="CX54" s="59">
        <f t="shared" si="14"/>
        <v>417.05911297200396</v>
      </c>
      <c r="CY54" s="59">
        <f ca="1">AVERAGE(OFFSET($CX$3,0,0,'Données projet'!$E$13+1,1))-AVERAGE(OFFSET($H$3,0,0,'Données projet'!$E$13+1,1))</f>
        <v>284.31574332240928</v>
      </c>
      <c r="CZ54" s="59">
        <f t="shared" si="42"/>
        <v>403.96994631683913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368.26102709367325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368.26102709367325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64.162766862686539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>
        <f>DO54*VLOOKUP('Données projet'!$B$14,Paramètres!$A$1:$I$89,3,0)*VLOOKUP('Données projet'!$B$14,Paramètres!$A$1:$I$89,5,0)</f>
        <v>0</v>
      </c>
      <c r="DQ54" s="13" t="e">
        <f t="shared" si="43"/>
        <v>#NUM!</v>
      </c>
      <c r="DR54" s="20" t="e">
        <f t="shared" si="16"/>
        <v>#NUM!</v>
      </c>
      <c r="DS54" s="59" t="e">
        <f t="shared" si="17"/>
        <v>#NUM!</v>
      </c>
      <c r="DT54" s="59">
        <f ca="1">AVERAGE(OFFSET($DS$3,0,0,'Données projet'!$E$14+1,1))-AVERAGE(OFFSET($H$3,0,0,'Données projet'!$E$14+1,1))</f>
        <v>190.9519472160006</v>
      </c>
      <c r="DU54" s="59">
        <f t="shared" si="44"/>
        <v>170.61553500287511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214.81082125513564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214.81082125513564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64.162766862686539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47.2</v>
      </c>
      <c r="EJ54" s="12">
        <f>IF('Données projet'!$A$192&gt;35,EJ53+EI54-ER53,IF(A54&lt;'Données projet'!$A$192,$EG$205^A54,IF(A54='Données projet'!$A$192,'Données projet'!$B$192,EJ53+EI54-ER53)))</f>
        <v>82.200000000000045</v>
      </c>
      <c r="EK54" s="17">
        <f>EJ54*VLOOKUP('Données projet'!$B$15,Paramètres!$A$1:$I$89,3,0)*VLOOKUP('Données projet'!$B$15,Paramètres!$A$1:$I$89,5,0)</f>
        <v>70.527600000000049</v>
      </c>
      <c r="EL54" s="13">
        <f t="shared" si="45"/>
        <v>19.804421932712561</v>
      </c>
      <c r="EM54" s="20">
        <f t="shared" si="19"/>
        <v>157.32827153280778</v>
      </c>
      <c r="EN54" s="59">
        <f t="shared" si="20"/>
        <v>429.25841669599174</v>
      </c>
      <c r="EO54" s="59">
        <f ca="1">AVERAGE(OFFSET($EN$3,0,0,'Données projet'!$E$15+1,1))-AVERAGE(OFFSET($H$3,0,0,'Données projet'!$E$15+1,1))</f>
        <v>331.94255128154623</v>
      </c>
      <c r="EP54" s="59">
        <f t="shared" si="46"/>
        <v>258.40809812013964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208.87739593161197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208.87739593161197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64.162766862686539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54.2</v>
      </c>
      <c r="FE54" s="12">
        <f>IF('Données projet'!$A$218&gt;35,FE53+FD54-FM53,IF(A54&lt;'Données projet'!$A$218,$FB$205^A54,IF(A54='Données projet'!$A$218,'Données projet'!$B$218,FE53+FD54-FM53)))</f>
        <v>89.200000000000102</v>
      </c>
      <c r="FF54" s="17">
        <f>FE54*VLOOKUP('Données projet'!$B$16,Paramètres!$A$1:$I$89,3,0)*VLOOKUP('Données projet'!$B$16,Paramètres!$A$1:$I$89,5,0)</f>
        <v>84.882720000000106</v>
      </c>
      <c r="FG54" s="13">
        <f t="shared" si="47"/>
        <v>23.326887105123458</v>
      </c>
      <c r="FH54" s="20">
        <f t="shared" si="22"/>
        <v>188.46506570809018</v>
      </c>
      <c r="FI54" s="59">
        <f t="shared" si="23"/>
        <v>460.39521087127412</v>
      </c>
      <c r="FJ54" s="59">
        <f ca="1">AVERAGE(OFFSET($FI$3,0,0,'Données projet'!$E$16+1,1))-AVERAGE(OFFSET($H$3,0,0,'Données projet'!$E$16+1,1))</f>
        <v>290.72311302449236</v>
      </c>
      <c r="FK54" s="59">
        <f t="shared" si="48"/>
        <v>352.32552988394434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228.72363480955323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228.72363480955323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64.162766862686539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22.6</v>
      </c>
      <c r="FZ54" s="12">
        <f>IF('Données projet'!$A$244&gt;35,FZ53+FY54-GH53,IF(A54&lt;'Données projet'!$A$244,$FW$205^A54,IF(A54='Données projet'!$A$244,'Données projet'!$B$244,FZ53+FY54-GH53)))</f>
        <v>37.599999999999994</v>
      </c>
      <c r="GA54" s="17">
        <f>FZ54*VLOOKUP('Données projet'!$B$17,Paramètres!$A$1:$I$89,3,0)*VLOOKUP('Données projet'!$B$17,Paramètres!$A$1:$I$89,5,0)</f>
        <v>24.635519999999996</v>
      </c>
      <c r="GB54" s="13">
        <f t="shared" si="49"/>
        <v>7.8187263384607988</v>
      </c>
      <c r="GC54" s="20">
        <f t="shared" si="25"/>
        <v>56.524479039485868</v>
      </c>
      <c r="GD54" s="59">
        <f t="shared" si="26"/>
        <v>328.45462420266983</v>
      </c>
      <c r="GE54" s="59">
        <f ca="1">AVERAGE(OFFSET($GD$3,0,0,'Données projet'!$E$17+1,1))-AVERAGE(OFFSET($H$3,0,0,'Données projet'!$E$17+1,1))</f>
        <v>123.03972959251965</v>
      </c>
      <c r="GF54" s="59">
        <f t="shared" si="50"/>
        <v>178.27657680839445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42.029810448344065</v>
      </c>
      <c r="GM54" s="21">
        <f>EXP(-LN(2)/25)*GM53+(1-EXP(-LN(2)/25))/(LN(2)/25)*Calculateur!GH54*Calculateur!GJ54*VLOOKUP('Données projet'!$B$17,Paramètres!$A$1:$I$89,3,0)*0.475*44/12</f>
        <v>35.268886808065915</v>
      </c>
      <c r="GN54" s="21">
        <f>EXP(-LN(2)/2)*GN53+(1-EXP(-LN(2)/2))/(LN(2)/2)*GH54*GK54*VLOOKUP('Données projet'!$B$17,Paramètres!$A$1:$I$89,3,0)*0.475*44/12</f>
        <v>11.431913687748851</v>
      </c>
      <c r="GO54" s="21">
        <f t="shared" si="27"/>
        <v>88.730610944158826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64.162766862686539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28.3</v>
      </c>
      <c r="GU54" s="12">
        <f>IF('Données projet'!$A$270&gt;35,GU53+GT54-HC53,IF(A54&lt;'Données projet'!$A$270,$GR$205^A54,IF(A54='Données projet'!$A$270,'Données projet'!$B$270,GU53+GT54-HC53)))</f>
        <v>265.29999999999984</v>
      </c>
      <c r="GV54" s="17">
        <f>GU54*VLOOKUP('Données projet'!$B$18,Paramètres!$A$1:$I$89,3,0)*VLOOKUP('Données projet'!$B$18,Paramètres!$A$1:$I$89,5,0)</f>
        <v>177.9632399999999</v>
      </c>
      <c r="GW54" s="13">
        <f t="shared" si="51"/>
        <v>44.86874491001209</v>
      </c>
      <c r="GX54" s="20">
        <f t="shared" si="28"/>
        <v>388.09904038493755</v>
      </c>
      <c r="GY54" s="59">
        <f t="shared" si="29"/>
        <v>660.02918554812152</v>
      </c>
      <c r="GZ54" s="59">
        <f ca="1">AVERAGE(OFFSET($GY$3,0,0,'Données projet'!$E$18+1,1))-AVERAGE(OFFSET($H$3,0,0,'Données projet'!$E$18+1,1))</f>
        <v>542.25674729323623</v>
      </c>
      <c r="HA54" s="59">
        <f t="shared" si="52"/>
        <v>614.73906555680685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0</v>
      </c>
      <c r="HH54" s="21">
        <f>EXP(-LN(2)/25)*HH53+(1-EXP(-LN(2)/25))/(LN(2)/25)*Calculateur!HC54*Calculateur!HE54*VLOOKUP('Données projet'!$B$18,Paramètres!$A$1:$I$89,3,0)*0.475*44/12</f>
        <v>0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0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2.8499999999999996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10.449999999999998</v>
      </c>
      <c r="H55" s="67">
        <f t="shared" si="1"/>
        <v>214.86666666666667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64.264029807520686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10.4</v>
      </c>
      <c r="N55" s="13">
        <f>IF('Données projet'!$A$36&gt;35,N54+M55-V54,IF(A55&lt;'Données projet'!$A$36,$K$205^A55,IF(A55='Données projet'!$A$36,'Données projet'!$B$36,N54+M55-V54)))</f>
        <v>540.79999999999939</v>
      </c>
      <c r="O55" s="13">
        <f>N55*VLOOKUP('Données projet'!$B$9,Paramètres!$A$1:$I$89,3,0)*VLOOKUP('Données projet'!$B$9,Paramètres!$A$1:$I$89,5,0)</f>
        <v>472.44287999999949</v>
      </c>
      <c r="P55" s="13">
        <f t="shared" si="33"/>
        <v>106.31807721024077</v>
      </c>
      <c r="Q55" s="20">
        <f t="shared" si="53"/>
        <v>1008.0086671411683</v>
      </c>
      <c r="R55" s="59">
        <f t="shared" si="0"/>
        <v>1280.310109768744</v>
      </c>
      <c r="S55" s="59">
        <f ca="1">AVERAGE(OFFSET($R$3,0,0,'Données projet'!$E$9+1,1))-AVERAGE(OFFSET($H$3,0,0,'Données projet'!$E$9+1,1))</f>
        <v>686.80970545599644</v>
      </c>
      <c r="T55" s="59">
        <f t="shared" si="34"/>
        <v>636.16485232937737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64.264029807520686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7.833333333333333</v>
      </c>
      <c r="AI55" s="13">
        <f>IF('Données projet'!$A$62&gt;35,AI54+AH55-AQ54,IF(A55&lt;'Données projet'!$A$62,$AF$205^A55,IF(A55='Données projet'!$A$62,'Données projet'!$B$62,AI54+AH55-AQ54)))</f>
        <v>147.33333333333334</v>
      </c>
      <c r="AJ55" s="13">
        <f>AI55*VLOOKUP('Données projet'!$B$10,Paramètres!$A$1:$I$89,3,0)*VLOOKUP('Données projet'!$B$10,Paramètres!$A$1:$I$89,5,0)</f>
        <v>133.30719999999999</v>
      </c>
      <c r="AK55" s="13">
        <f t="shared" si="35"/>
        <v>34.759435244472861</v>
      </c>
      <c r="AL55" s="20">
        <f t="shared" si="4"/>
        <v>292.71605638412353</v>
      </c>
      <c r="AM55" s="59">
        <f t="shared" si="5"/>
        <v>565.01749901169933</v>
      </c>
      <c r="AN55" s="59">
        <f ca="1">AVERAGE(OFFSET($AM$3,0,0,'Données projet'!$E$10+1,1))-AVERAGE(OFFSET($H$3,0,0,'Données projet'!$E$10+1,1))</f>
        <v>323.67375363913726</v>
      </c>
      <c r="AO55" s="59">
        <f t="shared" si="36"/>
        <v>266.03902815735029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10.036205166180878</v>
      </c>
      <c r="AV55" s="21">
        <f>EXP(-LN(2)/25)*AV54+(1-EXP(-LN(2)/25))/(LN(2)/25)*Calculateur!AQ55*Calculateur!AS55*VLOOKUP('Données projet'!$B$10,Paramètres!$A$1:$I$89,3,0)*0.475*44/12</f>
        <v>10.929981635930062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20.96618680211094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64.264029807520686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371.46495716091965</v>
      </c>
      <c r="BJ55" s="59">
        <f t="shared" si="38"/>
        <v>579.95059529269417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193.42640558947215</v>
      </c>
      <c r="BQ55" s="21">
        <f>EXP(-LN(2)/25)*BQ54+(1-EXP(-LN(2)/25))/(LN(2)/25)*Calculateur!BL55*Calculateur!BN55*VLOOKUP('Données projet'!$B$11,Paramètres!$A$1:$I$89,3,0)*0.475*44/12</f>
        <v>56.742496771336008</v>
      </c>
      <c r="BR55" s="21">
        <f>EXP(-LN(2)/2)*BR54+(1-EXP(-LN(2)/2))/(LN(2)/2)*BL55*BO55*VLOOKUP('Données projet'!$B$11,Paramètres!$A$1:$I$89,3,0)*0.475*44/12</f>
        <v>3.4322834340583941</v>
      </c>
      <c r="BS55" s="22">
        <f t="shared" si="9"/>
        <v>253.60118579486655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64.264029807520686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>
        <f>BY55*VLOOKUP('Données projet'!$B$12,Paramètres!$A$1:$I$89,3,0)*VLOOKUP('Données projet'!$B$12,Paramètres!$A$1:$I$89,5,0)</f>
        <v>0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180.18752244216969</v>
      </c>
      <c r="CE55" s="59">
        <f t="shared" si="40"/>
        <v>350.12096474554676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233.56459853683384</v>
      </c>
      <c r="CL55" s="21">
        <f>EXP(-LN(2)/25)*CL54+(1-EXP(-LN(2)/25))/(LN(2)/25)*Calculateur!CG55*Calculateur!CI55*VLOOKUP('Données projet'!$B$12,Paramètres!$A$1:$I$89,3,0)*0.475*44/12</f>
        <v>101.17058110580423</v>
      </c>
      <c r="CM55" s="21">
        <f>EXP(-LN(2)/2)*CM54+(1-EXP(-LN(2)/2))/(LN(2)/2)*CG55*CJ55*VLOOKUP('Données projet'!$B$12,Paramètres!$A$1:$I$89,3,0)*0.475*44/12</f>
        <v>2.6076741344585077</v>
      </c>
      <c r="CN55" s="22">
        <f t="shared" si="12"/>
        <v>337.34285377709659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64.264029807520686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60.6</v>
      </c>
      <c r="CT55" s="12">
        <f>IF('Données projet'!$A$140&gt;35,CT54+CS55-DB54,IF(A55&lt;'Données projet'!$A$140,$CQ$205^A55,IF(A55='Données projet'!$A$140,'Données projet'!$B$140,CT54+CS55-DB54)))</f>
        <v>142.19999999999996</v>
      </c>
      <c r="CU55" s="17">
        <f>CT55*VLOOKUP('Données projet'!$B$13,Paramètres!$A$1:$I$89,3,0)*VLOOKUP('Données projet'!$B$13,Paramètres!$A$1:$I$89,5,0)</f>
        <v>113.13431999999997</v>
      </c>
      <c r="CV55" s="13">
        <f t="shared" si="41"/>
        <v>30.068242969511846</v>
      </c>
      <c r="CW55" s="20">
        <f t="shared" si="13"/>
        <v>249.4111305052331</v>
      </c>
      <c r="CX55" s="59">
        <f t="shared" si="14"/>
        <v>521.71257313280898</v>
      </c>
      <c r="CY55" s="59">
        <f ca="1">AVERAGE(OFFSET($CX$3,0,0,'Données projet'!$E$13+1,1))-AVERAGE(OFFSET($H$3,0,0,'Données projet'!$E$13+1,1))</f>
        <v>284.31574332240928</v>
      </c>
      <c r="CZ55" s="59">
        <f t="shared" si="42"/>
        <v>403.96994631683913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361.03965296941374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361.03965296941374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64.264029807520686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>
        <f>DO55*VLOOKUP('Données projet'!$B$14,Paramètres!$A$1:$I$89,3,0)*VLOOKUP('Données projet'!$B$14,Paramètres!$A$1:$I$89,5,0)</f>
        <v>0</v>
      </c>
      <c r="DQ55" s="13" t="e">
        <f t="shared" si="43"/>
        <v>#NUM!</v>
      </c>
      <c r="DR55" s="20" t="e">
        <f t="shared" si="16"/>
        <v>#NUM!</v>
      </c>
      <c r="DS55" s="59" t="e">
        <f t="shared" si="17"/>
        <v>#NUM!</v>
      </c>
      <c r="DT55" s="59">
        <f ca="1">AVERAGE(OFFSET($DS$3,0,0,'Données projet'!$E$14+1,1))-AVERAGE(OFFSET($H$3,0,0,'Données projet'!$E$14+1,1))</f>
        <v>190.9519472160006</v>
      </c>
      <c r="DU55" s="59">
        <f t="shared" si="44"/>
        <v>170.61553500287511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210.59851207198608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210.59851207198608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64.264029807520686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47.2</v>
      </c>
      <c r="EJ55" s="12">
        <f>IF('Données projet'!$A$192&gt;35,EJ54+EI55-ER54,IF(A55&lt;'Données projet'!$A$192,$EG$205^A55,IF(A55='Données projet'!$A$192,'Données projet'!$B$192,EJ54+EI55-ER54)))</f>
        <v>129.40000000000003</v>
      </c>
      <c r="EK55" s="17">
        <f>EJ55*VLOOKUP('Données projet'!$B$15,Paramètres!$A$1:$I$89,3,0)*VLOOKUP('Données projet'!$B$15,Paramètres!$A$1:$I$89,5,0)</f>
        <v>111.02520000000005</v>
      </c>
      <c r="EL55" s="13">
        <f t="shared" si="45"/>
        <v>29.572399121141643</v>
      </c>
      <c r="EM55" s="20">
        <f t="shared" si="19"/>
        <v>244.87415180265506</v>
      </c>
      <c r="EN55" s="59">
        <f t="shared" si="20"/>
        <v>517.17559443023094</v>
      </c>
      <c r="EO55" s="59">
        <f ca="1">AVERAGE(OFFSET($EN$3,0,0,'Données projet'!$E$15+1,1))-AVERAGE(OFFSET($H$3,0,0,'Données projet'!$E$15+1,1))</f>
        <v>331.94255128154623</v>
      </c>
      <c r="EP55" s="59">
        <f t="shared" si="46"/>
        <v>258.40809812013964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204.78143760002462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204.78143760002462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64.264029807520686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54.2</v>
      </c>
      <c r="FE55" s="12">
        <f>IF('Données projet'!$A$218&gt;35,FE54+FD55-FM54,IF(A55&lt;'Données projet'!$A$218,$FB$205^A55,IF(A55='Données projet'!$A$218,'Données projet'!$B$218,FE54+FD55-FM54)))</f>
        <v>143.40000000000009</v>
      </c>
      <c r="FF55" s="17">
        <f>FE55*VLOOKUP('Données projet'!$B$16,Paramètres!$A$1:$I$89,3,0)*VLOOKUP('Données projet'!$B$16,Paramètres!$A$1:$I$89,5,0)</f>
        <v>136.45944000000009</v>
      </c>
      <c r="FG55" s="13">
        <f t="shared" si="47"/>
        <v>35.48470771342982</v>
      </c>
      <c r="FH55" s="20">
        <f t="shared" si="22"/>
        <v>299.46939060089039</v>
      </c>
      <c r="FI55" s="59">
        <f t="shared" si="23"/>
        <v>571.77083322846624</v>
      </c>
      <c r="FJ55" s="59">
        <f ca="1">AVERAGE(OFFSET($FI$3,0,0,'Données projet'!$E$16+1,1))-AVERAGE(OFFSET($H$3,0,0,'Données projet'!$E$16+1,1))</f>
        <v>290.72311302449236</v>
      </c>
      <c r="FK55" s="59">
        <f t="shared" si="48"/>
        <v>352.32552988394434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224.2385038385799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224.2385038385799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64.264029807520686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22.6</v>
      </c>
      <c r="FZ55" s="12">
        <f>IF('Données projet'!$A$244&gt;35,FZ54+FY55-GH54,IF(A55&lt;'Données projet'!$A$244,$FW$205^A55,IF(A55='Données projet'!$A$244,'Données projet'!$B$244,FZ54+FY55-GH54)))</f>
        <v>60.199999999999996</v>
      </c>
      <c r="GA55" s="17">
        <f>FZ55*VLOOKUP('Données projet'!$B$17,Paramètres!$A$1:$I$89,3,0)*VLOOKUP('Données projet'!$B$17,Paramètres!$A$1:$I$89,5,0)</f>
        <v>39.443039999999996</v>
      </c>
      <c r="GB55" s="13">
        <f t="shared" si="49"/>
        <v>11.850904343164059</v>
      </c>
      <c r="GC55" s="20">
        <f t="shared" si="25"/>
        <v>89.336953064344058</v>
      </c>
      <c r="GD55" s="59">
        <f t="shared" si="26"/>
        <v>361.63839569191992</v>
      </c>
      <c r="GE55" s="59">
        <f ca="1">AVERAGE(OFFSET($GD$3,0,0,'Données projet'!$E$17+1,1))-AVERAGE(OFFSET($H$3,0,0,'Données projet'!$E$17+1,1))</f>
        <v>123.03972959251965</v>
      </c>
      <c r="GF55" s="59">
        <f t="shared" si="50"/>
        <v>178.27657680839445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41.205631501105103</v>
      </c>
      <c r="GM55" s="21">
        <f>EXP(-LN(2)/25)*GM54+(1-EXP(-LN(2)/25))/(LN(2)/25)*Calculateur!GH55*Calculateur!GJ55*VLOOKUP('Données projet'!$B$17,Paramètres!$A$1:$I$89,3,0)*0.475*44/12</f>
        <v>34.304457243589205</v>
      </c>
      <c r="GN55" s="21">
        <f>EXP(-LN(2)/2)*GN54+(1-EXP(-LN(2)/2))/(LN(2)/2)*GH55*GK55*VLOOKUP('Données projet'!$B$17,Paramètres!$A$1:$I$89,3,0)*0.475*44/12</f>
        <v>8.0835836905465257</v>
      </c>
      <c r="GO55" s="21">
        <f t="shared" si="27"/>
        <v>83.593672435240848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64.264029807520686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28.3</v>
      </c>
      <c r="GU55" s="12">
        <f>IF('Données projet'!$A$270&gt;35,GU54+GT55-HC54,IF(A55&lt;'Données projet'!$A$270,$GR$205^A55,IF(A55='Données projet'!$A$270,'Données projet'!$B$270,GU54+GT55-HC54)))</f>
        <v>293.59999999999985</v>
      </c>
      <c r="GV55" s="17">
        <f>GU55*VLOOKUP('Données projet'!$B$18,Paramètres!$A$1:$I$89,3,0)*VLOOKUP('Données projet'!$B$18,Paramètres!$A$1:$I$89,5,0)</f>
        <v>196.94687999999991</v>
      </c>
      <c r="GW55" s="13">
        <f t="shared" si="51"/>
        <v>49.072584803452152</v>
      </c>
      <c r="GX55" s="20">
        <f t="shared" si="28"/>
        <v>428.48390119934561</v>
      </c>
      <c r="GY55" s="59">
        <f t="shared" si="29"/>
        <v>700.78534382692146</v>
      </c>
      <c r="GZ55" s="59">
        <f ca="1">AVERAGE(OFFSET($GY$3,0,0,'Données projet'!$E$18+1,1))-AVERAGE(OFFSET($H$3,0,0,'Données projet'!$E$18+1,1))</f>
        <v>542.25674729323623</v>
      </c>
      <c r="HA55" s="59">
        <f t="shared" si="52"/>
        <v>614.73906555680685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0</v>
      </c>
      <c r="HH55" s="21">
        <f>EXP(-LN(2)/25)*HH54+(1-EXP(-LN(2)/25))/(LN(2)/25)*Calculateur!HC55*Calculateur!HE55*VLOOKUP('Données projet'!$B$18,Paramètres!$A$1:$I$89,3,0)*0.475*44/12</f>
        <v>0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0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2.8499999999999996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10.449999999999998</v>
      </c>
      <c r="H56" s="67">
        <f t="shared" si="1"/>
        <v>214.86666666666667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64.363536066651974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10.4</v>
      </c>
      <c r="N56" s="13">
        <f>IF('Données projet'!$A$36&gt;35,N55+M56-V55,IF(A56&lt;'Données projet'!$A$36,$K$205^A56,IF(A56='Données projet'!$A$36,'Données projet'!$B$36,N55+M56-V55)))</f>
        <v>551.19999999999936</v>
      </c>
      <c r="O56" s="13">
        <f>N56*VLOOKUP('Données projet'!$B$9,Paramètres!$A$1:$I$89,3,0)*VLOOKUP('Données projet'!$B$9,Paramètres!$A$1:$I$89,5,0)</f>
        <v>481.5283199999995</v>
      </c>
      <c r="P56" s="13">
        <f t="shared" si="33"/>
        <v>108.12265902561836</v>
      </c>
      <c r="Q56" s="20">
        <f t="shared" si="53"/>
        <v>1026.9754551362844</v>
      </c>
      <c r="R56" s="59">
        <f t="shared" si="0"/>
        <v>1299.6417540473417</v>
      </c>
      <c r="S56" s="59">
        <f ca="1">AVERAGE(OFFSET($R$3,0,0,'Données projet'!$E$9+1,1))-AVERAGE(OFFSET($H$3,0,0,'Données projet'!$E$9+1,1))</f>
        <v>686.80970545599644</v>
      </c>
      <c r="T56" s="59">
        <f t="shared" si="34"/>
        <v>636.16485232937737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64.363536066651974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7.833333333333333</v>
      </c>
      <c r="AI56" s="13">
        <f>IF('Données projet'!$A$62&gt;35,AI55+AH56-AQ55,IF(A56&lt;'Données projet'!$A$62,$AF$205^A56,IF(A56='Données projet'!$A$62,'Données projet'!$B$62,AI55+AH56-AQ55)))</f>
        <v>155.16666666666669</v>
      </c>
      <c r="AJ56" s="13">
        <f>AI56*VLOOKUP('Données projet'!$B$10,Paramètres!$A$1:$I$89,3,0)*VLOOKUP('Données projet'!$B$10,Paramètres!$A$1:$I$89,5,0)</f>
        <v>140.3948</v>
      </c>
      <c r="AK56" s="13">
        <f t="shared" si="35"/>
        <v>36.387433802709147</v>
      </c>
      <c r="AL56" s="20">
        <f t="shared" si="4"/>
        <v>307.89572387305174</v>
      </c>
      <c r="AM56" s="59">
        <f t="shared" si="5"/>
        <v>580.56202278410899</v>
      </c>
      <c r="AN56" s="59">
        <f ca="1">AVERAGE(OFFSET($AM$3,0,0,'Données projet'!$E$10+1,1))-AVERAGE(OFFSET($H$3,0,0,'Données projet'!$E$10+1,1))</f>
        <v>323.67375363913726</v>
      </c>
      <c r="AO56" s="59">
        <f t="shared" si="36"/>
        <v>266.03902815735029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9.8394013043527764</v>
      </c>
      <c r="AV56" s="21">
        <f>EXP(-LN(2)/25)*AV55+(1-EXP(-LN(2)/25))/(LN(2)/25)*Calculateur!AQ56*Calculateur!AS56*VLOOKUP('Données projet'!$B$10,Paramètres!$A$1:$I$89,3,0)*0.475*44/12</f>
        <v>10.631100713312801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20.470502017665577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64.363536066651974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371.46495716091965</v>
      </c>
      <c r="BJ56" s="59">
        <f t="shared" si="38"/>
        <v>579.95059529269417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189.63343175432061</v>
      </c>
      <c r="BQ56" s="21">
        <f>EXP(-LN(2)/25)*BQ55+(1-EXP(-LN(2)/25))/(LN(2)/25)*Calculateur!BL56*Calculateur!BN56*VLOOKUP('Données projet'!$B$11,Paramètres!$A$1:$I$89,3,0)*0.475*44/12</f>
        <v>55.190870213165603</v>
      </c>
      <c r="BR56" s="21">
        <f>EXP(-LN(2)/2)*BR55+(1-EXP(-LN(2)/2))/(LN(2)/2)*BL56*BO56*VLOOKUP('Données projet'!$B$11,Paramètres!$A$1:$I$89,3,0)*0.475*44/12</f>
        <v>2.4269908911769411</v>
      </c>
      <c r="BS56" s="22">
        <f t="shared" si="9"/>
        <v>247.25129285866313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64.363536066651974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>
        <f>BY56*VLOOKUP('Données projet'!$B$12,Paramètres!$A$1:$I$89,3,0)*VLOOKUP('Données projet'!$B$12,Paramètres!$A$1:$I$89,5,0)</f>
        <v>0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180.18752244216969</v>
      </c>
      <c r="CE56" s="59">
        <f t="shared" si="40"/>
        <v>350.12096474554676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228.98453921986484</v>
      </c>
      <c r="CL56" s="21">
        <f>EXP(-LN(2)/25)*CL55+(1-EXP(-LN(2)/25))/(LN(2)/25)*Calculateur!CG56*Calculateur!CI56*VLOOKUP('Données projet'!$B$12,Paramètres!$A$1:$I$89,3,0)*0.475*44/12</f>
        <v>98.404066245136377</v>
      </c>
      <c r="CM56" s="21">
        <f>EXP(-LN(2)/2)*CM55+(1-EXP(-LN(2)/2))/(LN(2)/2)*CG56*CJ56*VLOOKUP('Données projet'!$B$12,Paramètres!$A$1:$I$89,3,0)*0.475*44/12</f>
        <v>1.8439040636003718</v>
      </c>
      <c r="CN56" s="22">
        <f t="shared" si="12"/>
        <v>329.23250952860155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64.363536066651974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60.6</v>
      </c>
      <c r="CT56" s="12">
        <f>IF('Données projet'!$A$140&gt;35,CT55+CS56-DB55,IF(A56&lt;'Données projet'!$A$140,$CQ$205^A56,IF(A56='Données projet'!$A$140,'Données projet'!$B$140,CT55+CS56-DB55)))</f>
        <v>202.79999999999995</v>
      </c>
      <c r="CU56" s="17">
        <f>CT56*VLOOKUP('Données projet'!$B$13,Paramètres!$A$1:$I$89,3,0)*VLOOKUP('Données projet'!$B$13,Paramètres!$A$1:$I$89,5,0)</f>
        <v>161.34767999999997</v>
      </c>
      <c r="CV56" s="13">
        <f t="shared" si="41"/>
        <v>41.146339844316657</v>
      </c>
      <c r="CW56" s="20">
        <f t="shared" si="13"/>
        <v>352.67708456218475</v>
      </c>
      <c r="CX56" s="59">
        <f t="shared" si="14"/>
        <v>625.34338347324206</v>
      </c>
      <c r="CY56" s="59">
        <f ca="1">AVERAGE(OFFSET($CX$3,0,0,'Données projet'!$E$13+1,1))-AVERAGE(OFFSET($H$3,0,0,'Données projet'!$E$13+1,1))</f>
        <v>284.31574332240928</v>
      </c>
      <c r="CZ56" s="59">
        <f t="shared" si="42"/>
        <v>403.96994631683913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353.95988558712764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353.95988558712764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64.363536066651974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>
        <f>DO56*VLOOKUP('Données projet'!$B$14,Paramètres!$A$1:$I$89,3,0)*VLOOKUP('Données projet'!$B$14,Paramètres!$A$1:$I$89,5,0)</f>
        <v>0</v>
      </c>
      <c r="DQ56" s="13" t="e">
        <f t="shared" si="43"/>
        <v>#NUM!</v>
      </c>
      <c r="DR56" s="20" t="e">
        <f t="shared" si="16"/>
        <v>#NUM!</v>
      </c>
      <c r="DS56" s="59" t="e">
        <f t="shared" si="17"/>
        <v>#NUM!</v>
      </c>
      <c r="DT56" s="59">
        <f ca="1">AVERAGE(OFFSET($DS$3,0,0,'Données projet'!$E$14+1,1))-AVERAGE(OFFSET($H$3,0,0,'Données projet'!$E$14+1,1))</f>
        <v>190.9519472160006</v>
      </c>
      <c r="DU56" s="59">
        <f t="shared" si="44"/>
        <v>170.61553500287511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206.46880370266317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206.46880370266317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64.363536066651974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47.2</v>
      </c>
      <c r="EJ56" s="12">
        <f>IF('Données projet'!$A$192&gt;35,EJ55+EI56-ER55,IF(A56&lt;'Données projet'!$A$192,$EG$205^A56,IF(A56='Données projet'!$A$192,'Données projet'!$B$192,EJ55+EI56-ER55)))</f>
        <v>176.60000000000002</v>
      </c>
      <c r="EK56" s="17">
        <f>EJ56*VLOOKUP('Données projet'!$B$15,Paramètres!$A$1:$I$89,3,0)*VLOOKUP('Données projet'!$B$15,Paramètres!$A$1:$I$89,5,0)</f>
        <v>151.52280000000005</v>
      </c>
      <c r="EL56" s="13">
        <f t="shared" si="45"/>
        <v>38.924443684207695</v>
      </c>
      <c r="EM56" s="20">
        <f t="shared" si="19"/>
        <v>331.69561608332845</v>
      </c>
      <c r="EN56" s="59">
        <f t="shared" si="20"/>
        <v>604.36191499438564</v>
      </c>
      <c r="EO56" s="59">
        <f ca="1">AVERAGE(OFFSET($EN$3,0,0,'Données projet'!$E$15+1,1))-AVERAGE(OFFSET($H$3,0,0,'Données projet'!$E$15+1,1))</f>
        <v>331.94255128154623</v>
      </c>
      <c r="EP56" s="59">
        <f t="shared" si="46"/>
        <v>258.40809812013964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200.7657985130318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200.7657985130318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64.363536066651974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54.2</v>
      </c>
      <c r="FE56" s="12">
        <f>IF('Données projet'!$A$218&gt;35,FE55+FD56-FM55,IF(A56&lt;'Données projet'!$A$218,$FB$205^A56,IF(A56='Données projet'!$A$218,'Données projet'!$B$218,FE55+FD56-FM55)))</f>
        <v>197.60000000000008</v>
      </c>
      <c r="FF56" s="17">
        <f>FE56*VLOOKUP('Données projet'!$B$16,Paramètres!$A$1:$I$89,3,0)*VLOOKUP('Données projet'!$B$16,Paramètres!$A$1:$I$89,5,0)</f>
        <v>188.03616000000008</v>
      </c>
      <c r="FG56" s="13">
        <f t="shared" si="47"/>
        <v>47.105513518601327</v>
      </c>
      <c r="FH56" s="20">
        <f t="shared" si="22"/>
        <v>409.53841471156403</v>
      </c>
      <c r="FI56" s="59">
        <f t="shared" si="23"/>
        <v>682.20471362262128</v>
      </c>
      <c r="FJ56" s="59">
        <f ca="1">AVERAGE(OFFSET($FI$3,0,0,'Données projet'!$E$16+1,1))-AVERAGE(OFFSET($H$3,0,0,'Données projet'!$E$16+1,1))</f>
        <v>290.72311302449236</v>
      </c>
      <c r="FK56" s="59">
        <f t="shared" si="48"/>
        <v>352.32552988394434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219.84132355028757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219.84132355028757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64.363536066651974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22.6</v>
      </c>
      <c r="FZ56" s="12">
        <f>IF('Données projet'!$A$244&gt;35,FZ55+FY56-GH55,IF(A56&lt;'Données projet'!$A$244,$FW$205^A56,IF(A56='Données projet'!$A$244,'Données projet'!$B$244,FZ55+FY56-GH55)))</f>
        <v>82.8</v>
      </c>
      <c r="GA56" s="17">
        <f>FZ56*VLOOKUP('Données projet'!$B$17,Paramètres!$A$1:$I$89,3,0)*VLOOKUP('Données projet'!$B$17,Paramètres!$A$1:$I$89,5,0)</f>
        <v>54.250559999999993</v>
      </c>
      <c r="GB56" s="13">
        <f t="shared" si="49"/>
        <v>15.706218631166921</v>
      </c>
      <c r="GC56" s="20">
        <f t="shared" si="25"/>
        <v>121.84138944928236</v>
      </c>
      <c r="GD56" s="59">
        <f t="shared" si="26"/>
        <v>394.50768836033961</v>
      </c>
      <c r="GE56" s="59">
        <f ca="1">AVERAGE(OFFSET($GD$3,0,0,'Données projet'!$E$17+1,1))-AVERAGE(OFFSET($H$3,0,0,'Données projet'!$E$17+1,1))</f>
        <v>123.03972959251965</v>
      </c>
      <c r="GF56" s="59">
        <f t="shared" si="50"/>
        <v>178.27657680839445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40.397614200321975</v>
      </c>
      <c r="GM56" s="21">
        <f>EXP(-LN(2)/25)*GM55+(1-EXP(-LN(2)/25))/(LN(2)/25)*Calculateur!GH56*Calculateur!GJ56*VLOOKUP('Données projet'!$B$17,Paramètres!$A$1:$I$89,3,0)*0.475*44/12</f>
        <v>33.366400056270258</v>
      </c>
      <c r="GN56" s="21">
        <f>EXP(-LN(2)/2)*GN55+(1-EXP(-LN(2)/2))/(LN(2)/2)*GH56*GK56*VLOOKUP('Données projet'!$B$17,Paramètres!$A$1:$I$89,3,0)*0.475*44/12</f>
        <v>5.7159568438744266</v>
      </c>
      <c r="GO56" s="21">
        <f t="shared" si="27"/>
        <v>79.479971100466656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64.363536066651974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28.3</v>
      </c>
      <c r="GU56" s="12">
        <f>IF('Données projet'!$A$270&gt;35,GU55+GT56-HC55,IF(A56&lt;'Données projet'!$A$270,$GR$205^A56,IF(A56='Données projet'!$A$270,'Données projet'!$B$270,GU55+GT56-HC55)))</f>
        <v>321.89999999999986</v>
      </c>
      <c r="GV56" s="17">
        <f>GU56*VLOOKUP('Données projet'!$B$18,Paramètres!$A$1:$I$89,3,0)*VLOOKUP('Données projet'!$B$18,Paramètres!$A$1:$I$89,5,0)</f>
        <v>215.93051999999992</v>
      </c>
      <c r="GW56" s="13">
        <f t="shared" si="51"/>
        <v>53.229445530239538</v>
      </c>
      <c r="GX56" s="20">
        <f t="shared" si="28"/>
        <v>468.78693996516705</v>
      </c>
      <c r="GY56" s="59">
        <f t="shared" si="29"/>
        <v>741.4532388762243</v>
      </c>
      <c r="GZ56" s="59">
        <f ca="1">AVERAGE(OFFSET($GY$3,0,0,'Données projet'!$E$18+1,1))-AVERAGE(OFFSET($H$3,0,0,'Données projet'!$E$18+1,1))</f>
        <v>542.25674729323623</v>
      </c>
      <c r="HA56" s="59">
        <f t="shared" si="52"/>
        <v>614.73906555680685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0</v>
      </c>
      <c r="HH56" s="21">
        <f>EXP(-LN(2)/25)*HH55+(1-EXP(-LN(2)/25))/(LN(2)/25)*Calculateur!HC56*Calculateur!HE56*VLOOKUP('Données projet'!$B$18,Paramètres!$A$1:$I$89,3,0)*0.475*44/12</f>
        <v>0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0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2.8499999999999996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10.449999999999998</v>
      </c>
      <c r="H57" s="67">
        <f t="shared" si="1"/>
        <v>214.86666666666667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64.461316114650018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10.4</v>
      </c>
      <c r="N57" s="13">
        <f>IF('Données projet'!$A$36&gt;35,N56+M57-V56,IF(A57&lt;'Données projet'!$A$36,$K$205^A57,IF(A57='Données projet'!$A$36,'Données projet'!$B$36,N56+M57-V56)))</f>
        <v>561.59999999999934</v>
      </c>
      <c r="O57" s="13">
        <f>N57*VLOOKUP('Données projet'!$B$9,Paramètres!$A$1:$I$89,3,0)*VLOOKUP('Données projet'!$B$9,Paramètres!$A$1:$I$89,5,0)</f>
        <v>490.61375999999944</v>
      </c>
      <c r="P57" s="13">
        <f t="shared" si="33"/>
        <v>109.92328167134977</v>
      </c>
      <c r="Q57" s="20">
        <f t="shared" si="53"/>
        <v>1045.9353475775999</v>
      </c>
      <c r="R57" s="59">
        <f t="shared" si="0"/>
        <v>1318.9601733313166</v>
      </c>
      <c r="S57" s="59">
        <f ca="1">AVERAGE(OFFSET($R$3,0,0,'Données projet'!$E$9+1,1))-AVERAGE(OFFSET($H$3,0,0,'Données projet'!$E$9+1,1))</f>
        <v>686.80970545599644</v>
      </c>
      <c r="T57" s="59">
        <f t="shared" si="34"/>
        <v>636.16485232937737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64.461316114650018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163</v>
      </c>
      <c r="AG57" s="12">
        <f>VLOOKUP(A57,'Données projet'!$A$61:$I$81,9,0)</f>
        <v>7.833333333333333</v>
      </c>
      <c r="AH57" s="12">
        <f t="array" ref="AH57">INDEX(AG:AG,MIN(IF(ISNUMBER(AG57:AG253),ROW(AG57:AG253),"")))</f>
        <v>7.833333333333333</v>
      </c>
      <c r="AI57" s="13">
        <f>IF('Données projet'!$A$62&gt;35,AI56+AH57-AQ56,IF(A57&lt;'Données projet'!$A$62,$AF$205^A57,IF(A57='Données projet'!$A$62,'Données projet'!$B$62,AI56+AH57-AQ56)))</f>
        <v>163.00000000000003</v>
      </c>
      <c r="AJ57" s="13">
        <f>AI57*VLOOKUP('Données projet'!$B$10,Paramètres!$A$1:$I$89,3,0)*VLOOKUP('Données projet'!$B$10,Paramètres!$A$1:$I$89,5,0)</f>
        <v>147.48240000000001</v>
      </c>
      <c r="AK57" s="13">
        <f t="shared" si="35"/>
        <v>38.005889588171215</v>
      </c>
      <c r="AL57" s="20">
        <f t="shared" si="4"/>
        <v>323.05877103273156</v>
      </c>
      <c r="AM57" s="59">
        <f t="shared" si="5"/>
        <v>596.0835967864482</v>
      </c>
      <c r="AN57" s="59">
        <f ca="1">AVERAGE(OFFSET($AM$3,0,0,'Données projet'!$E$10+1,1))-AVERAGE(OFFSET($H$3,0,0,'Données projet'!$E$10+1,1))</f>
        <v>323.67375363913726</v>
      </c>
      <c r="AO57" s="59">
        <f t="shared" si="36"/>
        <v>266.03902815735029</v>
      </c>
      <c r="AP57" s="15">
        <f>IF(ISNA(VLOOKUP(A57,'Données projet'!$A$61:$I$81,3,0)),0,VLOOKUP(A57,'Données projet'!$A$61:$I$81,3,0))</f>
        <v>4</v>
      </c>
      <c r="AQ57" s="15">
        <f>IF(ISNA(VLOOKUP(A57,'Données projet'!$A$61:$I$81,4,0)),0,VLOOKUP(A57,'Données projet'!$A$61:$I$81,4,0))</f>
        <v>31</v>
      </c>
      <c r="AR57" s="16">
        <f>IF(ISNA(VLOOKUP(A57,'Données projet'!$A$61:$I$81,5,0)),0%,VLOOKUP(A57,'Données projet'!$A$61:$I$81,5,0)*VLOOKUP('Données projet'!$B$10,Paramètres!$A$1:$I$89,7,0))</f>
        <v>0.129</v>
      </c>
      <c r="AS57" s="16">
        <f>IF(ISNA(VLOOKUP(A57,'Données projet'!$A$61:$I$81,6,0)),0%,VLOOKUP(A57,'Données projet'!$A$61:$I$81,6,0)*VLOOKUP('Données projet'!$B$10,Paramètres!$A$1:$I$89,7,0))</f>
        <v>0.17200000000000001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13.646374814222872</v>
      </c>
      <c r="AV57" s="21">
        <f>EXP(-LN(2)/25)*AV56+(1-EXP(-LN(2)/25))/(LN(2)/25)*Calculateur!AQ57*Calculateur!AS57*VLOOKUP('Données projet'!$B$10,Paramètres!$A$1:$I$89,3,0)*0.475*44/12</f>
        <v>15.652617993362643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29.298992807585513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64.461316114650018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371.46495716091965</v>
      </c>
      <c r="BJ57" s="59">
        <f t="shared" si="38"/>
        <v>579.95059529269417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185.91483582259079</v>
      </c>
      <c r="BQ57" s="21">
        <f>EXP(-LN(2)/25)*BQ56+(1-EXP(-LN(2)/25))/(LN(2)/25)*Calculateur!BL57*Calculateur!BN57*VLOOKUP('Données projet'!$B$11,Paramètres!$A$1:$I$89,3,0)*0.475*44/12</f>
        <v>53.681672964824863</v>
      </c>
      <c r="BR57" s="21">
        <f>EXP(-LN(2)/2)*BR56+(1-EXP(-LN(2)/2))/(LN(2)/2)*BL57*BO57*VLOOKUP('Données projet'!$B$11,Paramètres!$A$1:$I$89,3,0)*0.475*44/12</f>
        <v>1.7161417170291975</v>
      </c>
      <c r="BS57" s="22">
        <f t="shared" si="9"/>
        <v>241.31265050444483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64.461316114650018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>
        <f>BY57*VLOOKUP('Données projet'!$B$12,Paramètres!$A$1:$I$89,3,0)*VLOOKUP('Données projet'!$B$12,Paramètres!$A$1:$I$89,5,0)</f>
        <v>0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180.18752244216969</v>
      </c>
      <c r="CE57" s="59">
        <f t="shared" si="40"/>
        <v>350.12096474554676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224.49429207254127</v>
      </c>
      <c r="CL57" s="21">
        <f>EXP(-LN(2)/25)*CL56+(1-EXP(-LN(2)/25))/(LN(2)/25)*Calculateur!CG57*Calculateur!CI57*VLOOKUP('Données projet'!$B$12,Paramètres!$A$1:$I$89,3,0)*0.475*44/12</f>
        <v>95.713201878818182</v>
      </c>
      <c r="CM57" s="21">
        <f>EXP(-LN(2)/2)*CM56+(1-EXP(-LN(2)/2))/(LN(2)/2)*CG57*CJ57*VLOOKUP('Données projet'!$B$12,Paramètres!$A$1:$I$89,3,0)*0.475*44/12</f>
        <v>1.3038370672292541</v>
      </c>
      <c r="CN57" s="22">
        <f t="shared" si="12"/>
        <v>321.51133101858869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64.461316114650018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60.6</v>
      </c>
      <c r="CT57" s="12">
        <f>IF('Données projet'!$A$140&gt;35,CT56+CS57-DB56,IF(A57&lt;'Données projet'!$A$140,$CQ$205^A57,IF(A57='Données projet'!$A$140,'Données projet'!$B$140,CT56+CS57-DB56)))</f>
        <v>263.39999999999998</v>
      </c>
      <c r="CU57" s="17">
        <f>CT57*VLOOKUP('Données projet'!$B$13,Paramètres!$A$1:$I$89,3,0)*VLOOKUP('Données projet'!$B$13,Paramètres!$A$1:$I$89,5,0)</f>
        <v>209.56104000000002</v>
      </c>
      <c r="CV57" s="13">
        <f t="shared" si="41"/>
        <v>51.839650215566074</v>
      </c>
      <c r="CW57" s="20">
        <f t="shared" si="13"/>
        <v>455.27286879211096</v>
      </c>
      <c r="CX57" s="59">
        <f t="shared" si="14"/>
        <v>728.29769454582765</v>
      </c>
      <c r="CY57" s="59">
        <f ca="1">AVERAGE(OFFSET($CX$3,0,0,'Données projet'!$E$13+1,1))-AVERAGE(OFFSET($H$3,0,0,'Données projet'!$E$13+1,1))</f>
        <v>284.31574332240928</v>
      </c>
      <c r="CZ57" s="59">
        <f t="shared" si="42"/>
        <v>403.96994631683913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347.01894812497648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347.01894812497648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64.461316114650018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>
        <f>DO57*VLOOKUP('Données projet'!$B$14,Paramètres!$A$1:$I$89,3,0)*VLOOKUP('Données projet'!$B$14,Paramètres!$A$1:$I$89,5,0)</f>
        <v>0</v>
      </c>
      <c r="DQ57" s="13" t="e">
        <f t="shared" si="43"/>
        <v>#NUM!</v>
      </c>
      <c r="DR57" s="20" t="e">
        <f t="shared" si="16"/>
        <v>#NUM!</v>
      </c>
      <c r="DS57" s="59" t="e">
        <f t="shared" si="17"/>
        <v>#NUM!</v>
      </c>
      <c r="DT57" s="59">
        <f ca="1">AVERAGE(OFFSET($DS$3,0,0,'Données projet'!$E$14+1,1))-AVERAGE(OFFSET($H$3,0,0,'Données projet'!$E$14+1,1))</f>
        <v>190.9519472160006</v>
      </c>
      <c r="DU57" s="59">
        <f t="shared" si="44"/>
        <v>170.61553500287511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202.42007639558929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202.42007639558929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64.461316114650018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47.2</v>
      </c>
      <c r="EJ57" s="12">
        <f>IF('Données projet'!$A$192&gt;35,EJ56+EI57-ER56,IF(A57&lt;'Données projet'!$A$192,$EG$205^A57,IF(A57='Données projet'!$A$192,'Données projet'!$B$192,EJ56+EI57-ER56)))</f>
        <v>223.8</v>
      </c>
      <c r="EK57" s="17">
        <f>EJ57*VLOOKUP('Données projet'!$B$15,Paramètres!$A$1:$I$89,3,0)*VLOOKUP('Données projet'!$B$15,Paramètres!$A$1:$I$89,5,0)</f>
        <v>192.02040000000002</v>
      </c>
      <c r="EL57" s="13">
        <f t="shared" si="45"/>
        <v>47.986359250374704</v>
      </c>
      <c r="EM57" s="20">
        <f t="shared" si="19"/>
        <v>418.01177236106929</v>
      </c>
      <c r="EN57" s="59">
        <f t="shared" si="20"/>
        <v>691.03659811478599</v>
      </c>
      <c r="EO57" s="59">
        <f ca="1">AVERAGE(OFFSET($EN$3,0,0,'Données projet'!$E$15+1,1))-AVERAGE(OFFSET($H$3,0,0,'Données projet'!$E$15+1,1))</f>
        <v>331.94255128154623</v>
      </c>
      <c r="EP57" s="59">
        <f t="shared" si="46"/>
        <v>258.40809812013964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196.82890365923691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196.82890365923691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64.461316114650018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54.2</v>
      </c>
      <c r="FE57" s="12">
        <f>IF('Données projet'!$A$218&gt;35,FE56+FD57-FM56,IF(A57&lt;'Données projet'!$A$218,$FB$205^A57,IF(A57='Données projet'!$A$218,'Données projet'!$B$218,FE56+FD57-FM56)))</f>
        <v>251.80000000000007</v>
      </c>
      <c r="FF57" s="17">
        <f>FE57*VLOOKUP('Données projet'!$B$16,Paramètres!$A$1:$I$89,3,0)*VLOOKUP('Données projet'!$B$16,Paramètres!$A$1:$I$89,5,0)</f>
        <v>239.61288000000008</v>
      </c>
      <c r="FG57" s="13">
        <f t="shared" si="47"/>
        <v>58.356231904651075</v>
      </c>
      <c r="FH57" s="20">
        <f t="shared" si="22"/>
        <v>518.96286990060071</v>
      </c>
      <c r="FI57" s="59">
        <f t="shared" si="23"/>
        <v>791.98769565431735</v>
      </c>
      <c r="FJ57" s="59">
        <f ca="1">AVERAGE(OFFSET($FI$3,0,0,'Données projet'!$E$16+1,1))-AVERAGE(OFFSET($H$3,0,0,'Données projet'!$E$16+1,1))</f>
        <v>290.72311302449236</v>
      </c>
      <c r="FK57" s="59">
        <f t="shared" si="48"/>
        <v>352.32552988394434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215.53036928543352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215.53036928543352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64.461316114650018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22.6</v>
      </c>
      <c r="FZ57" s="12">
        <f>IF('Données projet'!$A$244&gt;35,FZ56+FY57-GH56,IF(A57&lt;'Données projet'!$A$244,$FW$205^A57,IF(A57='Données projet'!$A$244,'Données projet'!$B$244,FZ56+FY57-GH56)))</f>
        <v>105.4</v>
      </c>
      <c r="GA57" s="17">
        <f>FZ57*VLOOKUP('Données projet'!$B$17,Paramètres!$A$1:$I$89,3,0)*VLOOKUP('Données projet'!$B$17,Paramètres!$A$1:$I$89,5,0)</f>
        <v>69.058080000000004</v>
      </c>
      <c r="GB57" s="13">
        <f t="shared" si="49"/>
        <v>19.439361528467131</v>
      </c>
      <c r="GC57" s="20">
        <f t="shared" si="25"/>
        <v>154.1330439954136</v>
      </c>
      <c r="GD57" s="59">
        <f t="shared" si="26"/>
        <v>427.15786974913033</v>
      </c>
      <c r="GE57" s="59">
        <f ca="1">AVERAGE(OFFSET($GD$3,0,0,'Données projet'!$E$17+1,1))-AVERAGE(OFFSET($H$3,0,0,'Données projet'!$E$17+1,1))</f>
        <v>123.03972959251965</v>
      </c>
      <c r="GF57" s="59">
        <f t="shared" si="50"/>
        <v>178.27657680839445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39.605441625965312</v>
      </c>
      <c r="GM57" s="21">
        <f>EXP(-LN(2)/25)*GM56+(1-EXP(-LN(2)/25))/(LN(2)/25)*Calculateur!GH57*Calculateur!GJ57*VLOOKUP('Données projet'!$B$17,Paramètres!$A$1:$I$89,3,0)*0.475*44/12</f>
        <v>32.453994092068832</v>
      </c>
      <c r="GN57" s="21">
        <f>EXP(-LN(2)/2)*GN56+(1-EXP(-LN(2)/2))/(LN(2)/2)*GH57*GK57*VLOOKUP('Données projet'!$B$17,Paramètres!$A$1:$I$89,3,0)*0.475*44/12</f>
        <v>4.0417918452732629</v>
      </c>
      <c r="GO57" s="21">
        <f t="shared" si="27"/>
        <v>76.101227563307404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64.461316114650018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28.3</v>
      </c>
      <c r="GU57" s="12">
        <f>IF('Données projet'!$A$270&gt;35,GU56+GT57-HC56,IF(A57&lt;'Données projet'!$A$270,$GR$205^A57,IF(A57='Données projet'!$A$270,'Données projet'!$B$270,GU56+GT57-HC56)))</f>
        <v>350.19999999999987</v>
      </c>
      <c r="GV57" s="17">
        <f>GU57*VLOOKUP('Données projet'!$B$18,Paramètres!$A$1:$I$89,3,0)*VLOOKUP('Données projet'!$B$18,Paramètres!$A$1:$I$89,5,0)</f>
        <v>234.91415999999995</v>
      </c>
      <c r="GW57" s="13">
        <f t="shared" si="51"/>
        <v>57.343926919872942</v>
      </c>
      <c r="GX57" s="20">
        <f t="shared" si="28"/>
        <v>509.01616805211188</v>
      </c>
      <c r="GY57" s="59">
        <f t="shared" si="29"/>
        <v>782.04099380582852</v>
      </c>
      <c r="GZ57" s="59">
        <f ca="1">AVERAGE(OFFSET($GY$3,0,0,'Données projet'!$E$18+1,1))-AVERAGE(OFFSET($H$3,0,0,'Données projet'!$E$18+1,1))</f>
        <v>542.25674729323623</v>
      </c>
      <c r="HA57" s="59">
        <f t="shared" si="52"/>
        <v>614.73906555680685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0</v>
      </c>
      <c r="HH57" s="21">
        <f>EXP(-LN(2)/25)*HH56+(1-EXP(-LN(2)/25))/(LN(2)/25)*Calculateur!HC57*Calculateur!HE57*VLOOKUP('Données projet'!$B$18,Paramètres!$A$1:$I$89,3,0)*0.475*44/12</f>
        <v>0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0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2.8499999999999996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10.449999999999998</v>
      </c>
      <c r="H58" s="67">
        <f t="shared" si="1"/>
        <v>214.86666666666667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64.557399897418719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572</v>
      </c>
      <c r="L58" s="12">
        <f>VLOOKUP(A58,'Données projet'!$A$35:$I$55,9,0)</f>
        <v>10.4</v>
      </c>
      <c r="M58" s="12">
        <f t="array" ref="M58">INDEX(L:L,MIN(IF(ISNUMBER(L58:L254),ROW(L58:L254),"")))</f>
        <v>10.4</v>
      </c>
      <c r="N58" s="13">
        <f>IF('Données projet'!$A$36&gt;35,N57+M58-V57,IF(A58&lt;'Données projet'!$A$36,$K$205^A58,IF(A58='Données projet'!$A$36,'Données projet'!$B$36,N57+M58-V57)))</f>
        <v>571.99999999999932</v>
      </c>
      <c r="O58" s="13">
        <f>N58*VLOOKUP('Données projet'!$B$9,Paramètres!$A$1:$I$89,3,0)*VLOOKUP('Données projet'!$B$9,Paramètres!$A$1:$I$89,5,0)</f>
        <v>499.69919999999945</v>
      </c>
      <c r="P58" s="13">
        <f t="shared" si="33"/>
        <v>111.72002692087293</v>
      </c>
      <c r="Q58" s="20">
        <f t="shared" si="53"/>
        <v>1064.888486887186</v>
      </c>
      <c r="R58" s="59">
        <f t="shared" si="0"/>
        <v>1338.2656198443879</v>
      </c>
      <c r="S58" s="59">
        <f ca="1">AVERAGE(OFFSET($R$3,0,0,'Données projet'!$E$9+1,1))-AVERAGE(OFFSET($H$3,0,0,'Données projet'!$E$9+1,1))</f>
        <v>686.80970545599644</v>
      </c>
      <c r="T58" s="59">
        <f t="shared" si="34"/>
        <v>636.16485232937737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64.557399897418719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7.625</v>
      </c>
      <c r="AI58" s="13">
        <f>IF('Données projet'!$A$62&gt;35,AI57+AH58-AQ57,IF(A58&lt;'Données projet'!$A$62,$AF$205^A58,IF(A58='Données projet'!$A$62,'Données projet'!$B$62,AI57+AH58-AQ57)))</f>
        <v>139.62500000000003</v>
      </c>
      <c r="AJ58" s="13">
        <f>AI58*VLOOKUP('Données projet'!$B$10,Paramètres!$A$1:$I$89,3,0)*VLOOKUP('Données projet'!$B$10,Paramètres!$A$1:$I$89,5,0)</f>
        <v>126.33270000000003</v>
      </c>
      <c r="AK58" s="13">
        <f t="shared" si="35"/>
        <v>33.147547860677534</v>
      </c>
      <c r="AL58" s="20">
        <f t="shared" si="4"/>
        <v>277.76143169068007</v>
      </c>
      <c r="AM58" s="59">
        <f t="shared" si="5"/>
        <v>551.13856464788205</v>
      </c>
      <c r="AN58" s="59">
        <f ca="1">AVERAGE(OFFSET($AM$3,0,0,'Données projet'!$E$10+1,1))-AVERAGE(OFFSET($H$3,0,0,'Données projet'!$E$10+1,1))</f>
        <v>323.67375363913726</v>
      </c>
      <c r="AO58" s="59">
        <f t="shared" si="36"/>
        <v>266.03902815735029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13.378777727582724</v>
      </c>
      <c r="AV58" s="21">
        <f>EXP(-LN(2)/25)*AV57+(1-EXP(-LN(2)/25))/(LN(2)/25)*Calculateur!AQ58*Calculateur!AS58*VLOOKUP('Données projet'!$B$10,Paramètres!$A$1:$I$89,3,0)*0.475*44/12</f>
        <v>15.224596331198736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28.603374058781462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64.557399897418719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371.46495716091965</v>
      </c>
      <c r="BJ58" s="59">
        <f t="shared" si="38"/>
        <v>579.95059529269417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182.26915928896261</v>
      </c>
      <c r="BQ58" s="21">
        <f>EXP(-LN(2)/25)*BQ57+(1-EXP(-LN(2)/25))/(LN(2)/25)*Calculateur!BL58*Calculateur!BN58*VLOOKUP('Données projet'!$B$11,Paramètres!$A$1:$I$89,3,0)*0.475*44/12</f>
        <v>52.213744794605233</v>
      </c>
      <c r="BR58" s="21">
        <f>EXP(-LN(2)/2)*BR57+(1-EXP(-LN(2)/2))/(LN(2)/2)*BL58*BO58*VLOOKUP('Données projet'!$B$11,Paramètres!$A$1:$I$89,3,0)*0.475*44/12</f>
        <v>1.2134954455884708</v>
      </c>
      <c r="BS58" s="22">
        <f t="shared" si="9"/>
        <v>235.69639952915634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64.557399897418719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>
        <f>BY58*VLOOKUP('Données projet'!$B$12,Paramètres!$A$1:$I$89,3,0)*VLOOKUP('Données projet'!$B$12,Paramètres!$A$1:$I$89,5,0)</f>
        <v>0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180.18752244216969</v>
      </c>
      <c r="CE58" s="59">
        <f t="shared" si="40"/>
        <v>350.12096474554676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220.09209593299639</v>
      </c>
      <c r="CL58" s="21">
        <f>EXP(-LN(2)/25)*CL57+(1-EXP(-LN(2)/25))/(LN(2)/25)*Calculateur!CG58*Calculateur!CI58*VLOOKUP('Données projet'!$B$12,Paramètres!$A$1:$I$89,3,0)*0.475*44/12</f>
        <v>93.095919340103364</v>
      </c>
      <c r="CM58" s="21">
        <f>EXP(-LN(2)/2)*CM57+(1-EXP(-LN(2)/2))/(LN(2)/2)*CG58*CJ58*VLOOKUP('Données projet'!$B$12,Paramètres!$A$1:$I$89,3,0)*0.475*44/12</f>
        <v>0.92195203180018603</v>
      </c>
      <c r="CN58" s="22">
        <f t="shared" si="12"/>
        <v>314.1099673048999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64.557399897418719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324</v>
      </c>
      <c r="CR58" s="12">
        <f>VLOOKUP(A58,'Données projet'!$A$139:$I$159,9,0)</f>
        <v>60.6</v>
      </c>
      <c r="CS58" s="12">
        <f t="array" ref="CS58">INDEX(CR:CR,MIN(IF(ISNUMBER(CR58:CR254),ROW(CR58:CR254),"")))</f>
        <v>60.6</v>
      </c>
      <c r="CT58" s="12">
        <f>IF('Données projet'!$A$140&gt;35,CT57+CS58-DB57,IF(A58&lt;'Données projet'!$A$140,$CQ$205^A58,IF(A58='Données projet'!$A$140,'Données projet'!$B$140,CT57+CS58-DB57)))</f>
        <v>324</v>
      </c>
      <c r="CU58" s="17">
        <f>CT58*VLOOKUP('Données projet'!$B$13,Paramètres!$A$1:$I$89,3,0)*VLOOKUP('Données projet'!$B$13,Paramètres!$A$1:$I$89,5,0)</f>
        <v>257.77440000000001</v>
      </c>
      <c r="CV58" s="13">
        <f t="shared" si="41"/>
        <v>62.247732872134293</v>
      </c>
      <c r="CW58" s="20">
        <f t="shared" si="13"/>
        <v>557.37188141896729</v>
      </c>
      <c r="CX58" s="59">
        <f t="shared" si="14"/>
        <v>830.74901437616927</v>
      </c>
      <c r="CY58" s="59">
        <f ca="1">AVERAGE(OFFSET($CX$3,0,0,'Données projet'!$E$13+1,1))-AVERAGE(OFFSET($H$3,0,0,'Données projet'!$E$13+1,1))</f>
        <v>284.31574332240928</v>
      </c>
      <c r="CZ58" s="59">
        <f t="shared" si="42"/>
        <v>403.96994631683913</v>
      </c>
      <c r="DA58" s="15">
        <f>IF(ISNA(VLOOKUP(A58,'Données projet'!$A$139:$I$159,3,0)),0,VLOOKUP(A58,'Données projet'!$A$139:$I$159,3,0))</f>
        <v>10</v>
      </c>
      <c r="DB58" s="15">
        <f>IF(ISNA(VLOOKUP(A58,'Données projet'!$A$139:$I$159,4,0)),0,VLOOKUP(A58,'Données projet'!$A$139:$I$159,4,0))</f>
        <v>306</v>
      </c>
      <c r="DC58" s="16">
        <f>IF(ISNA(VLOOKUP(A58,'Données projet'!$A$139:$I$159,5,0)),0%,VLOOKUP(A58,'Données projet'!$A$139:$I$159,5,0)*VLOOKUP('Données projet'!$B$13,Paramètres!$A$1:$I$89,7,0))</f>
        <v>0.42400000000000004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454.32555349534539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454.32555349534539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64.557399897418719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>
        <f>DO58*VLOOKUP('Données projet'!$B$14,Paramètres!$A$1:$I$89,3,0)*VLOOKUP('Données projet'!$B$14,Paramètres!$A$1:$I$89,5,0)</f>
        <v>0</v>
      </c>
      <c r="DQ58" s="13" t="e">
        <f t="shared" si="43"/>
        <v>#NUM!</v>
      </c>
      <c r="DR58" s="20" t="e">
        <f t="shared" si="16"/>
        <v>#NUM!</v>
      </c>
      <c r="DS58" s="59" t="e">
        <f t="shared" si="17"/>
        <v>#NUM!</v>
      </c>
      <c r="DT58" s="59">
        <f ca="1">AVERAGE(OFFSET($DS$3,0,0,'Données projet'!$E$14+1,1))-AVERAGE(OFFSET($H$3,0,0,'Données projet'!$E$14+1,1))</f>
        <v>190.9519472160006</v>
      </c>
      <c r="DU58" s="59">
        <f t="shared" si="44"/>
        <v>170.61553500287511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198.45074216152733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198.45074216152733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64.557399897418719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271</v>
      </c>
      <c r="EH58" s="12">
        <f>VLOOKUP(A58,'Données projet'!$A$191:$I$211,9,0)</f>
        <v>47.2</v>
      </c>
      <c r="EI58" s="12">
        <f t="array" ref="EI58">INDEX(EH:EH,MIN(IF(ISNUMBER(EH58:EH254),ROW(EH58:EH254),"")))</f>
        <v>47.2</v>
      </c>
      <c r="EJ58" s="12">
        <f>IF('Données projet'!$A$192&gt;35,EJ57+EI58-ER57,IF(A58&lt;'Données projet'!$A$192,$EG$205^A58,IF(A58='Données projet'!$A$192,'Données projet'!$B$192,EJ57+EI58-ER57)))</f>
        <v>271</v>
      </c>
      <c r="EK58" s="17">
        <f>EJ58*VLOOKUP('Données projet'!$B$15,Paramètres!$A$1:$I$89,3,0)*VLOOKUP('Données projet'!$B$15,Paramètres!$A$1:$I$89,5,0)</f>
        <v>232.51800000000003</v>
      </c>
      <c r="EL58" s="13">
        <f t="shared" si="45"/>
        <v>56.826786503208623</v>
      </c>
      <c r="EM58" s="20">
        <f t="shared" si="19"/>
        <v>503.94216982642166</v>
      </c>
      <c r="EN58" s="59">
        <f t="shared" si="20"/>
        <v>777.3193027836237</v>
      </c>
      <c r="EO58" s="59">
        <f ca="1">AVERAGE(OFFSET($EN$3,0,0,'Données projet'!$E$15+1,1))-AVERAGE(OFFSET($H$3,0,0,'Données projet'!$E$15+1,1))</f>
        <v>331.94255128154623</v>
      </c>
      <c r="EP58" s="59">
        <f t="shared" si="46"/>
        <v>258.40809812013964</v>
      </c>
      <c r="EQ58" s="15">
        <f>IF(ISNA(VLOOKUP(A58,'Données projet'!$A$191:$I$211,3,0)),0,VLOOKUP(A58,'Données projet'!$A$191:$I$211,3,0))</f>
        <v>8</v>
      </c>
      <c r="ER58" s="15">
        <f>IF(ISNA(VLOOKUP(A58,'Données projet'!$A$191:$I$211,4,0)),0,VLOOKUP(A58,'Données projet'!$A$191:$I$211,4,0))</f>
        <v>236</v>
      </c>
      <c r="ES58" s="16">
        <f>IF(ISNA(VLOOKUP(A58,'Données projet'!$A$191:$I$211,5,0)),0%,VLOOKUP(A58,'Données projet'!$A$191:$I$211,5,0)*VLOOKUP('Données projet'!$B$15,Paramètres!$A$1:$I$89,7,0))</f>
        <v>0.42400000000000004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287.87927106566423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287.87927106566423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64.557399897418719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306</v>
      </c>
      <c r="FC58" s="12">
        <f>VLOOKUP(A58,'Données projet'!$A$217:$I$237,9,0)</f>
        <v>54.2</v>
      </c>
      <c r="FD58" s="12">
        <f t="array" ref="FD58">INDEX(FC:FC,MIN(IF(ISNUMBER(FC58:FC254),ROW(FC58:FC254),"")))</f>
        <v>54.2</v>
      </c>
      <c r="FE58" s="12">
        <f>IF('Données projet'!$A$218&gt;35,FE57+FD58-FM57,IF(A58&lt;'Données projet'!$A$218,$FB$205^A58,IF(A58='Données projet'!$A$218,'Données projet'!$B$218,FE57+FD58-FM57)))</f>
        <v>306.00000000000006</v>
      </c>
      <c r="FF58" s="17">
        <f>FE58*VLOOKUP('Données projet'!$B$16,Paramètres!$A$1:$I$89,3,0)*VLOOKUP('Données projet'!$B$16,Paramètres!$A$1:$I$89,5,0)</f>
        <v>291.18960000000004</v>
      </c>
      <c r="FG58" s="13">
        <f t="shared" si="47"/>
        <v>69.32627325504869</v>
      </c>
      <c r="FH58" s="20">
        <f t="shared" si="22"/>
        <v>627.89847925254321</v>
      </c>
      <c r="FI58" s="59">
        <f t="shared" si="23"/>
        <v>901.27561220974519</v>
      </c>
      <c r="FJ58" s="59">
        <f ca="1">AVERAGE(OFFSET($FI$3,0,0,'Données projet'!$E$16+1,1))-AVERAGE(OFFSET($H$3,0,0,'Données projet'!$E$16+1,1))</f>
        <v>290.72311302449236</v>
      </c>
      <c r="FK58" s="59">
        <f t="shared" si="48"/>
        <v>352.32552988394434</v>
      </c>
      <c r="FL58" s="15">
        <f>IF(ISNA(VLOOKUP(A58,'Données projet'!$A$217:$I$237,3,0)),0,VLOOKUP(A58,'Données projet'!$A$217:$I$237,3,0))</f>
        <v>8</v>
      </c>
      <c r="FM58" s="15">
        <f>IF(ISNA(VLOOKUP(A58,'Données projet'!$A$217:$I$237,4,0)),0,VLOOKUP(A58,'Données projet'!$A$217:$I$237,4,0))</f>
        <v>271</v>
      </c>
      <c r="FN58" s="16">
        <f>IF(ISNA(VLOOKUP(A58,'Données projet'!$A$217:$I$237,5,0)),0%,VLOOKUP(A58,'Données projet'!$A$217:$I$237,5,0)*VLOOKUP('Données projet'!$B$16,Paramètres!$A$1:$I$89,7,0))</f>
        <v>0.34400000000000003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309.37239252585005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309.37239252585005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64.557399897418719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128</v>
      </c>
      <c r="FX58" s="12">
        <f>VLOOKUP(A58,'Données projet'!$A$243:$I$263,9,0)</f>
        <v>22.6</v>
      </c>
      <c r="FY58" s="12">
        <f t="array" ref="FY58">INDEX(FX:FX,MIN(IF(ISNUMBER(FX58:FX254),ROW(FX58:FX254),"")))</f>
        <v>22.6</v>
      </c>
      <c r="FZ58" s="12">
        <f>IF('Données projet'!$A$244&gt;35,FZ57+FY58-GH57,IF(A58&lt;'Données projet'!$A$244,$FW$205^A58,IF(A58='Données projet'!$A$244,'Données projet'!$B$244,FZ57+FY58-GH57)))</f>
        <v>128</v>
      </c>
      <c r="GA58" s="17">
        <f>FZ58*VLOOKUP('Données projet'!$B$17,Paramètres!$A$1:$I$89,3,0)*VLOOKUP('Données projet'!$B$17,Paramètres!$A$1:$I$89,5,0)</f>
        <v>83.865600000000001</v>
      </c>
      <c r="GB58" s="13">
        <f t="shared" si="49"/>
        <v>23.079732033574274</v>
      </c>
      <c r="GC58" s="20">
        <f t="shared" si="25"/>
        <v>186.26311995847519</v>
      </c>
      <c r="GD58" s="59">
        <f t="shared" si="26"/>
        <v>459.64025291567714</v>
      </c>
      <c r="GE58" s="59">
        <f ca="1">AVERAGE(OFFSET($GD$3,0,0,'Données projet'!$E$17+1,1))-AVERAGE(OFFSET($H$3,0,0,'Données projet'!$E$17+1,1))</f>
        <v>123.03972959251965</v>
      </c>
      <c r="GF58" s="59">
        <f t="shared" si="50"/>
        <v>178.27657680839445</v>
      </c>
      <c r="GG58" s="15">
        <f>IF(ISNA(VLOOKUP(A58,'Données projet'!$A$243:$I$263,3,0)),0,VLOOKUP(A58,'Données projet'!$A$243:$I$263,3,0))</f>
        <v>9</v>
      </c>
      <c r="GH58" s="15">
        <f>IF(ISNA(VLOOKUP(A58,'Données projet'!$A$243:$I$263,4,0)),0,VLOOKUP(A58,'Données projet'!$A$243:$I$263,4,0))</f>
        <v>114</v>
      </c>
      <c r="GI58" s="16">
        <f>IF(ISNA(VLOOKUP(A58,'Données projet'!$A$243:$I$263,5,0)),0%,VLOOKUP(A58,'Données projet'!$A$243:$I$263,5,0)*VLOOKUP('Données projet'!$B$17,Paramètres!$A$1:$I$89,7,0))</f>
        <v>0.30099999999999999</v>
      </c>
      <c r="GJ58" s="16">
        <f>IF(ISNA(VLOOKUP(A58,'Données projet'!$A$243:$I$263,6,0)),0%,VLOOKUP(A58,'Données projet'!$A$243:$I$263,6,0)*VLOOKUP('Données projet'!$B$17,Paramètres!$A$1:$I$89,7,0))</f>
        <v>4.3000000000000003E-2</v>
      </c>
      <c r="GK58" s="16">
        <f>IF(ISNA(VLOOKUP(A58,'Données projet'!$A$243:$I$263,7,0)),0%,VLOOKUP(A58,'Données projet'!$A$243:$I$263,7,0))</f>
        <v>0.1</v>
      </c>
      <c r="GL58" s="21">
        <f>EXP(-LN(2)/35)*GL57+(1-EXP(-LN(2)/35))/(LN(2)/35)*GH58*GI58*VLOOKUP('Données projet'!$B$17,Paramètres!$A$1:$I$89,3,0)*0.475*44/12</f>
        <v>63.682577139892224</v>
      </c>
      <c r="GM58" s="21">
        <f>EXP(-LN(2)/25)*GM57+(1-EXP(-LN(2)/25))/(LN(2)/25)*Calculateur!GH58*Calculateur!GJ58*VLOOKUP('Données projet'!$B$17,Paramètres!$A$1:$I$89,3,0)*0.475*44/12</f>
        <v>35.103097243903377</v>
      </c>
      <c r="GN58" s="21">
        <f>EXP(-LN(2)/2)*GN57+(1-EXP(-LN(2)/2))/(LN(2)/2)*GH58*GK58*VLOOKUP('Données projet'!$B$17,Paramètres!$A$1:$I$89,3,0)*0.475*44/12</f>
        <v>9.9054451346609476</v>
      </c>
      <c r="GO58" s="21">
        <f t="shared" si="27"/>
        <v>108.69111951845655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64.557399897418719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28.3</v>
      </c>
      <c r="GU58" s="12">
        <f>IF('Données projet'!$A$270&gt;35,GU57+GT58-HC57,IF(A58&lt;'Données projet'!$A$270,$GR$205^A58,IF(A58='Données projet'!$A$270,'Données projet'!$B$270,GU57+GT58-HC57)))</f>
        <v>378.49999999999989</v>
      </c>
      <c r="GV58" s="17">
        <f>GU58*VLOOKUP('Données projet'!$B$18,Paramètres!$A$1:$I$89,3,0)*VLOOKUP('Données projet'!$B$18,Paramètres!$A$1:$I$89,5,0)</f>
        <v>253.8977999999999</v>
      </c>
      <c r="GW58" s="13">
        <f t="shared" si="51"/>
        <v>61.419843043617213</v>
      </c>
      <c r="GX58" s="20">
        <f t="shared" si="28"/>
        <v>549.17822830096645</v>
      </c>
      <c r="GY58" s="59">
        <f t="shared" si="29"/>
        <v>822.55536125816843</v>
      </c>
      <c r="GZ58" s="59">
        <f ca="1">AVERAGE(OFFSET($GY$3,0,0,'Données projet'!$E$18+1,1))-AVERAGE(OFFSET($H$3,0,0,'Données projet'!$E$18+1,1))</f>
        <v>542.25674729323623</v>
      </c>
      <c r="HA58" s="59">
        <f t="shared" si="52"/>
        <v>614.73906555680685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0</v>
      </c>
      <c r="HH58" s="21">
        <f>EXP(-LN(2)/25)*HH57+(1-EXP(-LN(2)/25))/(LN(2)/25)*Calculateur!HC58*Calculateur!HE58*VLOOKUP('Données projet'!$B$18,Paramètres!$A$1:$I$89,3,0)*0.475*44/12</f>
        <v>0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0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2.8499999999999996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10.449999999999998</v>
      </c>
      <c r="H59" s="67">
        <f t="shared" si="1"/>
        <v>214.86666666666667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64.651816841367548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10.4</v>
      </c>
      <c r="N59" s="13">
        <f>IF('Données projet'!$A$36&gt;35,N58+M59-V58,IF(A59&lt;'Données projet'!$A$36,$K$205^A59,IF(A59='Données projet'!$A$36,'Données projet'!$B$36,N58+M59-V58)))</f>
        <v>582.3999999999993</v>
      </c>
      <c r="O59" s="13">
        <f>N59*VLOOKUP('Données projet'!$B$9,Paramètres!$A$1:$I$89,3,0)*VLOOKUP('Données projet'!$B$9,Paramètres!$A$1:$I$89,5,0)</f>
        <v>508.78463999999951</v>
      </c>
      <c r="P59" s="13">
        <f t="shared" si="33"/>
        <v>113.51297340379259</v>
      </c>
      <c r="Q59" s="20">
        <f t="shared" si="53"/>
        <v>1083.8350100116043</v>
      </c>
      <c r="R59" s="59">
        <f t="shared" si="0"/>
        <v>1357.5583384299518</v>
      </c>
      <c r="S59" s="59">
        <f ca="1">AVERAGE(OFFSET($R$3,0,0,'Données projet'!$E$9+1,1))-AVERAGE(OFFSET($H$3,0,0,'Données projet'!$E$9+1,1))</f>
        <v>686.80970545599644</v>
      </c>
      <c r="T59" s="59">
        <f t="shared" si="34"/>
        <v>636.16485232937737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64.651816841367548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7.625</v>
      </c>
      <c r="AI59" s="13">
        <f>IF('Données projet'!$A$62&gt;35,AI58+AH59-AQ58,IF(A59&lt;'Données projet'!$A$62,$AF$205^A59,IF(A59='Données projet'!$A$62,'Données projet'!$B$62,AI58+AH59-AQ58)))</f>
        <v>147.25000000000003</v>
      </c>
      <c r="AJ59" s="13">
        <f>AI59*VLOOKUP('Données projet'!$B$10,Paramètres!$A$1:$I$89,3,0)*VLOOKUP('Données projet'!$B$10,Paramètres!$A$1:$I$89,5,0)</f>
        <v>133.23180000000002</v>
      </c>
      <c r="AK59" s="13">
        <f t="shared" si="35"/>
        <v>34.742062818999614</v>
      </c>
      <c r="AL59" s="20">
        <f t="shared" si="4"/>
        <v>292.55447774309101</v>
      </c>
      <c r="AM59" s="59">
        <f t="shared" si="5"/>
        <v>566.27780616143866</v>
      </c>
      <c r="AN59" s="59">
        <f ca="1">AVERAGE(OFFSET($AM$3,0,0,'Données projet'!$E$10+1,1))-AVERAGE(OFFSET($H$3,0,0,'Données projet'!$E$10+1,1))</f>
        <v>323.67375363913726</v>
      </c>
      <c r="AO59" s="59">
        <f t="shared" si="36"/>
        <v>266.03902815735029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13.116428056593483</v>
      </c>
      <c r="AV59" s="21">
        <f>EXP(-LN(2)/25)*AV58+(1-EXP(-LN(2)/25))/(LN(2)/25)*Calculateur!AQ59*Calculateur!AS59*VLOOKUP('Données projet'!$B$10,Paramètres!$A$1:$I$89,3,0)*0.475*44/12</f>
        <v>14.808278943895381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27.924707000488866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64.651816841367548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371.46495716091965</v>
      </c>
      <c r="BJ59" s="59">
        <f t="shared" si="38"/>
        <v>579.95059529269417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178.69497224851577</v>
      </c>
      <c r="BQ59" s="21">
        <f>EXP(-LN(2)/25)*BQ58+(1-EXP(-LN(2)/25))/(LN(2)/25)*Calculateur!BL59*Calculateur!BN59*VLOOKUP('Données projet'!$B$11,Paramètres!$A$1:$I$89,3,0)*0.475*44/12</f>
        <v>50.785957197395248</v>
      </c>
      <c r="BR59" s="21">
        <f>EXP(-LN(2)/2)*BR58+(1-EXP(-LN(2)/2))/(LN(2)/2)*BL59*BO59*VLOOKUP('Données projet'!$B$11,Paramètres!$A$1:$I$89,3,0)*0.475*44/12</f>
        <v>0.85807085851459886</v>
      </c>
      <c r="BS59" s="22">
        <f t="shared" si="9"/>
        <v>230.33900030442561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64.651816841367548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>
        <f>BY59*VLOOKUP('Données projet'!$B$12,Paramètres!$A$1:$I$89,3,0)*VLOOKUP('Données projet'!$B$12,Paramètres!$A$1:$I$89,5,0)</f>
        <v>0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180.18752244216969</v>
      </c>
      <c r="CE59" s="59">
        <f t="shared" si="40"/>
        <v>350.12096474554676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215.77622417467344</v>
      </c>
      <c r="CL59" s="21">
        <f>EXP(-LN(2)/25)*CL58+(1-EXP(-LN(2)/25))/(LN(2)/25)*Calculateur!CG59*Calculateur!CI59*VLOOKUP('Données projet'!$B$12,Paramètres!$A$1:$I$89,3,0)*0.475*44/12</f>
        <v>90.550206530046609</v>
      </c>
      <c r="CM59" s="21">
        <f>EXP(-LN(2)/2)*CM58+(1-EXP(-LN(2)/2))/(LN(2)/2)*CG59*CJ59*VLOOKUP('Données projet'!$B$12,Paramètres!$A$1:$I$89,3,0)*0.475*44/12</f>
        <v>0.65191853361462715</v>
      </c>
      <c r="CN59" s="22">
        <f t="shared" si="12"/>
        <v>306.97834923833466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64.651816841367548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65</v>
      </c>
      <c r="CT59" s="12">
        <f>IF('Données projet'!$A$140&gt;35,CT58+CS59-DB58,IF(A59&lt;'Données projet'!$A$140,$CQ$205^A59,IF(A59='Données projet'!$A$140,'Données projet'!$B$140,CT58+CS59-DB58)))</f>
        <v>83</v>
      </c>
      <c r="CU59" s="17">
        <f>CT59*VLOOKUP('Données projet'!$B$13,Paramètres!$A$1:$I$89,3,0)*VLOOKUP('Données projet'!$B$13,Paramètres!$A$1:$I$89,5,0)</f>
        <v>66.034800000000004</v>
      </c>
      <c r="CV59" s="13">
        <f t="shared" si="41"/>
        <v>18.685441765603336</v>
      </c>
      <c r="CW59" s="20">
        <f t="shared" si="13"/>
        <v>147.55442107509245</v>
      </c>
      <c r="CX59" s="59">
        <f t="shared" si="14"/>
        <v>421.27774949344007</v>
      </c>
      <c r="CY59" s="59">
        <f ca="1">AVERAGE(OFFSET($CX$3,0,0,'Données projet'!$E$13+1,1))-AVERAGE(OFFSET($H$3,0,0,'Données projet'!$E$13+1,1))</f>
        <v>284.31574332240928</v>
      </c>
      <c r="CZ59" s="59">
        <f t="shared" si="42"/>
        <v>403.96994631683913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445.41650650252683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445.41650650252683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64.651816841367548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>
        <f>DO59*VLOOKUP('Données projet'!$B$14,Paramètres!$A$1:$I$89,3,0)*VLOOKUP('Données projet'!$B$14,Paramètres!$A$1:$I$89,5,0)</f>
        <v>0</v>
      </c>
      <c r="DQ59" s="13" t="e">
        <f t="shared" si="43"/>
        <v>#NUM!</v>
      </c>
      <c r="DR59" s="20" t="e">
        <f t="shared" si="16"/>
        <v>#NUM!</v>
      </c>
      <c r="DS59" s="59" t="e">
        <f t="shared" si="17"/>
        <v>#NUM!</v>
      </c>
      <c r="DT59" s="59">
        <f ca="1">AVERAGE(OFFSET($DS$3,0,0,'Données projet'!$E$14+1,1))-AVERAGE(OFFSET($H$3,0,0,'Données projet'!$E$14+1,1))</f>
        <v>190.9519472160006</v>
      </c>
      <c r="DU59" s="59">
        <f t="shared" si="44"/>
        <v>170.61553500287511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194.55924415074048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194.55924415074048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64.651816841367548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53.2</v>
      </c>
      <c r="EJ59" s="12">
        <f>IF('Données projet'!$A$192&gt;35,EJ58+EI59-ER58,IF(A59&lt;'Données projet'!$A$192,$EG$205^A59,IF(A59='Données projet'!$A$192,'Données projet'!$B$192,EJ58+EI59-ER58)))</f>
        <v>88.199999999999989</v>
      </c>
      <c r="EK59" s="17">
        <f>EJ59*VLOOKUP('Données projet'!$B$15,Paramètres!$A$1:$I$89,3,0)*VLOOKUP('Données projet'!$B$15,Paramètres!$A$1:$I$89,5,0)</f>
        <v>75.675600000000003</v>
      </c>
      <c r="EL59" s="13">
        <f t="shared" si="45"/>
        <v>21.076450566911173</v>
      </c>
      <c r="EM59" s="20">
        <f t="shared" si="19"/>
        <v>168.50982140403696</v>
      </c>
      <c r="EN59" s="59">
        <f t="shared" si="20"/>
        <v>442.23314982238458</v>
      </c>
      <c r="EO59" s="59">
        <f ca="1">AVERAGE(OFFSET($EN$3,0,0,'Données projet'!$E$15+1,1))-AVERAGE(OFFSET($H$3,0,0,'Données projet'!$E$15+1,1))</f>
        <v>331.94255128154623</v>
      </c>
      <c r="EP59" s="59">
        <f t="shared" si="46"/>
        <v>258.40809812013964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282.2341341490839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282.2341341490839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64.651816841367548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60.2</v>
      </c>
      <c r="FE59" s="12">
        <f>IF('Données projet'!$A$218&gt;35,FE58+FD59-FM58,IF(A59&lt;'Données projet'!$A$218,$FB$205^A59,IF(A59='Données projet'!$A$218,'Données projet'!$B$218,FE58+FD59-FM58)))</f>
        <v>95.200000000000045</v>
      </c>
      <c r="FF59" s="17">
        <f>FE59*VLOOKUP('Données projet'!$B$16,Paramètres!$A$1:$I$89,3,0)*VLOOKUP('Données projet'!$B$16,Paramètres!$A$1:$I$89,5,0)</f>
        <v>90.592320000000043</v>
      </c>
      <c r="FG59" s="13">
        <f t="shared" si="47"/>
        <v>24.708023730798462</v>
      </c>
      <c r="FH59" s="20">
        <f t="shared" si="22"/>
        <v>200.81476533114071</v>
      </c>
      <c r="FI59" s="59">
        <f t="shared" si="23"/>
        <v>474.53809374948833</v>
      </c>
      <c r="FJ59" s="59">
        <f ca="1">AVERAGE(OFFSET($FI$3,0,0,'Données projet'!$E$16+1,1))-AVERAGE(OFFSET($H$3,0,0,'Données projet'!$E$16+1,1))</f>
        <v>290.72311302449236</v>
      </c>
      <c r="FK59" s="59">
        <f t="shared" si="48"/>
        <v>352.32552988394434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303.30578860694516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303.30578860694516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64.651816841367548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23.8</v>
      </c>
      <c r="FZ59" s="12">
        <f>IF('Données projet'!$A$244&gt;35,FZ58+FY59-GH58,IF(A59&lt;'Données projet'!$A$244,$FW$205^A59,IF(A59='Données projet'!$A$244,'Données projet'!$B$244,FZ58+FY59-GH58)))</f>
        <v>37.800000000000011</v>
      </c>
      <c r="GA59" s="17">
        <f>FZ59*VLOOKUP('Données projet'!$B$17,Paramètres!$A$1:$I$89,3,0)*VLOOKUP('Données projet'!$B$17,Paramètres!$A$1:$I$89,5,0)</f>
        <v>24.766560000000009</v>
      </c>
      <c r="GB59" s="13">
        <f t="shared" si="49"/>
        <v>7.8554629984600908</v>
      </c>
      <c r="GC59" s="20">
        <f t="shared" si="25"/>
        <v>56.816690055651328</v>
      </c>
      <c r="GD59" s="59">
        <f t="shared" si="26"/>
        <v>330.540018473999</v>
      </c>
      <c r="GE59" s="59">
        <f ca="1">AVERAGE(OFFSET($GD$3,0,0,'Données projet'!$E$17+1,1))-AVERAGE(OFFSET($H$3,0,0,'Données projet'!$E$17+1,1))</f>
        <v>123.03972959251965</v>
      </c>
      <c r="GF59" s="59">
        <f t="shared" si="50"/>
        <v>178.27657680839445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62.43380064471561</v>
      </c>
      <c r="GM59" s="21">
        <f>EXP(-LN(2)/25)*GM58+(1-EXP(-LN(2)/25))/(LN(2)/25)*Calculateur!GH59*Calculateur!GJ59*VLOOKUP('Données projet'!$B$17,Paramètres!$A$1:$I$89,3,0)*0.475*44/12</f>
        <v>34.143201203777181</v>
      </c>
      <c r="GN59" s="21">
        <f>EXP(-LN(2)/2)*GN58+(1-EXP(-LN(2)/2))/(LN(2)/2)*GH59*GK59*VLOOKUP('Données projet'!$B$17,Paramètres!$A$1:$I$89,3,0)*0.475*44/12</f>
        <v>7.0042074253900513</v>
      </c>
      <c r="GO59" s="21">
        <f t="shared" si="27"/>
        <v>103.58120927388283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64.651816841367548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28.3</v>
      </c>
      <c r="GU59" s="12">
        <f>IF('Données projet'!$A$270&gt;35,GU58+GT59-HC58,IF(A59&lt;'Données projet'!$A$270,$GR$205^A59,IF(A59='Données projet'!$A$270,'Données projet'!$B$270,GU58+GT59-HC58)))</f>
        <v>406.7999999999999</v>
      </c>
      <c r="GV59" s="17">
        <f>GU59*VLOOKUP('Données projet'!$B$18,Paramètres!$A$1:$I$89,3,0)*VLOOKUP('Données projet'!$B$18,Paramètres!$A$1:$I$89,5,0)</f>
        <v>272.88143999999994</v>
      </c>
      <c r="GW59" s="13">
        <f t="shared" si="51"/>
        <v>65.460405260568933</v>
      </c>
      <c r="GX59" s="20">
        <f t="shared" si="28"/>
        <v>589.27871382882415</v>
      </c>
      <c r="GY59" s="59">
        <f t="shared" si="29"/>
        <v>863.00204224717186</v>
      </c>
      <c r="GZ59" s="59">
        <f ca="1">AVERAGE(OFFSET($GY$3,0,0,'Données projet'!$E$18+1,1))-AVERAGE(OFFSET($H$3,0,0,'Données projet'!$E$18+1,1))</f>
        <v>542.25674729323623</v>
      </c>
      <c r="HA59" s="59">
        <f t="shared" si="52"/>
        <v>614.73906555680685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0</v>
      </c>
      <c r="HH59" s="21">
        <f>EXP(-LN(2)/25)*HH58+(1-EXP(-LN(2)/25))/(LN(2)/25)*Calculateur!HC59*Calculateur!HE59*VLOOKUP('Données projet'!$B$18,Paramètres!$A$1:$I$89,3,0)*0.475*44/12</f>
        <v>0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0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2.8499999999999996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10.449999999999998</v>
      </c>
      <c r="H60" s="67">
        <f t="shared" si="1"/>
        <v>214.86666666666667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64.744595862423523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10.4</v>
      </c>
      <c r="N60" s="13">
        <f>IF('Données projet'!$A$36&gt;35,N59+M60-V59,IF(A60&lt;'Données projet'!$A$36,$K$205^A60,IF(A60='Données projet'!$A$36,'Données projet'!$B$36,N59+M60-V59)))</f>
        <v>592.79999999999927</v>
      </c>
      <c r="O60" s="13">
        <f>N60*VLOOKUP('Données projet'!$B$9,Paramètres!$A$1:$I$89,3,0)*VLOOKUP('Données projet'!$B$9,Paramètres!$A$1:$I$89,5,0)</f>
        <v>517.87007999999946</v>
      </c>
      <c r="P60" s="13">
        <f t="shared" si="33"/>
        <v>115.30219678069001</v>
      </c>
      <c r="Q60" s="20">
        <f t="shared" si="53"/>
        <v>1102.7750487263675</v>
      </c>
      <c r="R60" s="59">
        <f t="shared" si="0"/>
        <v>1376.8385668885871</v>
      </c>
      <c r="S60" s="59">
        <f ca="1">AVERAGE(OFFSET($R$3,0,0,'Données projet'!$E$9+1,1))-AVERAGE(OFFSET($H$3,0,0,'Données projet'!$E$9+1,1))</f>
        <v>686.80970545599644</v>
      </c>
      <c r="T60" s="59">
        <f t="shared" si="34"/>
        <v>636.16485232937737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64.744595862423523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7.625</v>
      </c>
      <c r="AI60" s="13">
        <f>IF('Données projet'!$A$62&gt;35,AI59+AH60-AQ59,IF(A60&lt;'Données projet'!$A$62,$AF$205^A60,IF(A60='Données projet'!$A$62,'Données projet'!$B$62,AI59+AH60-AQ59)))</f>
        <v>154.87500000000003</v>
      </c>
      <c r="AJ60" s="13">
        <f>AI60*VLOOKUP('Données projet'!$B$10,Paramètres!$A$1:$I$89,3,0)*VLOOKUP('Données projet'!$B$10,Paramètres!$A$1:$I$89,5,0)</f>
        <v>140.13090000000003</v>
      </c>
      <c r="AK60" s="13">
        <f t="shared" si="35"/>
        <v>36.326991215595562</v>
      </c>
      <c r="AL60" s="20">
        <f t="shared" si="4"/>
        <v>307.33082720049566</v>
      </c>
      <c r="AM60" s="59">
        <f t="shared" si="5"/>
        <v>581.39434536271528</v>
      </c>
      <c r="AN60" s="59">
        <f ca="1">AVERAGE(OFFSET($AM$3,0,0,'Données projet'!$E$10+1,1))-AVERAGE(OFFSET($H$3,0,0,'Données projet'!$E$10+1,1))</f>
        <v>323.67375363913726</v>
      </c>
      <c r="AO60" s="59">
        <f t="shared" si="36"/>
        <v>266.03902815735029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12.859222902634842</v>
      </c>
      <c r="AV60" s="21">
        <f>EXP(-LN(2)/25)*AV59+(1-EXP(-LN(2)/25))/(LN(2)/25)*Calculateur!AQ60*Calculateur!AS60*VLOOKUP('Données projet'!$B$10,Paramètres!$A$1:$I$89,3,0)*0.475*44/12</f>
        <v>14.403345777441016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27.262568680075859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64.744595862423523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371.46495716091965</v>
      </c>
      <c r="BJ60" s="59">
        <f t="shared" si="38"/>
        <v>579.95059529269417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175.19087283589326</v>
      </c>
      <c r="BQ60" s="21">
        <f>EXP(-LN(2)/25)*BQ59+(1-EXP(-LN(2)/25))/(LN(2)/25)*Calculateur!BL60*Calculateur!BN60*VLOOKUP('Données projet'!$B$11,Paramètres!$A$1:$I$89,3,0)*0.475*44/12</f>
        <v>49.397212527115059</v>
      </c>
      <c r="BR60" s="21">
        <f>EXP(-LN(2)/2)*BR59+(1-EXP(-LN(2)/2))/(LN(2)/2)*BL60*BO60*VLOOKUP('Données projet'!$B$11,Paramètres!$A$1:$I$89,3,0)*0.475*44/12</f>
        <v>0.6067477227942355</v>
      </c>
      <c r="BS60" s="22">
        <f t="shared" si="9"/>
        <v>225.19483308580254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64.744595862423523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>
        <f>BY60*VLOOKUP('Données projet'!$B$12,Paramètres!$A$1:$I$89,3,0)*VLOOKUP('Données projet'!$B$12,Paramètres!$A$1:$I$89,5,0)</f>
        <v>0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180.18752244216969</v>
      </c>
      <c r="CE60" s="59">
        <f t="shared" si="40"/>
        <v>350.12096474554676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211.5449840291094</v>
      </c>
      <c r="CL60" s="21">
        <f>EXP(-LN(2)/25)*CL59+(1-EXP(-LN(2)/25))/(LN(2)/25)*Calculateur!CG60*Calculateur!CI60*VLOOKUP('Données projet'!$B$12,Paramètres!$A$1:$I$89,3,0)*0.475*44/12</f>
        <v>88.074106370654079</v>
      </c>
      <c r="CM60" s="21">
        <f>EXP(-LN(2)/2)*CM59+(1-EXP(-LN(2)/2))/(LN(2)/2)*CG60*CJ60*VLOOKUP('Données projet'!$B$12,Paramètres!$A$1:$I$89,3,0)*0.475*44/12</f>
        <v>0.46097601590009313</v>
      </c>
      <c r="CN60" s="22">
        <f t="shared" si="12"/>
        <v>300.08006641566357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64.744595862423523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65</v>
      </c>
      <c r="CT60" s="12">
        <f>IF('Données projet'!$A$140&gt;35,CT59+CS60-DB59,IF(A60&lt;'Données projet'!$A$140,$CQ$205^A60,IF(A60='Données projet'!$A$140,'Données projet'!$B$140,CT59+CS60-DB59)))</f>
        <v>148</v>
      </c>
      <c r="CU60" s="17">
        <f>CT60*VLOOKUP('Données projet'!$B$13,Paramètres!$A$1:$I$89,3,0)*VLOOKUP('Données projet'!$B$13,Paramètres!$A$1:$I$89,5,0)</f>
        <v>117.74880000000002</v>
      </c>
      <c r="CV60" s="13">
        <f t="shared" si="41"/>
        <v>31.149366548366025</v>
      </c>
      <c r="CW60" s="20">
        <f t="shared" si="13"/>
        <v>259.33097340507084</v>
      </c>
      <c r="CX60" s="59">
        <f t="shared" si="14"/>
        <v>533.39449156729052</v>
      </c>
      <c r="CY60" s="59">
        <f ca="1">AVERAGE(OFFSET($CX$3,0,0,'Données projet'!$E$13+1,1))-AVERAGE(OFFSET($H$3,0,0,'Données projet'!$E$13+1,1))</f>
        <v>284.31574332240928</v>
      </c>
      <c r="CZ60" s="59">
        <f t="shared" si="42"/>
        <v>403.96994631683913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436.68216048725532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436.68216048725532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64.744595862423523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>
        <f>DO60*VLOOKUP('Données projet'!$B$14,Paramètres!$A$1:$I$89,3,0)*VLOOKUP('Données projet'!$B$14,Paramètres!$A$1:$I$89,5,0)</f>
        <v>0</v>
      </c>
      <c r="DQ60" s="13" t="e">
        <f t="shared" si="43"/>
        <v>#NUM!</v>
      </c>
      <c r="DR60" s="20" t="e">
        <f t="shared" si="16"/>
        <v>#NUM!</v>
      </c>
      <c r="DS60" s="59" t="e">
        <f t="shared" si="17"/>
        <v>#NUM!</v>
      </c>
      <c r="DT60" s="59">
        <f ca="1">AVERAGE(OFFSET($DS$3,0,0,'Données projet'!$E$14+1,1))-AVERAGE(OFFSET($H$3,0,0,'Données projet'!$E$14+1,1))</f>
        <v>190.9519472160006</v>
      </c>
      <c r="DU60" s="59">
        <f t="shared" si="44"/>
        <v>170.61553500287511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190.74405604236577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190.74405604236577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64.744595862423523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53.2</v>
      </c>
      <c r="EJ60" s="12">
        <f>IF('Données projet'!$A$192&gt;35,EJ59+EI60-ER59,IF(A60&lt;'Données projet'!$A$192,$EG$205^A60,IF(A60='Données projet'!$A$192,'Données projet'!$B$192,EJ59+EI60-ER59)))</f>
        <v>141.39999999999998</v>
      </c>
      <c r="EK60" s="17">
        <f>EJ60*VLOOKUP('Données projet'!$B$15,Paramètres!$A$1:$I$89,3,0)*VLOOKUP('Données projet'!$B$15,Paramètres!$A$1:$I$89,5,0)</f>
        <v>121.3212</v>
      </c>
      <c r="EL60" s="13">
        <f t="shared" si="45"/>
        <v>31.982950846066768</v>
      </c>
      <c r="EM60" s="20">
        <f t="shared" si="19"/>
        <v>267.00472939023297</v>
      </c>
      <c r="EN60" s="59">
        <f t="shared" si="20"/>
        <v>541.06824755245259</v>
      </c>
      <c r="EO60" s="59">
        <f ca="1">AVERAGE(OFFSET($EN$3,0,0,'Données projet'!$E$15+1,1))-AVERAGE(OFFSET($H$3,0,0,'Données projet'!$E$15+1,1))</f>
        <v>331.94255128154623</v>
      </c>
      <c r="EP60" s="59">
        <f t="shared" si="46"/>
        <v>258.40809812013964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276.69969492424423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276.69969492424423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64.744595862423523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60.2</v>
      </c>
      <c r="FE60" s="12">
        <f>IF('Données projet'!$A$218&gt;35,FE59+FD60-FM59,IF(A60&lt;'Données projet'!$A$218,$FB$205^A60,IF(A60='Données projet'!$A$218,'Données projet'!$B$218,FE59+FD60-FM59)))</f>
        <v>155.40000000000003</v>
      </c>
      <c r="FF60" s="17">
        <f>FE60*VLOOKUP('Données projet'!$B$16,Paramètres!$A$1:$I$89,3,0)*VLOOKUP('Données projet'!$B$16,Paramètres!$A$1:$I$89,5,0)</f>
        <v>147.87864000000005</v>
      </c>
      <c r="FG60" s="13">
        <f t="shared" si="47"/>
        <v>38.096100044975984</v>
      </c>
      <c r="FH60" s="20">
        <f t="shared" si="22"/>
        <v>323.90600557833329</v>
      </c>
      <c r="FI60" s="59">
        <f t="shared" si="23"/>
        <v>597.96952374055286</v>
      </c>
      <c r="FJ60" s="59">
        <f ca="1">AVERAGE(OFFSET($FI$3,0,0,'Données projet'!$E$16+1,1))-AVERAGE(OFFSET($H$3,0,0,'Données projet'!$E$16+1,1))</f>
        <v>290.72311302449236</v>
      </c>
      <c r="FK60" s="59">
        <f t="shared" si="48"/>
        <v>352.32552988394434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297.35814709062697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297.35814709062697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64.744595862423523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23.8</v>
      </c>
      <c r="FZ60" s="12">
        <f>IF('Données projet'!$A$244&gt;35,FZ59+FY60-GH59,IF(A60&lt;'Données projet'!$A$244,$FW$205^A60,IF(A60='Données projet'!$A$244,'Données projet'!$B$244,FZ59+FY60-GH59)))</f>
        <v>61.600000000000009</v>
      </c>
      <c r="GA60" s="17">
        <f>FZ60*VLOOKUP('Données projet'!$B$17,Paramètres!$A$1:$I$89,3,0)*VLOOKUP('Données projet'!$B$17,Paramètres!$A$1:$I$89,5,0)</f>
        <v>40.360320000000009</v>
      </c>
      <c r="GB60" s="13">
        <f t="shared" si="49"/>
        <v>12.09409986057485</v>
      </c>
      <c r="GC60" s="20">
        <f t="shared" si="25"/>
        <v>91.358114590501216</v>
      </c>
      <c r="GD60" s="59">
        <f t="shared" si="26"/>
        <v>365.42163275272083</v>
      </c>
      <c r="GE60" s="59">
        <f ca="1">AVERAGE(OFFSET($GD$3,0,0,'Données projet'!$E$17+1,1))-AVERAGE(OFFSET($H$3,0,0,'Données projet'!$E$17+1,1))</f>
        <v>123.03972959251965</v>
      </c>
      <c r="GF60" s="59">
        <f t="shared" si="50"/>
        <v>178.27657680839445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61.209511894930955</v>
      </c>
      <c r="GM60" s="21">
        <f>EXP(-LN(2)/25)*GM59+(1-EXP(-LN(2)/25))/(LN(2)/25)*Calculateur!GH60*Calculateur!GJ60*VLOOKUP('Données projet'!$B$17,Paramètres!$A$1:$I$89,3,0)*0.475*44/12</f>
        <v>33.20955357134698</v>
      </c>
      <c r="GN60" s="21">
        <f>EXP(-LN(2)/2)*GN59+(1-EXP(-LN(2)/2))/(LN(2)/2)*GH60*GK60*VLOOKUP('Données projet'!$B$17,Paramètres!$A$1:$I$89,3,0)*0.475*44/12</f>
        <v>4.9527225673304747</v>
      </c>
      <c r="GO60" s="21">
        <f t="shared" si="27"/>
        <v>99.371788033608411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64.744595862423523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28.3</v>
      </c>
      <c r="GU60" s="12">
        <f>IF('Données projet'!$A$270&gt;35,GU59+GT60-HC59,IF(A60&lt;'Données projet'!$A$270,$GR$205^A60,IF(A60='Données projet'!$A$270,'Données projet'!$B$270,GU59+GT60-HC59)))</f>
        <v>435.09999999999991</v>
      </c>
      <c r="GV60" s="17">
        <f>GU60*VLOOKUP('Données projet'!$B$18,Paramètres!$A$1:$I$89,3,0)*VLOOKUP('Données projet'!$B$18,Paramètres!$A$1:$I$89,5,0)</f>
        <v>291.86507999999992</v>
      </c>
      <c r="GW60" s="13">
        <f t="shared" si="51"/>
        <v>69.46835281719413</v>
      </c>
      <c r="GX60" s="20">
        <f t="shared" si="28"/>
        <v>629.3223954899463</v>
      </c>
      <c r="GY60" s="59">
        <f t="shared" si="29"/>
        <v>903.38591365216598</v>
      </c>
      <c r="GZ60" s="59">
        <f ca="1">AVERAGE(OFFSET($GY$3,0,0,'Données projet'!$E$18+1,1))-AVERAGE(OFFSET($H$3,0,0,'Données projet'!$E$18+1,1))</f>
        <v>542.25674729323623</v>
      </c>
      <c r="HA60" s="59">
        <f t="shared" si="52"/>
        <v>614.73906555680685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0</v>
      </c>
      <c r="HH60" s="21">
        <f>EXP(-LN(2)/25)*HH59+(1-EXP(-LN(2)/25))/(LN(2)/25)*Calculateur!HC60*Calculateur!HE60*VLOOKUP('Données projet'!$B$18,Paramètres!$A$1:$I$89,3,0)*0.475*44/12</f>
        <v>0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0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2.8499999999999996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10.449999999999998</v>
      </c>
      <c r="H61" s="67">
        <f t="shared" si="1"/>
        <v>214.86666666666667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64.835765374887004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10.4</v>
      </c>
      <c r="N61" s="13">
        <f>IF('Données projet'!$A$36&gt;35,N60+M61-V60,IF(A61&lt;'Données projet'!$A$36,$K$205^A61,IF(A61='Données projet'!$A$36,'Données projet'!$B$36,N60+M61-V60)))</f>
        <v>603.19999999999925</v>
      </c>
      <c r="O61" s="13">
        <f>N61*VLOOKUP('Données projet'!$B$9,Paramètres!$A$1:$I$89,3,0)*VLOOKUP('Données projet'!$B$9,Paramètres!$A$1:$I$89,5,0)</f>
        <v>526.95551999999941</v>
      </c>
      <c r="P61" s="13">
        <f t="shared" si="33"/>
        <v>117.08776990531793</v>
      </c>
      <c r="Q61" s="20">
        <f t="shared" si="53"/>
        <v>1121.7087299184275</v>
      </c>
      <c r="R61" s="59">
        <f t="shared" si="0"/>
        <v>1396.1065362930131</v>
      </c>
      <c r="S61" s="59">
        <f ca="1">AVERAGE(OFFSET($R$3,0,0,'Données projet'!$E$9+1,1))-AVERAGE(OFFSET($H$3,0,0,'Données projet'!$E$9+1,1))</f>
        <v>686.80970545599644</v>
      </c>
      <c r="T61" s="59">
        <f t="shared" si="34"/>
        <v>636.16485232937737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64.835765374887004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7.625</v>
      </c>
      <c r="AI61" s="13">
        <f>IF('Données projet'!$A$62&gt;35,AI60+AH61-AQ60,IF(A61&lt;'Données projet'!$A$62,$AF$205^A61,IF(A61='Données projet'!$A$62,'Données projet'!$B$62,AI60+AH61-AQ60)))</f>
        <v>162.50000000000003</v>
      </c>
      <c r="AJ61" s="13">
        <f>AI61*VLOOKUP('Données projet'!$B$10,Paramètres!$A$1:$I$89,3,0)*VLOOKUP('Données projet'!$B$10,Paramètres!$A$1:$I$89,5,0)</f>
        <v>147.03000000000003</v>
      </c>
      <c r="AK61" s="13">
        <f t="shared" si="35"/>
        <v>37.90285889427615</v>
      </c>
      <c r="AL61" s="20">
        <f t="shared" si="4"/>
        <v>322.09139590753102</v>
      </c>
      <c r="AM61" s="59">
        <f t="shared" si="5"/>
        <v>596.48920228211671</v>
      </c>
      <c r="AN61" s="59">
        <f ca="1">AVERAGE(OFFSET($AM$3,0,0,'Données projet'!$E$10+1,1))-AVERAGE(OFFSET($H$3,0,0,'Données projet'!$E$10+1,1))</f>
        <v>323.67375363913726</v>
      </c>
      <c r="AO61" s="59">
        <f t="shared" si="36"/>
        <v>266.03902815735029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12.607061384865677</v>
      </c>
      <c r="AV61" s="21">
        <f>EXP(-LN(2)/25)*AV60+(1-EXP(-LN(2)/25))/(LN(2)/25)*Calculateur!AQ61*Calculateur!AS61*VLOOKUP('Données projet'!$B$10,Paramètres!$A$1:$I$89,3,0)*0.475*44/12</f>
        <v>14.009485529717857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26.616546914583534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64.835765374887004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371.46495716091965</v>
      </c>
      <c r="BJ61" s="59">
        <f t="shared" si="38"/>
        <v>579.95059529269417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171.75548667546269</v>
      </c>
      <c r="BQ61" s="21">
        <f>EXP(-LN(2)/25)*BQ60+(1-EXP(-LN(2)/25))/(LN(2)/25)*Calculateur!BL61*Calculateur!BN61*VLOOKUP('Données projet'!$B$11,Paramètres!$A$1:$I$89,3,0)*0.475*44/12</f>
        <v>48.046443152874588</v>
      </c>
      <c r="BR61" s="21">
        <f>EXP(-LN(2)/2)*BR60+(1-EXP(-LN(2)/2))/(LN(2)/2)*BL61*BO61*VLOOKUP('Données projet'!$B$11,Paramètres!$A$1:$I$89,3,0)*0.475*44/12</f>
        <v>0.42903542925729948</v>
      </c>
      <c r="BS61" s="22">
        <f t="shared" si="9"/>
        <v>220.23096525759459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64.835765374887004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>
        <f>BY61*VLOOKUP('Données projet'!$B$12,Paramètres!$A$1:$I$89,3,0)*VLOOKUP('Données projet'!$B$12,Paramètres!$A$1:$I$89,5,0)</f>
        <v>0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180.18752244216969</v>
      </c>
      <c r="CE61" s="59">
        <f t="shared" si="40"/>
        <v>350.12096474554676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207.39671592199821</v>
      </c>
      <c r="CL61" s="21">
        <f>EXP(-LN(2)/25)*CL60+(1-EXP(-LN(2)/25))/(LN(2)/25)*Calculateur!CG61*Calculateur!CI61*VLOOKUP('Données projet'!$B$12,Paramètres!$A$1:$I$89,3,0)*0.475*44/12</f>
        <v>85.665715300332579</v>
      </c>
      <c r="CM61" s="21">
        <f>EXP(-LN(2)/2)*CM60+(1-EXP(-LN(2)/2))/(LN(2)/2)*CG61*CJ61*VLOOKUP('Données projet'!$B$12,Paramètres!$A$1:$I$89,3,0)*0.475*44/12</f>
        <v>0.32595926680731363</v>
      </c>
      <c r="CN61" s="22">
        <f t="shared" si="12"/>
        <v>293.38839048913815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64.835765374887004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65</v>
      </c>
      <c r="CT61" s="12">
        <f>IF('Données projet'!$A$140&gt;35,CT60+CS61-DB60,IF(A61&lt;'Données projet'!$A$140,$CQ$205^A61,IF(A61='Données projet'!$A$140,'Données projet'!$B$140,CT60+CS61-DB60)))</f>
        <v>213</v>
      </c>
      <c r="CU61" s="17">
        <f>CT61*VLOOKUP('Données projet'!$B$13,Paramètres!$A$1:$I$89,3,0)*VLOOKUP('Données projet'!$B$13,Paramètres!$A$1:$I$89,5,0)</f>
        <v>169.46279999999999</v>
      </c>
      <c r="CV61" s="13">
        <f t="shared" si="41"/>
        <v>42.969686502194378</v>
      </c>
      <c r="CW61" s="20">
        <f t="shared" si="13"/>
        <v>369.9865806579885</v>
      </c>
      <c r="CX61" s="59">
        <f t="shared" si="14"/>
        <v>644.38438703257418</v>
      </c>
      <c r="CY61" s="59">
        <f ca="1">AVERAGE(OFFSET($CX$3,0,0,'Données projet'!$E$13+1,1))-AVERAGE(OFFSET($H$3,0,0,'Données projet'!$E$13+1,1))</f>
        <v>284.31574332240928</v>
      </c>
      <c r="CZ61" s="59">
        <f t="shared" si="42"/>
        <v>403.96994631683913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428.11908966991825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428.11908966991825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64.835765374887004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>
        <f>DO61*VLOOKUP('Données projet'!$B$14,Paramètres!$A$1:$I$89,3,0)*VLOOKUP('Données projet'!$B$14,Paramètres!$A$1:$I$89,5,0)</f>
        <v>0</v>
      </c>
      <c r="DQ61" s="13" t="e">
        <f t="shared" si="43"/>
        <v>#NUM!</v>
      </c>
      <c r="DR61" s="20" t="e">
        <f t="shared" si="16"/>
        <v>#NUM!</v>
      </c>
      <c r="DS61" s="59" t="e">
        <f t="shared" si="17"/>
        <v>#NUM!</v>
      </c>
      <c r="DT61" s="59">
        <f ca="1">AVERAGE(OFFSET($DS$3,0,0,'Données projet'!$E$14+1,1))-AVERAGE(OFFSET($H$3,0,0,'Données projet'!$E$14+1,1))</f>
        <v>190.9519472160006</v>
      </c>
      <c r="DU61" s="59">
        <f t="shared" si="44"/>
        <v>170.61553500287511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187.00368144576132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187.00368144576132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64.835765374887004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53.2</v>
      </c>
      <c r="EJ61" s="12">
        <f>IF('Données projet'!$A$192&gt;35,EJ60+EI61-ER60,IF(A61&lt;'Données projet'!$A$192,$EG$205^A61,IF(A61='Données projet'!$A$192,'Données projet'!$B$192,EJ60+EI61-ER60)))</f>
        <v>194.59999999999997</v>
      </c>
      <c r="EK61" s="17">
        <f>EJ61*VLOOKUP('Données projet'!$B$15,Paramètres!$A$1:$I$89,3,0)*VLOOKUP('Données projet'!$B$15,Paramètres!$A$1:$I$89,5,0)</f>
        <v>166.96679999999998</v>
      </c>
      <c r="EL61" s="13">
        <f t="shared" si="45"/>
        <v>42.409977518686802</v>
      </c>
      <c r="EM61" s="20">
        <f t="shared" si="19"/>
        <v>364.66455417837943</v>
      </c>
      <c r="EN61" s="59">
        <f t="shared" si="20"/>
        <v>639.06236055296517</v>
      </c>
      <c r="EO61" s="59">
        <f ca="1">AVERAGE(OFFSET($EN$3,0,0,'Données projet'!$E$15+1,1))-AVERAGE(OFFSET($H$3,0,0,'Données projet'!$E$15+1,1))</f>
        <v>331.94255128154623</v>
      </c>
      <c r="EP61" s="59">
        <f t="shared" si="46"/>
        <v>258.40809812013964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271.27378267692905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271.27378267692905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64.835765374887004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60.2</v>
      </c>
      <c r="FE61" s="12">
        <f>IF('Données projet'!$A$218&gt;35,FE60+FD61-FM60,IF(A61&lt;'Données projet'!$A$218,$FB$205^A61,IF(A61='Données projet'!$A$218,'Données projet'!$B$218,FE60+FD61-FM60)))</f>
        <v>215.60000000000002</v>
      </c>
      <c r="FF61" s="17">
        <f>FE61*VLOOKUP('Données projet'!$B$16,Paramètres!$A$1:$I$89,3,0)*VLOOKUP('Données projet'!$B$16,Paramètres!$A$1:$I$89,5,0)</f>
        <v>205.16496000000004</v>
      </c>
      <c r="FG61" s="13">
        <f t="shared" si="47"/>
        <v>50.877579718882345</v>
      </c>
      <c r="FH61" s="20">
        <f t="shared" si="22"/>
        <v>445.94075667705346</v>
      </c>
      <c r="FI61" s="59">
        <f t="shared" si="23"/>
        <v>720.33856305163908</v>
      </c>
      <c r="FJ61" s="59">
        <f ca="1">AVERAGE(OFFSET($FI$3,0,0,'Données projet'!$E$16+1,1))-AVERAGE(OFFSET($H$3,0,0,'Données projet'!$E$16+1,1))</f>
        <v>290.72311302449236</v>
      </c>
      <c r="FK61" s="59">
        <f t="shared" si="48"/>
        <v>352.32552988394434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291.52713519674063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291.52713519674063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64.835765374887004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23.8</v>
      </c>
      <c r="FZ61" s="12">
        <f>IF('Données projet'!$A$244&gt;35,FZ60+FY61-GH60,IF(A61&lt;'Données projet'!$A$244,$FW$205^A61,IF(A61='Données projet'!$A$244,'Données projet'!$B$244,FZ60+FY61-GH60)))</f>
        <v>85.4</v>
      </c>
      <c r="GA61" s="17">
        <f>FZ61*VLOOKUP('Données projet'!$B$17,Paramètres!$A$1:$I$89,3,0)*VLOOKUP('Données projet'!$B$17,Paramètres!$A$1:$I$89,5,0)</f>
        <v>55.954080000000005</v>
      </c>
      <c r="GB61" s="13">
        <f t="shared" si="49"/>
        <v>16.141214449356298</v>
      </c>
      <c r="GC61" s="20">
        <f t="shared" si="25"/>
        <v>125.56597116596221</v>
      </c>
      <c r="GD61" s="59">
        <f t="shared" si="26"/>
        <v>399.96377754054788</v>
      </c>
      <c r="GE61" s="59">
        <f ca="1">AVERAGE(OFFSET($GD$3,0,0,'Données projet'!$E$17+1,1))-AVERAGE(OFFSET($H$3,0,0,'Données projet'!$E$17+1,1))</f>
        <v>123.03972959251965</v>
      </c>
      <c r="GF61" s="59">
        <f t="shared" si="50"/>
        <v>178.27657680839445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60.009230700787178</v>
      </c>
      <c r="GM61" s="21">
        <f>EXP(-LN(2)/25)*GM60+(1-EXP(-LN(2)/25))/(LN(2)/25)*Calculateur!GH61*Calculateur!GJ61*VLOOKUP('Données projet'!$B$17,Paramètres!$A$1:$I$89,3,0)*0.475*44/12</f>
        <v>32.301436582523976</v>
      </c>
      <c r="GN61" s="21">
        <f>EXP(-LN(2)/2)*GN60+(1-EXP(-LN(2)/2))/(LN(2)/2)*GH61*GK61*VLOOKUP('Données projet'!$B$17,Paramètres!$A$1:$I$89,3,0)*0.475*44/12</f>
        <v>3.5021037126950261</v>
      </c>
      <c r="GO61" s="21">
        <f t="shared" si="27"/>
        <v>95.812770996006179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64.835765374887004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28.3</v>
      </c>
      <c r="GU61" s="12">
        <f>IF('Données projet'!$A$270&gt;35,GU60+GT61-HC60,IF(A61&lt;'Données projet'!$A$270,$GR$205^A61,IF(A61='Données projet'!$A$270,'Données projet'!$B$270,GU60+GT61-HC60)))</f>
        <v>463.39999999999992</v>
      </c>
      <c r="GV61" s="17">
        <f>GU61*VLOOKUP('Données projet'!$B$18,Paramètres!$A$1:$I$89,3,0)*VLOOKUP('Données projet'!$B$18,Paramètres!$A$1:$I$89,5,0)</f>
        <v>310.84871999999996</v>
      </c>
      <c r="GW61" s="13">
        <f t="shared" si="51"/>
        <v>73.446048473980355</v>
      </c>
      <c r="GX61" s="20">
        <f t="shared" si="28"/>
        <v>669.31338842551565</v>
      </c>
      <c r="GY61" s="59">
        <f t="shared" si="29"/>
        <v>943.71119480010134</v>
      </c>
      <c r="GZ61" s="59">
        <f ca="1">AVERAGE(OFFSET($GY$3,0,0,'Données projet'!$E$18+1,1))-AVERAGE(OFFSET($H$3,0,0,'Données projet'!$E$18+1,1))</f>
        <v>542.25674729323623</v>
      </c>
      <c r="HA61" s="59">
        <f t="shared" si="52"/>
        <v>614.73906555680685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0</v>
      </c>
      <c r="HH61" s="21">
        <f>EXP(-LN(2)/25)*HH60+(1-EXP(-LN(2)/25))/(LN(2)/25)*Calculateur!HC61*Calculateur!HE61*VLOOKUP('Données projet'!$B$18,Paramètres!$A$1:$I$89,3,0)*0.475*44/12</f>
        <v>0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0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2.8499999999999996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10.449999999999998</v>
      </c>
      <c r="H62" s="67">
        <f t="shared" si="1"/>
        <v>214.86666666666667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64.925353300133736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10.4</v>
      </c>
      <c r="N62" s="13">
        <f>IF('Données projet'!$A$36&gt;35,N61+M62-V61,IF(A62&lt;'Données projet'!$A$36,$K$205^A62,IF(A62='Données projet'!$A$36,'Données projet'!$B$36,N61+M62-V61)))</f>
        <v>613.59999999999923</v>
      </c>
      <c r="O62" s="13">
        <f>N62*VLOOKUP('Données projet'!$B$9,Paramètres!$A$1:$I$89,3,0)*VLOOKUP('Données projet'!$B$9,Paramètres!$A$1:$I$89,5,0)</f>
        <v>536.04095999999936</v>
      </c>
      <c r="P62" s="13">
        <f t="shared" si="33"/>
        <v>118.86976297529299</v>
      </c>
      <c r="Q62" s="20">
        <f t="shared" si="53"/>
        <v>1140.6361758486341</v>
      </c>
      <c r="R62" s="59">
        <f t="shared" si="0"/>
        <v>1415.3624712824578</v>
      </c>
      <c r="S62" s="59">
        <f ca="1">AVERAGE(OFFSET($R$3,0,0,'Données projet'!$E$9+1,1))-AVERAGE(OFFSET($H$3,0,0,'Données projet'!$E$9+1,1))</f>
        <v>686.80970545599644</v>
      </c>
      <c r="T62" s="59">
        <f t="shared" si="34"/>
        <v>636.16485232937737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64.925353300133736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7.625</v>
      </c>
      <c r="AI62" s="13">
        <f>IF('Données projet'!$A$62&gt;35,AI61+AH62-AQ61,IF(A62&lt;'Données projet'!$A$62,$AF$205^A62,IF(A62='Données projet'!$A$62,'Données projet'!$B$62,AI61+AH62-AQ61)))</f>
        <v>170.12500000000003</v>
      </c>
      <c r="AJ62" s="13">
        <f>AI62*VLOOKUP('Données projet'!$B$10,Paramètres!$A$1:$I$89,3,0)*VLOOKUP('Données projet'!$B$10,Paramètres!$A$1:$I$89,5,0)</f>
        <v>153.92910000000003</v>
      </c>
      <c r="AK62" s="13">
        <f t="shared" si="35"/>
        <v>39.470139561672248</v>
      </c>
      <c r="AL62" s="20">
        <f t="shared" si="4"/>
        <v>336.83700890324593</v>
      </c>
      <c r="AM62" s="59">
        <f t="shared" si="5"/>
        <v>611.56330433706967</v>
      </c>
      <c r="AN62" s="59">
        <f ca="1">AVERAGE(OFFSET($AM$3,0,0,'Données projet'!$E$10+1,1))-AVERAGE(OFFSET($H$3,0,0,'Données projet'!$E$10+1,1))</f>
        <v>323.67375363913726</v>
      </c>
      <c r="AO62" s="59">
        <f t="shared" si="36"/>
        <v>266.03902815735029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12.359844600656626</v>
      </c>
      <c r="AV62" s="21">
        <f>EXP(-LN(2)/25)*AV61+(1-EXP(-LN(2)/25))/(LN(2)/25)*Calculateur!AQ62*Calculateur!AS62*VLOOKUP('Données projet'!$B$10,Paramètres!$A$1:$I$89,3,0)*0.475*44/12</f>
        <v>13.626395411180898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25.986240011837523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64.925353300133736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371.46495716091965</v>
      </c>
      <c r="BJ62" s="59">
        <f t="shared" si="38"/>
        <v>579.95059529269417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168.3874663422595</v>
      </c>
      <c r="BQ62" s="21">
        <f>EXP(-LN(2)/25)*BQ61+(1-EXP(-LN(2)/25))/(LN(2)/25)*Calculateur!BL62*Calculateur!BN62*VLOOKUP('Données projet'!$B$11,Paramètres!$A$1:$I$89,3,0)*0.475*44/12</f>
        <v>46.732610638206602</v>
      </c>
      <c r="BR62" s="21">
        <f>EXP(-LN(2)/2)*BR61+(1-EXP(-LN(2)/2))/(LN(2)/2)*BL62*BO62*VLOOKUP('Données projet'!$B$11,Paramètres!$A$1:$I$89,3,0)*0.475*44/12</f>
        <v>0.30337386139711775</v>
      </c>
      <c r="BS62" s="22">
        <f t="shared" si="9"/>
        <v>215.42345084186323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64.925353300133736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>
        <f>BY62*VLOOKUP('Données projet'!$B$12,Paramètres!$A$1:$I$89,3,0)*VLOOKUP('Données projet'!$B$12,Paramètres!$A$1:$I$89,5,0)</f>
        <v>0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180.18752244216969</v>
      </c>
      <c r="CE62" s="59">
        <f t="shared" si="40"/>
        <v>350.12096474554676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203.32979282227376</v>
      </c>
      <c r="CL62" s="21">
        <f>EXP(-LN(2)/25)*CL61+(1-EXP(-LN(2)/25))/(LN(2)/25)*Calculateur!CG62*Calculateur!CI62*VLOOKUP('Données projet'!$B$12,Paramètres!$A$1:$I$89,3,0)*0.475*44/12</f>
        <v>83.323181810480804</v>
      </c>
      <c r="CM62" s="21">
        <f>EXP(-LN(2)/2)*CM61+(1-EXP(-LN(2)/2))/(LN(2)/2)*CG62*CJ62*VLOOKUP('Données projet'!$B$12,Paramètres!$A$1:$I$89,3,0)*0.475*44/12</f>
        <v>0.23048800795004659</v>
      </c>
      <c r="CN62" s="22">
        <f t="shared" si="12"/>
        <v>286.88346264070458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64.925353300133736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65</v>
      </c>
      <c r="CT62" s="12">
        <f>IF('Données projet'!$A$140&gt;35,CT61+CS62-DB61,IF(A62&lt;'Données projet'!$A$140,$CQ$205^A62,IF(A62='Données projet'!$A$140,'Données projet'!$B$140,CT61+CS62-DB61)))</f>
        <v>278</v>
      </c>
      <c r="CU62" s="17">
        <f>CT62*VLOOKUP('Données projet'!$B$13,Paramètres!$A$1:$I$89,3,0)*VLOOKUP('Données projet'!$B$13,Paramètres!$A$1:$I$89,5,0)</f>
        <v>221.17680000000001</v>
      </c>
      <c r="CV62" s="13">
        <f t="shared" si="41"/>
        <v>54.370577918219418</v>
      </c>
      <c r="CW62" s="20">
        <f t="shared" si="13"/>
        <v>479.91168320756543</v>
      </c>
      <c r="CX62" s="59">
        <f t="shared" si="14"/>
        <v>754.63797864138905</v>
      </c>
      <c r="CY62" s="59">
        <f ca="1">AVERAGE(OFFSET($CX$3,0,0,'Données projet'!$E$13+1,1))-AVERAGE(OFFSET($H$3,0,0,'Données projet'!$E$13+1,1))</f>
        <v>284.31574332240928</v>
      </c>
      <c r="CZ62" s="59">
        <f t="shared" si="42"/>
        <v>403.96994631683913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419.72393544835171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419.72393544835171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64.925353300133736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>
        <f>DO62*VLOOKUP('Données projet'!$B$14,Paramètres!$A$1:$I$89,3,0)*VLOOKUP('Données projet'!$B$14,Paramètres!$A$1:$I$89,5,0)</f>
        <v>0</v>
      </c>
      <c r="DQ62" s="13" t="e">
        <f t="shared" si="43"/>
        <v>#NUM!</v>
      </c>
      <c r="DR62" s="20" t="e">
        <f t="shared" si="16"/>
        <v>#NUM!</v>
      </c>
      <c r="DS62" s="59" t="e">
        <f t="shared" si="17"/>
        <v>#NUM!</v>
      </c>
      <c r="DT62" s="59">
        <f ca="1">AVERAGE(OFFSET($DS$3,0,0,'Données projet'!$E$14+1,1))-AVERAGE(OFFSET($H$3,0,0,'Données projet'!$E$14+1,1))</f>
        <v>190.9519472160006</v>
      </c>
      <c r="DU62" s="59">
        <f t="shared" si="44"/>
        <v>170.61553500287511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183.33665331359302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183.33665331359302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64.925353300133736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53.2</v>
      </c>
      <c r="EJ62" s="12">
        <f>IF('Données projet'!$A$192&gt;35,EJ61+EI62-ER61,IF(A62&lt;'Données projet'!$A$192,$EG$205^A62,IF(A62='Données projet'!$A$192,'Données projet'!$B$192,EJ61+EI62-ER61)))</f>
        <v>247.79999999999995</v>
      </c>
      <c r="EK62" s="17">
        <f>EJ62*VLOOKUP('Données projet'!$B$15,Paramètres!$A$1:$I$89,3,0)*VLOOKUP('Données projet'!$B$15,Paramètres!$A$1:$I$89,5,0)</f>
        <v>212.61240000000001</v>
      </c>
      <c r="EL62" s="13">
        <f t="shared" si="45"/>
        <v>52.50604940806096</v>
      </c>
      <c r="EM62" s="20">
        <f t="shared" si="19"/>
        <v>461.74796605237293</v>
      </c>
      <c r="EN62" s="59">
        <f t="shared" si="20"/>
        <v>736.47426148619661</v>
      </c>
      <c r="EO62" s="59">
        <f ca="1">AVERAGE(OFFSET($EN$3,0,0,'Données projet'!$E$15+1,1))-AVERAGE(OFFSET($H$3,0,0,'Données projet'!$E$15+1,1))</f>
        <v>331.94255128154623</v>
      </c>
      <c r="EP62" s="59">
        <f t="shared" si="46"/>
        <v>258.40809812013964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265.954269259304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265.954269259304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64.925353300133736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60.2</v>
      </c>
      <c r="FE62" s="12">
        <f>IF('Données projet'!$A$218&gt;35,FE61+FD62-FM61,IF(A62&lt;'Données projet'!$A$218,$FB$205^A62,IF(A62='Données projet'!$A$218,'Données projet'!$B$218,FE61+FD62-FM61)))</f>
        <v>275.8</v>
      </c>
      <c r="FF62" s="17">
        <f>FE62*VLOOKUP('Données projet'!$B$16,Paramètres!$A$1:$I$89,3,0)*VLOOKUP('Données projet'!$B$16,Paramètres!$A$1:$I$89,5,0)</f>
        <v>262.45128</v>
      </c>
      <c r="FG62" s="13">
        <f t="shared" si="47"/>
        <v>63.244606086255871</v>
      </c>
      <c r="FH62" s="20">
        <f t="shared" si="22"/>
        <v>567.2536682668956</v>
      </c>
      <c r="FI62" s="59">
        <f t="shared" si="23"/>
        <v>841.97996370071928</v>
      </c>
      <c r="FJ62" s="59">
        <f ca="1">AVERAGE(OFFSET($FI$3,0,0,'Données projet'!$E$16+1,1))-AVERAGE(OFFSET($H$3,0,0,'Données projet'!$E$16+1,1))</f>
        <v>290.72311302449236</v>
      </c>
      <c r="FK62" s="59">
        <f t="shared" si="48"/>
        <v>352.32552988394434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285.81046588952734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285.81046588952734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64.925353300133736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23.8</v>
      </c>
      <c r="FZ62" s="12">
        <f>IF('Données projet'!$A$244&gt;35,FZ61+FY62-GH61,IF(A62&lt;'Données projet'!$A$244,$FW$205^A62,IF(A62='Données projet'!$A$244,'Données projet'!$B$244,FZ61+FY62-GH61)))</f>
        <v>109.2</v>
      </c>
      <c r="GA62" s="17">
        <f>FZ62*VLOOKUP('Données projet'!$B$17,Paramètres!$A$1:$I$89,3,0)*VLOOKUP('Données projet'!$B$17,Paramètres!$A$1:$I$89,5,0)</f>
        <v>71.547839999999994</v>
      </c>
      <c r="GB62" s="13">
        <f t="shared" si="49"/>
        <v>20.05735014974319</v>
      </c>
      <c r="GC62" s="20">
        <f t="shared" si="25"/>
        <v>159.54570617746938</v>
      </c>
      <c r="GD62" s="59">
        <f t="shared" si="26"/>
        <v>434.27200161129304</v>
      </c>
      <c r="GE62" s="59">
        <f ca="1">AVERAGE(OFFSET($GD$3,0,0,'Données projet'!$E$17+1,1))-AVERAGE(OFFSET($H$3,0,0,'Données projet'!$E$17+1,1))</f>
        <v>123.03972959251965</v>
      </c>
      <c r="GF62" s="59">
        <f t="shared" si="50"/>
        <v>178.27657680839445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58.832486288761324</v>
      </c>
      <c r="GM62" s="21">
        <f>EXP(-LN(2)/25)*GM61+(1-EXP(-LN(2)/25))/(LN(2)/25)*Calculateur!GH62*Calculateur!GJ62*VLOOKUP('Données projet'!$B$17,Paramètres!$A$1:$I$89,3,0)*0.475*44/12</f>
        <v>31.418152100516135</v>
      </c>
      <c r="GN62" s="21">
        <f>EXP(-LN(2)/2)*GN61+(1-EXP(-LN(2)/2))/(LN(2)/2)*GH62*GK62*VLOOKUP('Données projet'!$B$17,Paramètres!$A$1:$I$89,3,0)*0.475*44/12</f>
        <v>2.4763612836652378</v>
      </c>
      <c r="GO62" s="21">
        <f t="shared" si="27"/>
        <v>92.726999672942696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64.925353300133736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28.3</v>
      </c>
      <c r="GU62" s="12">
        <f>IF('Données projet'!$A$270&gt;35,GU61+GT62-HC61,IF(A62&lt;'Données projet'!$A$270,$GR$205^A62,IF(A62='Données projet'!$A$270,'Données projet'!$B$270,GU61+GT62-HC61)))</f>
        <v>491.69999999999993</v>
      </c>
      <c r="GV62" s="17">
        <f>GU62*VLOOKUP('Données projet'!$B$18,Paramètres!$A$1:$I$89,3,0)*VLOOKUP('Données projet'!$B$18,Paramètres!$A$1:$I$89,5,0)</f>
        <v>329.83235999999994</v>
      </c>
      <c r="GW62" s="13">
        <f t="shared" si="51"/>
        <v>77.395550094980251</v>
      </c>
      <c r="GX62" s="20">
        <f t="shared" si="28"/>
        <v>709.25527674875718</v>
      </c>
      <c r="GY62" s="59">
        <f t="shared" si="29"/>
        <v>983.98157218258086</v>
      </c>
      <c r="GZ62" s="59">
        <f ca="1">AVERAGE(OFFSET($GY$3,0,0,'Données projet'!$E$18+1,1))-AVERAGE(OFFSET($H$3,0,0,'Données projet'!$E$18+1,1))</f>
        <v>542.25674729323623</v>
      </c>
      <c r="HA62" s="59">
        <f t="shared" si="52"/>
        <v>614.73906555680685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0</v>
      </c>
      <c r="HH62" s="21">
        <f>EXP(-LN(2)/25)*HH61+(1-EXP(-LN(2)/25))/(LN(2)/25)*Calculateur!HC62*Calculateur!HE62*VLOOKUP('Données projet'!$B$18,Paramètres!$A$1:$I$89,3,0)*0.475*44/12</f>
        <v>0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0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2.8499999999999996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10.449999999999998</v>
      </c>
      <c r="H63" s="67">
        <f t="shared" si="1"/>
        <v>214.86666666666667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65.013387075166037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624</v>
      </c>
      <c r="L63" s="12">
        <f>VLOOKUP(A63,'Données projet'!$A$35:$I$55,9,0)</f>
        <v>10.4</v>
      </c>
      <c r="M63" s="12">
        <f t="array" ref="M63">INDEX(L:L,MIN(IF(ISNUMBER(L63:L259),ROW(L63:L259),"")))</f>
        <v>10.4</v>
      </c>
      <c r="N63" s="13">
        <f>IF('Données projet'!$A$36&gt;35,N62+M63-V62,IF(A63&lt;'Données projet'!$A$36,$K$205^A63,IF(A63='Données projet'!$A$36,'Données projet'!$B$36,N62+M63-V62)))</f>
        <v>623.9999999999992</v>
      </c>
      <c r="O63" s="13">
        <f>N63*VLOOKUP('Données projet'!$B$9,Paramètres!$A$1:$I$89,3,0)*VLOOKUP('Données projet'!$B$9,Paramètres!$A$1:$I$89,5,0)</f>
        <v>545.12639999999942</v>
      </c>
      <c r="P63" s="13">
        <f t="shared" si="33"/>
        <v>120.64824367228243</v>
      </c>
      <c r="Q63" s="20">
        <f t="shared" si="53"/>
        <v>1159.5575043958909</v>
      </c>
      <c r="R63" s="59">
        <f t="shared" si="0"/>
        <v>1434.6065903381664</v>
      </c>
      <c r="S63" s="59">
        <f ca="1">AVERAGE(OFFSET($R$3,0,0,'Données projet'!$E$9+1,1))-AVERAGE(OFFSET($H$3,0,0,'Données projet'!$E$9+1,1))</f>
        <v>686.80970545599644</v>
      </c>
      <c r="T63" s="59">
        <f t="shared" si="34"/>
        <v>636.16485232937737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65.013387075166037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7.625</v>
      </c>
      <c r="AI63" s="13">
        <f>IF('Données projet'!$A$62&gt;35,AI62+AH63-AQ62,IF(A63&lt;'Données projet'!$A$62,$AF$205^A63,IF(A63='Données projet'!$A$62,'Données projet'!$B$62,AI62+AH63-AQ62)))</f>
        <v>177.75000000000003</v>
      </c>
      <c r="AJ63" s="13">
        <f>AI63*VLOOKUP('Données projet'!$B$10,Paramètres!$A$1:$I$89,3,0)*VLOOKUP('Données projet'!$B$10,Paramètres!$A$1:$I$89,5,0)</f>
        <v>160.82820000000004</v>
      </c>
      <c r="AK63" s="13">
        <f t="shared" si="35"/>
        <v>41.029262060786046</v>
      </c>
      <c r="AL63" s="20">
        <f t="shared" si="4"/>
        <v>351.56841308920235</v>
      </c>
      <c r="AM63" s="59">
        <f t="shared" si="5"/>
        <v>626.61749903147779</v>
      </c>
      <c r="AN63" s="59">
        <f ca="1">AVERAGE(OFFSET($AM$3,0,0,'Données projet'!$E$10+1,1))-AVERAGE(OFFSET($H$3,0,0,'Données projet'!$E$10+1,1))</f>
        <v>323.67375363913726</v>
      </c>
      <c r="AO63" s="59">
        <f t="shared" si="36"/>
        <v>266.03902815735029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12.117475586798564</v>
      </c>
      <c r="AV63" s="21">
        <f>EXP(-LN(2)/25)*AV62+(1-EXP(-LN(2)/25))/(LN(2)/25)*Calculateur!AQ63*Calculateur!AS63*VLOOKUP('Données projet'!$B$10,Paramètres!$A$1:$I$89,3,0)*0.475*44/12</f>
        <v>13.253780912081165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25.371256498879731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65.013387075166037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371.46495716091965</v>
      </c>
      <c r="BJ63" s="59">
        <f t="shared" si="38"/>
        <v>579.95059529269417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165.08549083350087</v>
      </c>
      <c r="BQ63" s="21">
        <f>EXP(-LN(2)/25)*BQ62+(1-EXP(-LN(2)/25))/(LN(2)/25)*Calculateur!BL63*Calculateur!BN63*VLOOKUP('Données projet'!$B$11,Paramètres!$A$1:$I$89,3,0)*0.475*44/12</f>
        <v>45.45470494274366</v>
      </c>
      <c r="BR63" s="21">
        <f>EXP(-LN(2)/2)*BR62+(1-EXP(-LN(2)/2))/(LN(2)/2)*BL63*BO63*VLOOKUP('Données projet'!$B$11,Paramètres!$A$1:$I$89,3,0)*0.475*44/12</f>
        <v>0.21451771462864974</v>
      </c>
      <c r="BS63" s="22">
        <f t="shared" si="9"/>
        <v>210.75471349087317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65.013387075166037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>
        <f>BY63*VLOOKUP('Données projet'!$B$12,Paramètres!$A$1:$I$89,3,0)*VLOOKUP('Données projet'!$B$12,Paramètres!$A$1:$I$89,5,0)</f>
        <v>0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180.18752244216969</v>
      </c>
      <c r="CE63" s="59">
        <f t="shared" si="40"/>
        <v>350.12096474554676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199.34261960395673</v>
      </c>
      <c r="CL63" s="21">
        <f>EXP(-LN(2)/25)*CL62+(1-EXP(-LN(2)/25))/(LN(2)/25)*Calculateur!CG63*Calculateur!CI63*VLOOKUP('Données projet'!$B$12,Paramètres!$A$1:$I$89,3,0)*0.475*44/12</f>
        <v>81.044705022097517</v>
      </c>
      <c r="CM63" s="21">
        <f>EXP(-LN(2)/2)*CM62+(1-EXP(-LN(2)/2))/(LN(2)/2)*CG63*CJ63*VLOOKUP('Données projet'!$B$12,Paramètres!$A$1:$I$89,3,0)*0.475*44/12</f>
        <v>0.16297963340365684</v>
      </c>
      <c r="CN63" s="22">
        <f t="shared" si="12"/>
        <v>280.5503042594579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65.013387075166037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343</v>
      </c>
      <c r="CR63" s="12">
        <f>VLOOKUP(A63,'Données projet'!$A$139:$I$159,9,0)</f>
        <v>65</v>
      </c>
      <c r="CS63" s="12">
        <f t="array" ref="CS63">INDEX(CR:CR,MIN(IF(ISNUMBER(CR63:CR259),ROW(CR63:CR259),"")))</f>
        <v>65</v>
      </c>
      <c r="CT63" s="12">
        <f>IF('Données projet'!$A$140&gt;35,CT62+CS63-DB62,IF(A63&lt;'Données projet'!$A$140,$CQ$205^A63,IF(A63='Données projet'!$A$140,'Données projet'!$B$140,CT62+CS63-DB62)))</f>
        <v>343</v>
      </c>
      <c r="CU63" s="17">
        <f>CT63*VLOOKUP('Données projet'!$B$13,Paramètres!$A$1:$I$89,3,0)*VLOOKUP('Données projet'!$B$13,Paramètres!$A$1:$I$89,5,0)</f>
        <v>272.89080000000001</v>
      </c>
      <c r="CV63" s="13">
        <f t="shared" si="41"/>
        <v>65.46238923184643</v>
      </c>
      <c r="CW63" s="20">
        <f t="shared" si="13"/>
        <v>589.29847124546586</v>
      </c>
      <c r="CX63" s="59">
        <f t="shared" si="14"/>
        <v>864.34755718774136</v>
      </c>
      <c r="CY63" s="59">
        <f ca="1">AVERAGE(OFFSET($CX$3,0,0,'Données projet'!$E$13+1,1))-AVERAGE(OFFSET($H$3,0,0,'Données projet'!$E$13+1,1))</f>
        <v>284.31574332240928</v>
      </c>
      <c r="CZ63" s="59">
        <f t="shared" si="42"/>
        <v>403.96994631683913</v>
      </c>
      <c r="DA63" s="15">
        <f>IF(ISNA(VLOOKUP(A63,'Données projet'!$A$139:$I$159,3,0)),0,VLOOKUP(A63,'Données projet'!$A$139:$I$159,3,0))</f>
        <v>11</v>
      </c>
      <c r="DB63" s="15">
        <f>IF(ISNA(VLOOKUP(A63,'Données projet'!$A$139:$I$159,4,0)),0,VLOOKUP(A63,'Données projet'!$A$139:$I$159,4,0))</f>
        <v>326</v>
      </c>
      <c r="DC63" s="16">
        <f>IF(ISNA(VLOOKUP(A63,'Données projet'!$A$139:$I$159,5,0)),0%,VLOOKUP(A63,'Données projet'!$A$139:$I$159,5,0)*VLOOKUP('Données projet'!$B$13,Paramètres!$A$1:$I$89,7,0))</f>
        <v>0.42400000000000004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533.06310410692322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533.06310410692322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65.013387075166037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>
        <f>DO63*VLOOKUP('Données projet'!$B$14,Paramètres!$A$1:$I$89,3,0)*VLOOKUP('Données projet'!$B$14,Paramètres!$A$1:$I$89,5,0)</f>
        <v>0</v>
      </c>
      <c r="DQ63" s="13" t="e">
        <f t="shared" si="43"/>
        <v>#NUM!</v>
      </c>
      <c r="DR63" s="20" t="e">
        <f t="shared" si="16"/>
        <v>#NUM!</v>
      </c>
      <c r="DS63" s="59" t="e">
        <f t="shared" si="17"/>
        <v>#NUM!</v>
      </c>
      <c r="DT63" s="59">
        <f ca="1">AVERAGE(OFFSET($DS$3,0,0,'Données projet'!$E$14+1,1))-AVERAGE(OFFSET($H$3,0,0,'Données projet'!$E$14+1,1))</f>
        <v>190.9519472160006</v>
      </c>
      <c r="DU63" s="59">
        <f t="shared" si="44"/>
        <v>170.61553500287511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179.74153336643025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179.74153336643025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65.013387075166037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301</v>
      </c>
      <c r="EH63" s="12">
        <f>VLOOKUP(A63,'Données projet'!$A$191:$I$211,9,0)</f>
        <v>53.2</v>
      </c>
      <c r="EI63" s="12">
        <f t="array" ref="EI63">INDEX(EH:EH,MIN(IF(ISNUMBER(EH63:EH259),ROW(EH63:EH259),"")))</f>
        <v>53.2</v>
      </c>
      <c r="EJ63" s="12">
        <f>IF('Données projet'!$A$192&gt;35,EJ62+EI63-ER62,IF(A63&lt;'Données projet'!$A$192,$EG$205^A63,IF(A63='Données projet'!$A$192,'Données projet'!$B$192,EJ62+EI63-ER62)))</f>
        <v>300.99999999999994</v>
      </c>
      <c r="EK63" s="17">
        <f>EJ63*VLOOKUP('Données projet'!$B$15,Paramètres!$A$1:$I$89,3,0)*VLOOKUP('Données projet'!$B$15,Paramètres!$A$1:$I$89,5,0)</f>
        <v>258.25799999999998</v>
      </c>
      <c r="EL63" s="13">
        <f t="shared" si="45"/>
        <v>62.350908795595359</v>
      </c>
      <c r="EM63" s="20">
        <f t="shared" si="19"/>
        <v>558.3938494856618</v>
      </c>
      <c r="EN63" s="59">
        <f t="shared" si="20"/>
        <v>833.4429354279373</v>
      </c>
      <c r="EO63" s="59">
        <f ca="1">AVERAGE(OFFSET($EN$3,0,0,'Données projet'!$E$15+1,1))-AVERAGE(OFFSET($H$3,0,0,'Données projet'!$E$15+1,1))</f>
        <v>331.94255128154623</v>
      </c>
      <c r="EP63" s="59">
        <f t="shared" si="46"/>
        <v>258.40809812013964</v>
      </c>
      <c r="EQ63" s="15">
        <f>IF(ISNA(VLOOKUP(A63,'Données projet'!$A$191:$I$211,3,0)),0,VLOOKUP(A63,'Données projet'!$A$191:$I$211,3,0))</f>
        <v>9</v>
      </c>
      <c r="ER63" s="15">
        <f>IF(ISNA(VLOOKUP(A63,'Données projet'!$A$191:$I$211,4,0)),0,VLOOKUP(A63,'Données projet'!$A$191:$I$211,4,0))</f>
        <v>266</v>
      </c>
      <c r="ES63" s="16">
        <f>IF(ISNA(VLOOKUP(A63,'Données projet'!$A$191:$I$211,5,0)),0%,VLOOKUP(A63,'Données projet'!$A$191:$I$211,5,0)*VLOOKUP('Données projet'!$B$15,Paramètres!$A$1:$I$89,7,0))</f>
        <v>0.42400000000000004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367.71396881795539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367.71396881795539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65.013387075166037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336</v>
      </c>
      <c r="FC63" s="12">
        <f>VLOOKUP(A63,'Données projet'!$A$217:$I$237,9,0)</f>
        <v>60.2</v>
      </c>
      <c r="FD63" s="12">
        <f t="array" ref="FD63">INDEX(FC:FC,MIN(IF(ISNUMBER(FC63:FC259),ROW(FC63:FC259),"")))</f>
        <v>60.2</v>
      </c>
      <c r="FE63" s="12">
        <f>IF('Données projet'!$A$218&gt;35,FE62+FD63-FM62,IF(A63&lt;'Données projet'!$A$218,$FB$205^A63,IF(A63='Données projet'!$A$218,'Données projet'!$B$218,FE62+FD63-FM62)))</f>
        <v>336</v>
      </c>
      <c r="FF63" s="17">
        <f>FE63*VLOOKUP('Données projet'!$B$16,Paramètres!$A$1:$I$89,3,0)*VLOOKUP('Données projet'!$B$16,Paramètres!$A$1:$I$89,5,0)</f>
        <v>319.73760000000004</v>
      </c>
      <c r="FG63" s="13">
        <f t="shared" si="47"/>
        <v>75.298753633323187</v>
      </c>
      <c r="FH63" s="20">
        <f t="shared" si="22"/>
        <v>688.02164924470469</v>
      </c>
      <c r="FI63" s="59">
        <f t="shared" si="23"/>
        <v>963.07073518698007</v>
      </c>
      <c r="FJ63" s="59">
        <f ca="1">AVERAGE(OFFSET($FI$3,0,0,'Données projet'!$E$16+1,1))-AVERAGE(OFFSET($H$3,0,0,'Données projet'!$E$16+1,1))</f>
        <v>290.72311302449236</v>
      </c>
      <c r="FK63" s="59">
        <f t="shared" si="48"/>
        <v>352.32552988394434</v>
      </c>
      <c r="FL63" s="15">
        <f>IF(ISNA(VLOOKUP(A63,'Données projet'!$A$217:$I$237,3,0)),0,VLOOKUP(A63,'Données projet'!$A$217:$I$237,3,0))</f>
        <v>9</v>
      </c>
      <c r="FM63" s="15">
        <f>IF(ISNA(VLOOKUP(A63,'Données projet'!$A$217:$I$237,4,0)),0,VLOOKUP(A63,'Données projet'!$A$217:$I$237,4,0))</f>
        <v>301</v>
      </c>
      <c r="FN63" s="16">
        <f>IF(ISNA(VLOOKUP(A63,'Données projet'!$A$217:$I$237,5,0)),0%,VLOOKUP(A63,'Données projet'!$A$217:$I$237,5,0)*VLOOKUP('Données projet'!$B$16,Paramètres!$A$1:$I$89,7,0))</f>
        <v>0.34400000000000003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389.13062443001172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389.13062443001172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65.013387075166037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133</v>
      </c>
      <c r="FX63" s="12">
        <f>VLOOKUP(A63,'Données projet'!$A$243:$I$263,9,0)</f>
        <v>23.8</v>
      </c>
      <c r="FY63" s="12">
        <f t="array" ref="FY63">INDEX(FX:FX,MIN(IF(ISNUMBER(FX63:FX259),ROW(FX63:FX259),"")))</f>
        <v>23.8</v>
      </c>
      <c r="FZ63" s="12">
        <f>IF('Données projet'!$A$244&gt;35,FZ62+FY63-GH62,IF(A63&lt;'Données projet'!$A$244,$FW$205^A63,IF(A63='Données projet'!$A$244,'Données projet'!$B$244,FZ62+FY63-GH62)))</f>
        <v>133</v>
      </c>
      <c r="GA63" s="17">
        <f>FZ63*VLOOKUP('Données projet'!$B$17,Paramètres!$A$1:$I$89,3,0)*VLOOKUP('Données projet'!$B$17,Paramètres!$A$1:$I$89,5,0)</f>
        <v>87.141599999999997</v>
      </c>
      <c r="GB63" s="13">
        <f t="shared" si="49"/>
        <v>23.874558158360944</v>
      </c>
      <c r="GC63" s="20">
        <f t="shared" si="25"/>
        <v>193.35314212581196</v>
      </c>
      <c r="GD63" s="59">
        <f t="shared" si="26"/>
        <v>468.40222806808742</v>
      </c>
      <c r="GE63" s="59">
        <f ca="1">AVERAGE(OFFSET($GD$3,0,0,'Données projet'!$E$17+1,1))-AVERAGE(OFFSET($H$3,0,0,'Données projet'!$E$17+1,1))</f>
        <v>123.03972959251965</v>
      </c>
      <c r="GF63" s="59">
        <f t="shared" si="50"/>
        <v>178.27657680839445</v>
      </c>
      <c r="GG63" s="15">
        <f>IF(ISNA(VLOOKUP(A63,'Données projet'!$A$243:$I$263,3,0)),0,VLOOKUP(A63,'Données projet'!$A$243:$I$263,3,0))</f>
        <v>10</v>
      </c>
      <c r="GH63" s="15">
        <f>IF(ISNA(VLOOKUP(A63,'Données projet'!$A$243:$I$263,4,0)),0,VLOOKUP(A63,'Données projet'!$A$243:$I$263,4,0))</f>
        <v>119</v>
      </c>
      <c r="GI63" s="16">
        <f>IF(ISNA(VLOOKUP(A63,'Données projet'!$A$243:$I$263,5,0)),0%,VLOOKUP(A63,'Données projet'!$A$243:$I$263,5,0)*VLOOKUP('Données projet'!$B$17,Paramètres!$A$1:$I$89,7,0))</f>
        <v>0.30099999999999999</v>
      </c>
      <c r="GJ63" s="16">
        <f>IF(ISNA(VLOOKUP(A63,'Données projet'!$A$243:$I$263,6,0)),0%,VLOOKUP(A63,'Données projet'!$A$243:$I$263,6,0)*VLOOKUP('Données projet'!$B$17,Paramètres!$A$1:$I$89,7,0))</f>
        <v>4.3000000000000003E-2</v>
      </c>
      <c r="GK63" s="16">
        <f>IF(ISNA(VLOOKUP(A63,'Données projet'!$A$243:$I$263,7,0)),0%,VLOOKUP(A63,'Données projet'!$A$243:$I$263,7,0))</f>
        <v>0.1</v>
      </c>
      <c r="GL63" s="21">
        <f>EXP(-LN(2)/35)*GL62+(1-EXP(-LN(2)/35))/(LN(2)/35)*GH63*GI63*VLOOKUP('Données projet'!$B$17,Paramètres!$A$1:$I$89,3,0)*0.475*44/12</f>
        <v>83.622668994158403</v>
      </c>
      <c r="GM63" s="21">
        <f>EXP(-LN(2)/25)*GM62+(1-EXP(-LN(2)/25))/(LN(2)/25)*Calculateur!GH63*Calculateur!GJ63*VLOOKUP('Données projet'!$B$17,Paramètres!$A$1:$I$89,3,0)*0.475*44/12</f>
        <v>34.250692657264864</v>
      </c>
      <c r="GN63" s="21">
        <f>EXP(-LN(2)/2)*GN62+(1-EXP(-LN(2)/2))/(LN(2)/2)*GH63*GK63*VLOOKUP('Données projet'!$B$17,Paramètres!$A$1:$I$89,3,0)*0.475*44/12</f>
        <v>9.1076179862959741</v>
      </c>
      <c r="GO63" s="21">
        <f t="shared" si="27"/>
        <v>126.98097963771924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65.013387075166037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520</v>
      </c>
      <c r="GS63" s="12">
        <f>VLOOKUP(A63,'Données projet'!$A$269:$I$289,9,0)</f>
        <v>28.3</v>
      </c>
      <c r="GT63" s="12">
        <f t="array" ref="GT63">INDEX(GS:GS,MIN(IF(ISNUMBER(GS63:GS259),ROW(GS63:GS259),"")))</f>
        <v>28.3</v>
      </c>
      <c r="GU63" s="12">
        <f>IF('Données projet'!$A$270&gt;35,GU62+GT63-HC62,IF(A63&lt;'Données projet'!$A$270,$GR$205^A63,IF(A63='Données projet'!$A$270,'Données projet'!$B$270,GU62+GT63-HC62)))</f>
        <v>519.99999999999989</v>
      </c>
      <c r="GV63" s="17">
        <f>GU63*VLOOKUP('Données projet'!$B$18,Paramètres!$A$1:$I$89,3,0)*VLOOKUP('Données projet'!$B$18,Paramètres!$A$1:$I$89,5,0)</f>
        <v>348.81599999999992</v>
      </c>
      <c r="GW63" s="13">
        <f t="shared" si="51"/>
        <v>81.318665281585382</v>
      </c>
      <c r="GX63" s="20">
        <f t="shared" si="28"/>
        <v>749.15120869876102</v>
      </c>
      <c r="GY63" s="59">
        <f t="shared" si="29"/>
        <v>1024.2002946410364</v>
      </c>
      <c r="GZ63" s="59">
        <f ca="1">AVERAGE(OFFSET($GY$3,0,0,'Données projet'!$E$18+1,1))-AVERAGE(OFFSET($H$3,0,0,'Données projet'!$E$18+1,1))</f>
        <v>542.25674729323623</v>
      </c>
      <c r="HA63" s="59">
        <f t="shared" si="52"/>
        <v>614.73906555680685</v>
      </c>
      <c r="HB63" s="15">
        <f>IF(ISNA(VLOOKUP(A63,'Données projet'!$A$269:$I$289,3,0)),0,VLOOKUP(A63,'Données projet'!$A$269:$I$289,3,0))</f>
        <v>2</v>
      </c>
      <c r="HC63" s="15">
        <f>IF(ISNA(VLOOKUP(A63,'Données projet'!$A$269:$I$289,4,0)),0,VLOOKUP(A63,'Données projet'!$A$269:$I$289,4,0))</f>
        <v>459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0</v>
      </c>
      <c r="HH63" s="21">
        <f>EXP(-LN(2)/25)*HH62+(1-EXP(-LN(2)/25))/(LN(2)/25)*Calculateur!HC63*Calculateur!HE63*VLOOKUP('Données projet'!$B$18,Paramètres!$A$1:$I$89,3,0)*0.475*44/12</f>
        <v>0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0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2.8499999999999996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10.449999999999998</v>
      </c>
      <c r="H64" s="67">
        <f t="shared" si="1"/>
        <v>214.86666666666667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65.099893661015557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10.4</v>
      </c>
      <c r="N64" s="13">
        <f>IF('Données projet'!$A$36&gt;35,N63+M64-V63,IF(A64&lt;'Données projet'!$A$36,$K$205^A64,IF(A64='Données projet'!$A$36,'Données projet'!$B$36,N63+M64-V63)))</f>
        <v>634.39999999999918</v>
      </c>
      <c r="O64" s="13">
        <f>N64*VLOOKUP('Données projet'!$B$9,Paramètres!$A$1:$I$89,3,0)*VLOOKUP('Données projet'!$B$9,Paramètres!$A$1:$I$89,5,0)</f>
        <v>554.21183999999937</v>
      </c>
      <c r="P64" s="13">
        <f t="shared" si="33"/>
        <v>122.42327729257897</v>
      </c>
      <c r="Q64" s="20">
        <f t="shared" si="53"/>
        <v>1178.4728292845739</v>
      </c>
      <c r="R64" s="59">
        <f t="shared" si="0"/>
        <v>1453.8391060416309</v>
      </c>
      <c r="S64" s="59">
        <f ca="1">AVERAGE(OFFSET($R$3,0,0,'Données projet'!$E$9+1,1))-AVERAGE(OFFSET($H$3,0,0,'Données projet'!$E$9+1,1))</f>
        <v>686.80970545599644</v>
      </c>
      <c r="T64" s="59">
        <f t="shared" si="34"/>
        <v>636.16485232937737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65.099893661015557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7.625</v>
      </c>
      <c r="AI64" s="13">
        <f>IF('Données projet'!$A$62&gt;35,AI63+AH64-AQ63,IF(A64&lt;'Données projet'!$A$62,$AF$205^A64,IF(A64='Données projet'!$A$62,'Données projet'!$B$62,AI63+AH64-AQ63)))</f>
        <v>185.37500000000003</v>
      </c>
      <c r="AJ64" s="13">
        <f>AI64*VLOOKUP('Données projet'!$B$10,Paramètres!$A$1:$I$89,3,0)*VLOOKUP('Données projet'!$B$10,Paramètres!$A$1:$I$89,5,0)</f>
        <v>167.72730000000001</v>
      </c>
      <c r="AK64" s="13">
        <f t="shared" si="35"/>
        <v>42.58061636127843</v>
      </c>
      <c r="AL64" s="20">
        <f t="shared" si="4"/>
        <v>366.28628766255997</v>
      </c>
      <c r="AM64" s="59">
        <f t="shared" si="5"/>
        <v>641.65256441961697</v>
      </c>
      <c r="AN64" s="59">
        <f ca="1">AVERAGE(OFFSET($AM$3,0,0,'Données projet'!$E$10+1,1))-AVERAGE(OFFSET($H$3,0,0,'Données projet'!$E$10+1,1))</f>
        <v>323.67375363913726</v>
      </c>
      <c r="AO64" s="59">
        <f t="shared" si="36"/>
        <v>266.03902815735029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11.879859281471759</v>
      </c>
      <c r="AV64" s="21">
        <f>EXP(-LN(2)/25)*AV63+(1-EXP(-LN(2)/25))/(LN(2)/25)*Calculateur!AQ64*Calculateur!AS64*VLOOKUP('Données projet'!$B$10,Paramètres!$A$1:$I$89,3,0)*0.475*44/12</f>
        <v>12.891355576054259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24.771214857526019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65.099893661015557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371.46495716091965</v>
      </c>
      <c r="BJ64" s="59">
        <f t="shared" si="38"/>
        <v>579.95059529269417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161.8482650504628</v>
      </c>
      <c r="BQ64" s="21">
        <f>EXP(-LN(2)/25)*BQ63+(1-EXP(-LN(2)/25))/(LN(2)/25)*Calculateur!BL64*Calculateur!BN64*VLOOKUP('Données projet'!$B$11,Paramètres!$A$1:$I$89,3,0)*0.475*44/12</f>
        <v>44.211743645725292</v>
      </c>
      <c r="BR64" s="21">
        <f>EXP(-LN(2)/2)*BR63+(1-EXP(-LN(2)/2))/(LN(2)/2)*BL64*BO64*VLOOKUP('Données projet'!$B$11,Paramètres!$A$1:$I$89,3,0)*0.475*44/12</f>
        <v>0.15168693069855888</v>
      </c>
      <c r="BS64" s="22">
        <f t="shared" si="9"/>
        <v>206.21169562688667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65.099893661015557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>
        <f>BY64*VLOOKUP('Données projet'!$B$12,Paramètres!$A$1:$I$89,3,0)*VLOOKUP('Données projet'!$B$12,Paramètres!$A$1:$I$89,5,0)</f>
        <v>0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180.18752244216969</v>
      </c>
      <c r="CE64" s="59">
        <f t="shared" si="40"/>
        <v>350.12096474554676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195.43363242051538</v>
      </c>
      <c r="CL64" s="21">
        <f>EXP(-LN(2)/25)*CL63+(1-EXP(-LN(2)/25))/(LN(2)/25)*Calculateur!CG64*Calculateur!CI64*VLOOKUP('Données projet'!$B$12,Paramètres!$A$1:$I$89,3,0)*0.475*44/12</f>
        <v>78.828533301312447</v>
      </c>
      <c r="CM64" s="21">
        <f>EXP(-LN(2)/2)*CM63+(1-EXP(-LN(2)/2))/(LN(2)/2)*CG64*CJ64*VLOOKUP('Données projet'!$B$12,Paramètres!$A$1:$I$89,3,0)*0.475*44/12</f>
        <v>0.11524400397502332</v>
      </c>
      <c r="CN64" s="22">
        <f t="shared" si="12"/>
        <v>274.37740972580286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65.099893661015557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67.8</v>
      </c>
      <c r="CT64" s="12">
        <f>IF('Données projet'!$A$140&gt;35,CT63+CS64-DB63,IF(A64&lt;'Données projet'!$A$140,$CQ$205^A64,IF(A64='Données projet'!$A$140,'Données projet'!$B$140,CT63+CS64-DB63)))</f>
        <v>84.800000000000011</v>
      </c>
      <c r="CU64" s="17">
        <f>CT64*VLOOKUP('Données projet'!$B$13,Paramètres!$A$1:$I$89,3,0)*VLOOKUP('Données projet'!$B$13,Paramètres!$A$1:$I$89,5,0)</f>
        <v>67.466880000000003</v>
      </c>
      <c r="CV64" s="13">
        <f t="shared" si="41"/>
        <v>19.043051531232432</v>
      </c>
      <c r="CW64" s="20">
        <f t="shared" si="13"/>
        <v>150.67146408356317</v>
      </c>
      <c r="CX64" s="59">
        <f t="shared" si="14"/>
        <v>426.03774084062024</v>
      </c>
      <c r="CY64" s="59">
        <f ca="1">AVERAGE(OFFSET($CX$3,0,0,'Données projet'!$E$13+1,1))-AVERAGE(OFFSET($H$3,0,0,'Données projet'!$E$13+1,1))</f>
        <v>284.31574332240928</v>
      </c>
      <c r="CZ64" s="59">
        <f t="shared" si="42"/>
        <v>403.96994631683913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522.61006177177546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522.61006177177546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65.099893661015557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>
        <f>DO64*VLOOKUP('Données projet'!$B$14,Paramètres!$A$1:$I$89,3,0)*VLOOKUP('Données projet'!$B$14,Paramètres!$A$1:$I$89,5,0)</f>
        <v>0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190.9519472160006</v>
      </c>
      <c r="DU64" s="59">
        <f t="shared" si="44"/>
        <v>170.61553500287511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176.21691152862468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176.21691152862468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65.099893661015557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58.6</v>
      </c>
      <c r="EJ64" s="12">
        <f>IF('Données projet'!$A$192&gt;35,EJ63+EI64-ER63,IF(A64&lt;'Données projet'!$A$192,$EG$205^A64,IF(A64='Données projet'!$A$192,'Données projet'!$B$192,EJ63+EI64-ER63)))</f>
        <v>93.599999999999966</v>
      </c>
      <c r="EK64" s="17">
        <f>EJ64*VLOOKUP('Données projet'!$B$15,Paramètres!$A$1:$I$89,3,0)*VLOOKUP('Données projet'!$B$15,Paramètres!$A$1:$I$89,5,0)</f>
        <v>80.308799999999977</v>
      </c>
      <c r="EL64" s="13">
        <f t="shared" si="45"/>
        <v>22.212670396389218</v>
      </c>
      <c r="EM64" s="20">
        <f t="shared" si="19"/>
        <v>178.5582276070445</v>
      </c>
      <c r="EN64" s="59">
        <f t="shared" si="20"/>
        <v>453.92450436410155</v>
      </c>
      <c r="EO64" s="59">
        <f ca="1">AVERAGE(OFFSET($EN$3,0,0,'Données projet'!$E$15+1,1))-AVERAGE(OFFSET($H$3,0,0,'Données projet'!$E$15+1,1))</f>
        <v>331.94255128154623</v>
      </c>
      <c r="EP64" s="59">
        <f t="shared" si="46"/>
        <v>258.40809812013964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360.5033221728101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360.5033221728101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65.099893661015557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65.599999999999994</v>
      </c>
      <c r="FE64" s="12">
        <f>IF('Données projet'!$A$218&gt;35,FE63+FD64-FM63,IF(A64&lt;'Données projet'!$A$218,$FB$205^A64,IF(A64='Données projet'!$A$218,'Données projet'!$B$218,FE63+FD64-FM63)))</f>
        <v>100.60000000000002</v>
      </c>
      <c r="FF64" s="17">
        <f>FE64*VLOOKUP('Données projet'!$B$16,Paramètres!$A$1:$I$89,3,0)*VLOOKUP('Données projet'!$B$16,Paramètres!$A$1:$I$89,5,0)</f>
        <v>95.730960000000024</v>
      </c>
      <c r="FG64" s="13">
        <f t="shared" si="47"/>
        <v>25.942389643100256</v>
      </c>
      <c r="FH64" s="20">
        <f t="shared" si="22"/>
        <v>211.9144172950663</v>
      </c>
      <c r="FI64" s="59">
        <f t="shared" si="23"/>
        <v>487.28069405212335</v>
      </c>
      <c r="FJ64" s="59">
        <f ca="1">AVERAGE(OFFSET($FI$3,0,0,'Données projet'!$E$16+1,1))-AVERAGE(OFFSET($H$3,0,0,'Données projet'!$E$16+1,1))</f>
        <v>290.72311302449236</v>
      </c>
      <c r="FK64" s="59">
        <f t="shared" si="48"/>
        <v>352.32552988394434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381.50001023118409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381.50001023118409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65.099893661015557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24.4</v>
      </c>
      <c r="FZ64" s="12">
        <f>IF('Données projet'!$A$244&gt;35,FZ63+FY64-GH63,IF(A64&lt;'Données projet'!$A$244,$FW$205^A64,IF(A64='Données projet'!$A$244,'Données projet'!$B$244,FZ63+FY64-GH63)))</f>
        <v>38.400000000000006</v>
      </c>
      <c r="GA64" s="17">
        <f>FZ64*VLOOKUP('Données projet'!$B$17,Paramètres!$A$1:$I$89,3,0)*VLOOKUP('Données projet'!$B$17,Paramètres!$A$1:$I$89,5,0)</f>
        <v>25.159680000000002</v>
      </c>
      <c r="GB64" s="13">
        <f t="shared" si="49"/>
        <v>7.9655377988476017</v>
      </c>
      <c r="GC64" s="20">
        <f t="shared" si="25"/>
        <v>57.693087666326242</v>
      </c>
      <c r="GD64" s="59">
        <f t="shared" si="26"/>
        <v>333.05936442338327</v>
      </c>
      <c r="GE64" s="59">
        <f ca="1">AVERAGE(OFFSET($GD$3,0,0,'Données projet'!$E$17+1,1))-AVERAGE(OFFSET($H$3,0,0,'Données projet'!$E$17+1,1))</f>
        <v>123.03972959251965</v>
      </c>
      <c r="GF64" s="59">
        <f t="shared" si="50"/>
        <v>178.27657680839445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81.98287945997474</v>
      </c>
      <c r="GM64" s="21">
        <f>EXP(-LN(2)/25)*GM63+(1-EXP(-LN(2)/25))/(LN(2)/25)*Calculateur!GH64*Calculateur!GJ64*VLOOKUP('Données projet'!$B$17,Paramètres!$A$1:$I$89,3,0)*0.475*44/12</f>
        <v>33.314105665386307</v>
      </c>
      <c r="GN64" s="21">
        <f>EXP(-LN(2)/2)*GN63+(1-EXP(-LN(2)/2))/(LN(2)/2)*GH64*GK64*VLOOKUP('Données projet'!$B$17,Paramètres!$A$1:$I$89,3,0)*0.475*44/12</f>
        <v>6.4400584385664521</v>
      </c>
      <c r="GO64" s="21">
        <f t="shared" si="27"/>
        <v>121.7370435639275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65.099893661015557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48.9</v>
      </c>
      <c r="GU64" s="12">
        <f>IF('Données projet'!$A$270&gt;35,GU63+GT64-HC63,IF(A64&lt;'Données projet'!$A$270,$GR$205^A64,IF(A64='Données projet'!$A$270,'Données projet'!$B$270,GU63+GT64-HC63)))</f>
        <v>109.89999999999986</v>
      </c>
      <c r="GV64" s="17">
        <f>GU64*VLOOKUP('Données projet'!$B$18,Paramètres!$A$1:$I$89,3,0)*VLOOKUP('Données projet'!$B$18,Paramètres!$A$1:$I$89,5,0)</f>
        <v>73.720919999999907</v>
      </c>
      <c r="GW64" s="13">
        <f t="shared" si="51"/>
        <v>20.594689487567972</v>
      </c>
      <c r="GX64" s="20">
        <f t="shared" si="28"/>
        <v>164.26635319084741</v>
      </c>
      <c r="GY64" s="59">
        <f t="shared" si="29"/>
        <v>439.63262994790443</v>
      </c>
      <c r="GZ64" s="59">
        <f ca="1">AVERAGE(OFFSET($GY$3,0,0,'Données projet'!$E$18+1,1))-AVERAGE(OFFSET($H$3,0,0,'Données projet'!$E$18+1,1))</f>
        <v>542.25674729323623</v>
      </c>
      <c r="HA64" s="59">
        <f t="shared" si="52"/>
        <v>614.73906555680685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0</v>
      </c>
      <c r="HH64" s="21">
        <f>EXP(-LN(2)/25)*HH63+(1-EXP(-LN(2)/25))/(LN(2)/25)*Calculateur!HC64*Calculateur!HE64*VLOOKUP('Données projet'!$B$18,Paramètres!$A$1:$I$89,3,0)*0.475*44/12</f>
        <v>0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0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2.8499999999999996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10.449999999999998</v>
      </c>
      <c r="H65" s="67">
        <f t="shared" si="1"/>
        <v>214.86666666666667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65.184899551000342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10.4</v>
      </c>
      <c r="N65" s="13">
        <f>IF('Données projet'!$A$36&gt;35,N64+M65-V64,IF(A65&lt;'Données projet'!$A$36,$K$205^A65,IF(A65='Données projet'!$A$36,'Données projet'!$B$36,N64+M65-V64)))</f>
        <v>644.79999999999916</v>
      </c>
      <c r="O65" s="13">
        <f>N65*VLOOKUP('Données projet'!$B$9,Paramètres!$A$1:$I$89,3,0)*VLOOKUP('Données projet'!$B$9,Paramètres!$A$1:$I$89,5,0)</f>
        <v>563.29727999999932</v>
      </c>
      <c r="P65" s="13">
        <f t="shared" si="33"/>
        <v>124.19492686887244</v>
      </c>
      <c r="Q65" s="20">
        <f t="shared" si="53"/>
        <v>1197.3822602966184</v>
      </c>
      <c r="R65" s="59">
        <f t="shared" si="0"/>
        <v>1473.0602253169529</v>
      </c>
      <c r="S65" s="59">
        <f ca="1">AVERAGE(OFFSET($R$3,0,0,'Données projet'!$E$9+1,1))-AVERAGE(OFFSET($H$3,0,0,'Données projet'!$E$9+1,1))</f>
        <v>686.80970545599644</v>
      </c>
      <c r="T65" s="59">
        <f t="shared" si="34"/>
        <v>636.16485232937737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65.184899551000342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>
        <f>VLOOKUP(A65,'Données projet'!$A$61:$I$81,2,0)</f>
        <v>193</v>
      </c>
      <c r="AG65" s="12">
        <f>VLOOKUP(A65,'Données projet'!$A$61:$I$81,9,0)</f>
        <v>7.625</v>
      </c>
      <c r="AH65" s="12">
        <f t="array" ref="AH65">INDEX(AG:AG,MIN(IF(ISNUMBER(AG65:AG261),ROW(AG65:AG261),"")))</f>
        <v>7.625</v>
      </c>
      <c r="AI65" s="13">
        <f>IF('Données projet'!$A$62&gt;35,AI64+AH65-AQ64,IF(A65&lt;'Données projet'!$A$62,$AF$205^A65,IF(A65='Données projet'!$A$62,'Données projet'!$B$62,AI64+AH65-AQ64)))</f>
        <v>193.00000000000003</v>
      </c>
      <c r="AJ65" s="13">
        <f>AI65*VLOOKUP('Données projet'!$B$10,Paramètres!$A$1:$I$89,3,0)*VLOOKUP('Données projet'!$B$10,Paramètres!$A$1:$I$89,5,0)</f>
        <v>174.62640000000002</v>
      </c>
      <c r="AK65" s="13">
        <f t="shared" si="35"/>
        <v>44.124558536403974</v>
      </c>
      <c r="AL65" s="20">
        <f t="shared" si="4"/>
        <v>380.99125278423691</v>
      </c>
      <c r="AM65" s="59">
        <f t="shared" si="5"/>
        <v>656.66921780457142</v>
      </c>
      <c r="AN65" s="59">
        <f ca="1">AVERAGE(OFFSET($AM$3,0,0,'Données projet'!$E$10+1,1))-AVERAGE(OFFSET($H$3,0,0,'Données projet'!$E$10+1,1))</f>
        <v>323.67375363913726</v>
      </c>
      <c r="AO65" s="59">
        <f t="shared" si="36"/>
        <v>266.03902815735029</v>
      </c>
      <c r="AP65" s="15">
        <f>IF(ISNA(VLOOKUP(A65,'Données projet'!$A$61:$I$81,3,0)),0,VLOOKUP(A65,'Données projet'!$A$61:$I$81,3,0))</f>
        <v>5</v>
      </c>
      <c r="AQ65" s="15">
        <f>IF(ISNA(VLOOKUP(A65,'Données projet'!$A$61:$I$81,4,0)),0,VLOOKUP(A65,'Données projet'!$A$61:$I$81,4,0))</f>
        <v>39</v>
      </c>
      <c r="AR65" s="16">
        <f>IF(ISNA(VLOOKUP(A65,'Données projet'!$A$61:$I$81,5,0)),0%,VLOOKUP(A65,'Données projet'!$A$61:$I$81,5,0)*VLOOKUP('Données projet'!$B$10,Paramètres!$A$1:$I$89,7,0))</f>
        <v>0.17200000000000001</v>
      </c>
      <c r="AS65" s="16">
        <f>IF(ISNA(VLOOKUP(A65,'Données projet'!$A$61:$I$81,6,0)),0%,VLOOKUP(A65,'Données projet'!$A$61:$I$81,6,0)*VLOOKUP('Données projet'!$B$10,Paramètres!$A$1:$I$89,7,0))</f>
        <v>0.215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18.356442639745456</v>
      </c>
      <c r="AV65" s="21">
        <f>EXP(-LN(2)/25)*AV64+(1-EXP(-LN(2)/25))/(LN(2)/25)*Calculateur!AQ65*Calculateur!AS65*VLOOKUP('Données projet'!$B$10,Paramètres!$A$1:$I$89,3,0)*0.475*44/12</f>
        <v>20.892743450735054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39.249186090480507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65.184899551000342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371.46495716091965</v>
      </c>
      <c r="BJ65" s="59">
        <f t="shared" si="38"/>
        <v>579.95059529269417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158.67451929051734</v>
      </c>
      <c r="BQ65" s="21">
        <f>EXP(-LN(2)/25)*BQ64+(1-EXP(-LN(2)/25))/(LN(2)/25)*Calculateur!BL65*Calculateur!BN65*VLOOKUP('Données projet'!$B$11,Paramètres!$A$1:$I$89,3,0)*0.475*44/12</f>
        <v>43.002771190738386</v>
      </c>
      <c r="BR65" s="21">
        <f>EXP(-LN(2)/2)*BR64+(1-EXP(-LN(2)/2))/(LN(2)/2)*BL65*BO65*VLOOKUP('Données projet'!$B$11,Paramètres!$A$1:$I$89,3,0)*0.475*44/12</f>
        <v>0.10725885731432487</v>
      </c>
      <c r="BS65" s="22">
        <f t="shared" si="9"/>
        <v>201.78454933857006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65.184899551000342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>
        <f>BY65*VLOOKUP('Données projet'!$B$12,Paramètres!$A$1:$I$89,3,0)*VLOOKUP('Données projet'!$B$12,Paramètres!$A$1:$I$89,5,0)</f>
        <v>0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180.18752244216969</v>
      </c>
      <c r="CE65" s="59">
        <f t="shared" si="40"/>
        <v>350.12096474554676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191.60129809149456</v>
      </c>
      <c r="CL65" s="21">
        <f>EXP(-LN(2)/25)*CL64+(1-EXP(-LN(2)/25))/(LN(2)/25)*Calculateur!CG65*Calculateur!CI65*VLOOKUP('Données projet'!$B$12,Paramètres!$A$1:$I$89,3,0)*0.475*44/12</f>
        <v>76.67296291277566</v>
      </c>
      <c r="CM65" s="21">
        <f>EXP(-LN(2)/2)*CM64+(1-EXP(-LN(2)/2))/(LN(2)/2)*CG65*CJ65*VLOOKUP('Données projet'!$B$12,Paramètres!$A$1:$I$89,3,0)*0.475*44/12</f>
        <v>8.1489816701828435E-2</v>
      </c>
      <c r="CN65" s="22">
        <f t="shared" si="12"/>
        <v>268.35575082097205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65.184899551000342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67.8</v>
      </c>
      <c r="CT65" s="12">
        <f>IF('Données projet'!$A$140&gt;35,CT64+CS65-DB64,IF(A65&lt;'Données projet'!$A$140,$CQ$205^A65,IF(A65='Données projet'!$A$140,'Données projet'!$B$140,CT64+CS65-DB64)))</f>
        <v>152.60000000000002</v>
      </c>
      <c r="CU65" s="17">
        <f>CT65*VLOOKUP('Données projet'!$B$13,Paramètres!$A$1:$I$89,3,0)*VLOOKUP('Données projet'!$B$13,Paramètres!$A$1:$I$89,5,0)</f>
        <v>121.40856000000002</v>
      </c>
      <c r="CV65" s="13">
        <f t="shared" si="41"/>
        <v>32.003299325889408</v>
      </c>
      <c r="CW65" s="20">
        <f t="shared" si="13"/>
        <v>267.1923216592574</v>
      </c>
      <c r="CX65" s="59">
        <f t="shared" si="14"/>
        <v>542.87028667959203</v>
      </c>
      <c r="CY65" s="59">
        <f ca="1">AVERAGE(OFFSET($CX$3,0,0,'Données projet'!$E$13+1,1))-AVERAGE(OFFSET($H$3,0,0,'Données projet'!$E$13+1,1))</f>
        <v>284.31574332240928</v>
      </c>
      <c r="CZ65" s="59">
        <f t="shared" si="42"/>
        <v>403.96994631683913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512.36199722109359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512.36199722109359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65.184899551000342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>
        <f>DO65*VLOOKUP('Données projet'!$B$14,Paramètres!$A$1:$I$89,3,0)*VLOOKUP('Données projet'!$B$14,Paramètres!$A$1:$I$89,5,0)</f>
        <v>0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190.9519472160006</v>
      </c>
      <c r="DU65" s="59">
        <f t="shared" si="44"/>
        <v>170.61553500287511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172.76140537525146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172.76140537525146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65.184899551000342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58.6</v>
      </c>
      <c r="EJ65" s="12">
        <f>IF('Données projet'!$A$192&gt;35,EJ64+EI65-ER64,IF(A65&lt;'Données projet'!$A$192,$EG$205^A65,IF(A65='Données projet'!$A$192,'Données projet'!$B$192,EJ64+EI65-ER64)))</f>
        <v>152.19999999999996</v>
      </c>
      <c r="EK65" s="17">
        <f>EJ65*VLOOKUP('Données projet'!$B$15,Paramètres!$A$1:$I$89,3,0)*VLOOKUP('Données projet'!$B$15,Paramètres!$A$1:$I$89,5,0)</f>
        <v>130.58759999999998</v>
      </c>
      <c r="EL65" s="13">
        <f t="shared" si="45"/>
        <v>34.132100781856138</v>
      </c>
      <c r="EM65" s="20">
        <f t="shared" si="19"/>
        <v>286.88681219506606</v>
      </c>
      <c r="EN65" s="59">
        <f t="shared" si="20"/>
        <v>562.56477721540068</v>
      </c>
      <c r="EO65" s="59">
        <f ca="1">AVERAGE(OFFSET($EN$3,0,0,'Données projet'!$E$15+1,1))-AVERAGE(OFFSET($H$3,0,0,'Données projet'!$E$15+1,1))</f>
        <v>331.94255128154623</v>
      </c>
      <c r="EP65" s="59">
        <f t="shared" si="46"/>
        <v>258.40809812013964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353.43407191031594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353.43407191031594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65.184899551000342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65.599999999999994</v>
      </c>
      <c r="FE65" s="12">
        <f>IF('Données projet'!$A$218&gt;35,FE64+FD65-FM64,IF(A65&lt;'Données projet'!$A$218,$FB$205^A65,IF(A65='Données projet'!$A$218,'Données projet'!$B$218,FE64+FD65-FM64)))</f>
        <v>166.20000000000002</v>
      </c>
      <c r="FF65" s="17">
        <f>FE65*VLOOKUP('Données projet'!$B$16,Paramètres!$A$1:$I$89,3,0)*VLOOKUP('Données projet'!$B$16,Paramètres!$A$1:$I$89,5,0)</f>
        <v>158.15592000000001</v>
      </c>
      <c r="FG65" s="13">
        <f t="shared" si="47"/>
        <v>40.426297807059299</v>
      </c>
      <c r="FH65" s="20">
        <f t="shared" si="22"/>
        <v>345.86402934729495</v>
      </c>
      <c r="FI65" s="59">
        <f t="shared" si="23"/>
        <v>621.54199436762951</v>
      </c>
      <c r="FJ65" s="59">
        <f ca="1">AVERAGE(OFFSET($FI$3,0,0,'Données projet'!$E$16+1,1))-AVERAGE(OFFSET($H$3,0,0,'Données projet'!$E$16+1,1))</f>
        <v>290.72311302449236</v>
      </c>
      <c r="FK65" s="59">
        <f t="shared" si="48"/>
        <v>352.32552988394434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374.0190277225804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374.0190277225804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65.184899551000342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24.4</v>
      </c>
      <c r="FZ65" s="12">
        <f>IF('Données projet'!$A$244&gt;35,FZ64+FY65-GH64,IF(A65&lt;'Données projet'!$A$244,$FW$205^A65,IF(A65='Données projet'!$A$244,'Données projet'!$B$244,FZ64+FY65-GH64)))</f>
        <v>62.800000000000004</v>
      </c>
      <c r="GA65" s="17">
        <f>FZ65*VLOOKUP('Données projet'!$B$17,Paramètres!$A$1:$I$89,3,0)*VLOOKUP('Données projet'!$B$17,Paramètres!$A$1:$I$89,5,0)</f>
        <v>41.146560000000001</v>
      </c>
      <c r="GB65" s="13">
        <f t="shared" si="49"/>
        <v>12.302041115546221</v>
      </c>
      <c r="GC65" s="20">
        <f t="shared" si="25"/>
        <v>93.089646942909667</v>
      </c>
      <c r="GD65" s="59">
        <f t="shared" si="26"/>
        <v>368.76761196324424</v>
      </c>
      <c r="GE65" s="59">
        <f ca="1">AVERAGE(OFFSET($GD$3,0,0,'Données projet'!$E$17+1,1))-AVERAGE(OFFSET($H$3,0,0,'Données projet'!$E$17+1,1))</f>
        <v>123.03972959251965</v>
      </c>
      <c r="GF65" s="59">
        <f t="shared" si="50"/>
        <v>178.27657680839445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80.375245198383553</v>
      </c>
      <c r="GM65" s="21">
        <f>EXP(-LN(2)/25)*GM64+(1-EXP(-LN(2)/25))/(LN(2)/25)*Calculateur!GH65*Calculateur!GJ65*VLOOKUP('Données projet'!$B$17,Paramètres!$A$1:$I$89,3,0)*0.475*44/12</f>
        <v>32.403129694053639</v>
      </c>
      <c r="GN65" s="21">
        <f>EXP(-LN(2)/2)*GN64+(1-EXP(-LN(2)/2))/(LN(2)/2)*GH65*GK65*VLOOKUP('Données projet'!$B$17,Paramètres!$A$1:$I$89,3,0)*0.475*44/12</f>
        <v>4.553808993147987</v>
      </c>
      <c r="GO65" s="21">
        <f t="shared" si="27"/>
        <v>117.33218388558518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65.184899551000342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48.9</v>
      </c>
      <c r="GU65" s="12">
        <f>IF('Données projet'!$A$270&gt;35,GU64+GT65-HC64,IF(A65&lt;'Données projet'!$A$270,$GR$205^A65,IF(A65='Données projet'!$A$270,'Données projet'!$B$270,GU64+GT65-HC64)))</f>
        <v>158.79999999999987</v>
      </c>
      <c r="GV65" s="17">
        <f>GU65*VLOOKUP('Données projet'!$B$18,Paramètres!$A$1:$I$89,3,0)*VLOOKUP('Données projet'!$B$18,Paramètres!$A$1:$I$89,5,0)</f>
        <v>106.52303999999992</v>
      </c>
      <c r="GW65" s="13">
        <f t="shared" si="51"/>
        <v>28.510260627094922</v>
      </c>
      <c r="GX65" s="20">
        <f t="shared" si="28"/>
        <v>235.18299859219016</v>
      </c>
      <c r="GY65" s="59">
        <f t="shared" si="29"/>
        <v>510.86096361252476</v>
      </c>
      <c r="GZ65" s="59">
        <f ca="1">AVERAGE(OFFSET($GY$3,0,0,'Données projet'!$E$18+1,1))-AVERAGE(OFFSET($H$3,0,0,'Données projet'!$E$18+1,1))</f>
        <v>542.25674729323623</v>
      </c>
      <c r="HA65" s="59">
        <f t="shared" si="52"/>
        <v>614.73906555680685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0</v>
      </c>
      <c r="HH65" s="21">
        <f>EXP(-LN(2)/25)*HH64+(1-EXP(-LN(2)/25))/(LN(2)/25)*Calculateur!HC65*Calculateur!HE65*VLOOKUP('Données projet'!$B$18,Paramètres!$A$1:$I$89,3,0)*0.475*44/12</f>
        <v>0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0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2.8499999999999996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10.449999999999998</v>
      </c>
      <c r="H66" s="67">
        <f t="shared" si="1"/>
        <v>214.86666666666667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65.268430778838578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10.4</v>
      </c>
      <c r="N66" s="13">
        <f>IF('Données projet'!$A$36&gt;35,N65+M66-V65,IF(A66&lt;'Données projet'!$A$36,$K$205^A66,IF(A66='Données projet'!$A$36,'Données projet'!$B$36,N65+M66-V65)))</f>
        <v>655.19999999999914</v>
      </c>
      <c r="O66" s="13">
        <f>N66*VLOOKUP('Données projet'!$B$9,Paramètres!$A$1:$I$89,3,0)*VLOOKUP('Données projet'!$B$9,Paramètres!$A$1:$I$89,5,0)</f>
        <v>572.38271999999927</v>
      </c>
      <c r="P66" s="13">
        <f t="shared" si="33"/>
        <v>125.96325328394165</v>
      </c>
      <c r="Q66" s="20">
        <f t="shared" si="53"/>
        <v>1216.2859034695302</v>
      </c>
      <c r="R66" s="59">
        <f t="shared" si="0"/>
        <v>1492.2701496586051</v>
      </c>
      <c r="S66" s="59">
        <f ca="1">AVERAGE(OFFSET($R$3,0,0,'Données projet'!$E$9+1,1))-AVERAGE(OFFSET($H$3,0,0,'Données projet'!$E$9+1,1))</f>
        <v>686.80970545599644</v>
      </c>
      <c r="T66" s="59">
        <f t="shared" si="34"/>
        <v>636.16485232937737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65.268430778838578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8.25</v>
      </c>
      <c r="AI66" s="13">
        <f>IF('Données projet'!$A$62&gt;35,AI65+AH66-AQ65,IF(A66&lt;'Données projet'!$A$62,$AF$205^A66,IF(A66='Données projet'!$A$62,'Données projet'!$B$62,AI65+AH66-AQ65)))</f>
        <v>162.25000000000003</v>
      </c>
      <c r="AJ66" s="13">
        <f>AI66*VLOOKUP('Données projet'!$B$10,Paramètres!$A$1:$I$89,3,0)*VLOOKUP('Données projet'!$B$10,Paramètres!$A$1:$I$89,5,0)</f>
        <v>146.80380000000002</v>
      </c>
      <c r="AK66" s="13">
        <f t="shared" si="35"/>
        <v>37.851329714942644</v>
      </c>
      <c r="AL66" s="20">
        <f t="shared" si="4"/>
        <v>321.60768425352512</v>
      </c>
      <c r="AM66" s="59">
        <f t="shared" si="5"/>
        <v>597.59193044259996</v>
      </c>
      <c r="AN66" s="59">
        <f ca="1">AVERAGE(OFFSET($AM$3,0,0,'Données projet'!$E$10+1,1))-AVERAGE(OFFSET($H$3,0,0,'Données projet'!$E$10+1,1))</f>
        <v>323.67375363913726</v>
      </c>
      <c r="AO66" s="59">
        <f t="shared" si="36"/>
        <v>266.03902815735029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17.996483995904512</v>
      </c>
      <c r="AV66" s="21">
        <f>EXP(-LN(2)/25)*AV65+(1-EXP(-LN(2)/25))/(LN(2)/25)*Calculateur!AQ66*Calculateur!AS66*VLOOKUP('Données projet'!$B$10,Paramètres!$A$1:$I$89,3,0)*0.475*44/12</f>
        <v>20.321430282373075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38.317914278277584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65.268430778838578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371.46495716091965</v>
      </c>
      <c r="BJ66" s="59">
        <f t="shared" si="38"/>
        <v>579.95059529269417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155.56300874913063</v>
      </c>
      <c r="BQ66" s="21">
        <f>EXP(-LN(2)/25)*BQ65+(1-EXP(-LN(2)/25))/(LN(2)/25)*Calculateur!BL66*Calculateur!BN66*VLOOKUP('Données projet'!$B$11,Paramètres!$A$1:$I$89,3,0)*0.475*44/12</f>
        <v>41.826858151110194</v>
      </c>
      <c r="BR66" s="21">
        <f>EXP(-LN(2)/2)*BR65+(1-EXP(-LN(2)/2))/(LN(2)/2)*BL66*BO66*VLOOKUP('Données projet'!$B$11,Paramètres!$A$1:$I$89,3,0)*0.475*44/12</f>
        <v>7.5843465349279438E-2</v>
      </c>
      <c r="BS66" s="22">
        <f t="shared" si="9"/>
        <v>197.4657103655901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65.268430778838578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180.18752244216969</v>
      </c>
      <c r="CE66" s="59">
        <f t="shared" si="40"/>
        <v>350.12096474554676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187.8441135011727</v>
      </c>
      <c r="CL66" s="21">
        <f>EXP(-LN(2)/25)*CL65+(1-EXP(-LN(2)/25))/(LN(2)/25)*Calculateur!CG66*Calculateur!CI66*VLOOKUP('Données projet'!$B$12,Paramètres!$A$1:$I$89,3,0)*0.475*44/12</f>
        <v>74.576336709869935</v>
      </c>
      <c r="CM66" s="21">
        <f>EXP(-LN(2)/2)*CM65+(1-EXP(-LN(2)/2))/(LN(2)/2)*CG66*CJ66*VLOOKUP('Données projet'!$B$12,Paramètres!$A$1:$I$89,3,0)*0.475*44/12</f>
        <v>5.7622001987511669E-2</v>
      </c>
      <c r="CN66" s="22">
        <f t="shared" si="12"/>
        <v>262.47807221303015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65.268430778838578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67.8</v>
      </c>
      <c r="CT66" s="12">
        <f>IF('Données projet'!$A$140&gt;35,CT65+CS66-DB65,IF(A66&lt;'Données projet'!$A$140,$CQ$205^A66,IF(A66='Données projet'!$A$140,'Données projet'!$B$140,CT65+CS66-DB65)))</f>
        <v>220.40000000000003</v>
      </c>
      <c r="CU66" s="17">
        <f>CT66*VLOOKUP('Données projet'!$B$13,Paramètres!$A$1:$I$89,3,0)*VLOOKUP('Données projet'!$B$13,Paramètres!$A$1:$I$89,5,0)</f>
        <v>175.35024000000004</v>
      </c>
      <c r="CV66" s="13">
        <f t="shared" si="41"/>
        <v>44.286129805569161</v>
      </c>
      <c r="CW66" s="20">
        <f t="shared" si="13"/>
        <v>382.533344078033</v>
      </c>
      <c r="CX66" s="59">
        <f t="shared" si="14"/>
        <v>658.51759026710783</v>
      </c>
      <c r="CY66" s="59">
        <f ca="1">AVERAGE(OFFSET($CX$3,0,0,'Données projet'!$E$13+1,1))-AVERAGE(OFFSET($H$3,0,0,'Données projet'!$E$13+1,1))</f>
        <v>284.31574332240928</v>
      </c>
      <c r="CZ66" s="59">
        <f t="shared" si="42"/>
        <v>403.96994631683913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502.31489096554844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502.31489096554844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65.268430778838578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>
        <f>DO66*VLOOKUP('Données projet'!$B$14,Paramètres!$A$1:$I$89,3,0)*VLOOKUP('Données projet'!$B$14,Paramètres!$A$1:$I$89,5,0)</f>
        <v>0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190.9519472160006</v>
      </c>
      <c r="DU66" s="59">
        <f t="shared" si="44"/>
        <v>170.61553500287511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169.37365958989523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169.37365958989523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65.268430778838578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58.6</v>
      </c>
      <c r="EJ66" s="12">
        <f>IF('Données projet'!$A$192&gt;35,EJ65+EI66-ER65,IF(A66&lt;'Données projet'!$A$192,$EG$205^A66,IF(A66='Données projet'!$A$192,'Données projet'!$B$192,EJ65+EI66-ER65)))</f>
        <v>210.79999999999995</v>
      </c>
      <c r="EK66" s="17">
        <f>EJ66*VLOOKUP('Données projet'!$B$15,Paramètres!$A$1:$I$89,3,0)*VLOOKUP('Données projet'!$B$15,Paramètres!$A$1:$I$89,5,0)</f>
        <v>180.86639999999997</v>
      </c>
      <c r="EL66" s="13">
        <f t="shared" si="45"/>
        <v>45.51489030210211</v>
      </c>
      <c r="EM66" s="20">
        <f t="shared" si="19"/>
        <v>394.28074727616109</v>
      </c>
      <c r="EN66" s="59">
        <f t="shared" si="20"/>
        <v>670.26499346523588</v>
      </c>
      <c r="EO66" s="59">
        <f ca="1">AVERAGE(OFFSET($EN$3,0,0,'Données projet'!$E$15+1,1))-AVERAGE(OFFSET($H$3,0,0,'Données projet'!$E$15+1,1))</f>
        <v>331.94255128154623</v>
      </c>
      <c r="EP66" s="59">
        <f t="shared" si="46"/>
        <v>258.40809812013964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346.50344533365239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346.50344533365239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65.268430778838578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65.599999999999994</v>
      </c>
      <c r="FE66" s="12">
        <f>IF('Données projet'!$A$218&gt;35,FE65+FD66-FM65,IF(A66&lt;'Données projet'!$A$218,$FB$205^A66,IF(A66='Données projet'!$A$218,'Données projet'!$B$218,FE65+FD66-FM65)))</f>
        <v>231.8</v>
      </c>
      <c r="FF66" s="17">
        <f>FE66*VLOOKUP('Données projet'!$B$16,Paramètres!$A$1:$I$89,3,0)*VLOOKUP('Données projet'!$B$16,Paramètres!$A$1:$I$89,5,0)</f>
        <v>220.58088000000001</v>
      </c>
      <c r="FG66" s="13">
        <f t="shared" si="47"/>
        <v>54.241117736670112</v>
      </c>
      <c r="FH66" s="20">
        <f t="shared" si="22"/>
        <v>478.64831272470047</v>
      </c>
      <c r="FI66" s="59">
        <f t="shared" si="23"/>
        <v>754.63255891377526</v>
      </c>
      <c r="FJ66" s="59">
        <f ca="1">AVERAGE(OFFSET($FI$3,0,0,'Données projet'!$E$16+1,1))-AVERAGE(OFFSET($H$3,0,0,'Données projet'!$E$16+1,1))</f>
        <v>290.72311302449236</v>
      </c>
      <c r="FK66" s="59">
        <f t="shared" si="48"/>
        <v>352.32552988394434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366.68474271802165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366.68474271802165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65.268430778838578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24.4</v>
      </c>
      <c r="FZ66" s="12">
        <f>IF('Données projet'!$A$244&gt;35,FZ65+FY66-GH65,IF(A66&lt;'Données projet'!$A$244,$FW$205^A66,IF(A66='Données projet'!$A$244,'Données projet'!$B$244,FZ65+FY66-GH65)))</f>
        <v>87.2</v>
      </c>
      <c r="GA66" s="17">
        <f>FZ66*VLOOKUP('Données projet'!$B$17,Paramètres!$A$1:$I$89,3,0)*VLOOKUP('Données projet'!$B$17,Paramètres!$A$1:$I$89,5,0)</f>
        <v>57.133440000000007</v>
      </c>
      <c r="GB66" s="13">
        <f t="shared" si="49"/>
        <v>16.44146071304003</v>
      </c>
      <c r="GC66" s="20">
        <f t="shared" si="25"/>
        <v>128.14295207521141</v>
      </c>
      <c r="GD66" s="59">
        <f t="shared" si="26"/>
        <v>404.12719826428622</v>
      </c>
      <c r="GE66" s="59">
        <f ca="1">AVERAGE(OFFSET($GD$3,0,0,'Données projet'!$E$17+1,1))-AVERAGE(OFFSET($H$3,0,0,'Données projet'!$E$17+1,1))</f>
        <v>123.03972959251965</v>
      </c>
      <c r="GF66" s="59">
        <f t="shared" si="50"/>
        <v>178.27657680839445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78.799135664102096</v>
      </c>
      <c r="GM66" s="21">
        <f>EXP(-LN(2)/25)*GM65+(1-EXP(-LN(2)/25))/(LN(2)/25)*Calculateur!GH66*Calculateur!GJ66*VLOOKUP('Données projet'!$B$17,Paramètres!$A$1:$I$89,3,0)*0.475*44/12</f>
        <v>31.517064408563211</v>
      </c>
      <c r="GN66" s="21">
        <f>EXP(-LN(2)/2)*GN65+(1-EXP(-LN(2)/2))/(LN(2)/2)*GH66*GK66*VLOOKUP('Données projet'!$B$17,Paramètres!$A$1:$I$89,3,0)*0.475*44/12</f>
        <v>3.2200292192832261</v>
      </c>
      <c r="GO66" s="21">
        <f t="shared" si="27"/>
        <v>113.53622929194853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65.268430778838578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48.9</v>
      </c>
      <c r="GU66" s="12">
        <f>IF('Données projet'!$A$270&gt;35,GU65+GT66-HC65,IF(A66&lt;'Données projet'!$A$270,$GR$205^A66,IF(A66='Données projet'!$A$270,'Données projet'!$B$270,GU65+GT66-HC65)))</f>
        <v>207.69999999999987</v>
      </c>
      <c r="GV66" s="17">
        <f>GU66*VLOOKUP('Données projet'!$B$18,Paramètres!$A$1:$I$89,3,0)*VLOOKUP('Données projet'!$B$18,Paramètres!$A$1:$I$89,5,0)</f>
        <v>139.32515999999993</v>
      </c>
      <c r="GW66" s="13">
        <f t="shared" si="51"/>
        <v>36.142365678863911</v>
      </c>
      <c r="GX66" s="20">
        <f t="shared" si="28"/>
        <v>305.60594055735447</v>
      </c>
      <c r="GY66" s="59">
        <f t="shared" si="29"/>
        <v>581.59018674642925</v>
      </c>
      <c r="GZ66" s="59">
        <f ca="1">AVERAGE(OFFSET($GY$3,0,0,'Données projet'!$E$18+1,1))-AVERAGE(OFFSET($H$3,0,0,'Données projet'!$E$18+1,1))</f>
        <v>542.25674729323623</v>
      </c>
      <c r="HA66" s="59">
        <f t="shared" si="52"/>
        <v>614.73906555680685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0</v>
      </c>
      <c r="HH66" s="21">
        <f>EXP(-LN(2)/25)*HH65+(1-EXP(-LN(2)/25))/(LN(2)/25)*Calculateur!HC66*Calculateur!HE66*VLOOKUP('Données projet'!$B$18,Paramètres!$A$1:$I$89,3,0)*0.475*44/12</f>
        <v>0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0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2.8499999999999996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10.449999999999998</v>
      </c>
      <c r="H67" s="67">
        <f t="shared" si="1"/>
        <v>214.86666666666667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65.35051292662169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10.4</v>
      </c>
      <c r="N67" s="13">
        <f>IF('Données projet'!$A$36&gt;35,N66+M67-V66,IF(A67&lt;'Données projet'!$A$36,$K$205^A67,IF(A67='Données projet'!$A$36,'Données projet'!$B$36,N66+M67-V66)))</f>
        <v>665.59999999999911</v>
      </c>
      <c r="O67" s="13">
        <f>N67*VLOOKUP('Données projet'!$B$9,Paramètres!$A$1:$I$89,3,0)*VLOOKUP('Données projet'!$B$9,Paramètres!$A$1:$I$89,5,0)</f>
        <v>581.46815999999933</v>
      </c>
      <c r="P67" s="13">
        <f t="shared" si="33"/>
        <v>127.72831537692197</v>
      </c>
      <c r="Q67" s="20">
        <f t="shared" ref="Q67:Q98" si="54">(O67+P67)*0.475*44/12</f>
        <v>1235.1838612814711</v>
      </c>
      <c r="R67" s="59">
        <f t="shared" ref="R67:R130" si="55">Q67+(I67+J67)*44/12</f>
        <v>1511.4690753457505</v>
      </c>
      <c r="S67" s="59">
        <f ca="1">AVERAGE(OFFSET($R$3,0,0,'Données projet'!$E$9+1,1))-AVERAGE(OFFSET($H$3,0,0,'Données projet'!$E$9+1,1))</f>
        <v>686.80970545599644</v>
      </c>
      <c r="T67" s="59">
        <f t="shared" si="34"/>
        <v>636.16485232937737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65.35051292662169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8.25</v>
      </c>
      <c r="AI67" s="13">
        <f>IF('Données projet'!$A$62&gt;35,AI66+AH67-AQ66,IF(A67&lt;'Données projet'!$A$62,$AF$205^A67,IF(A67='Données projet'!$A$62,'Données projet'!$B$62,AI66+AH67-AQ66)))</f>
        <v>170.50000000000003</v>
      </c>
      <c r="AJ67" s="13">
        <f>AI67*VLOOKUP('Données projet'!$B$10,Paramètres!$A$1:$I$89,3,0)*VLOOKUP('Données projet'!$B$10,Paramètres!$A$1:$I$89,5,0)</f>
        <v>154.26840000000004</v>
      </c>
      <c r="AK67" s="13">
        <f t="shared" si="35"/>
        <v>39.547005127064722</v>
      </c>
      <c r="AL67" s="20">
        <f t="shared" si="4"/>
        <v>337.56183059630445</v>
      </c>
      <c r="AM67" s="59">
        <f t="shared" si="5"/>
        <v>613.84704466058395</v>
      </c>
      <c r="AN67" s="59">
        <f ca="1">AVERAGE(OFFSET($AM$3,0,0,'Données projet'!$E$10+1,1))-AVERAGE(OFFSET($H$3,0,0,'Données projet'!$E$10+1,1))</f>
        <v>323.67375363913726</v>
      </c>
      <c r="AO67" s="59">
        <f t="shared" si="36"/>
        <v>266.03902815735029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17.643583921516196</v>
      </c>
      <c r="AV67" s="21">
        <f>EXP(-LN(2)/25)*AV66+(1-EXP(-LN(2)/25))/(LN(2)/25)*Calculateur!AQ67*Calculateur!AS67*VLOOKUP('Données projet'!$B$10,Paramètres!$A$1:$I$89,3,0)*0.475*44/12</f>
        <v>19.765739702644009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37.409323624160209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65.35051292662169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371.46495716091965</v>
      </c>
      <c r="BJ67" s="59">
        <f t="shared" si="38"/>
        <v>579.95059529269417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152.5125130316265</v>
      </c>
      <c r="BQ67" s="21">
        <f>EXP(-LN(2)/25)*BQ66+(1-EXP(-LN(2)/25))/(LN(2)/25)*Calculateur!BL67*Calculateur!BN67*VLOOKUP('Données projet'!$B$11,Paramètres!$A$1:$I$89,3,0)*0.475*44/12</f>
        <v>40.683100515389214</v>
      </c>
      <c r="BR67" s="21">
        <f>EXP(-LN(2)/2)*BR66+(1-EXP(-LN(2)/2))/(LN(2)/2)*BL67*BO67*VLOOKUP('Données projet'!$B$11,Paramètres!$A$1:$I$89,3,0)*0.475*44/12</f>
        <v>5.3629428657162435E-2</v>
      </c>
      <c r="BS67" s="22">
        <f t="shared" si="9"/>
        <v>193.24924297567287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65.35051292662169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180.18752244216969</v>
      </c>
      <c r="CE67" s="59">
        <f t="shared" si="40"/>
        <v>350.12096474554676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184.16060500901074</v>
      </c>
      <c r="CL67" s="21">
        <f>EXP(-LN(2)/25)*CL66+(1-EXP(-LN(2)/25))/(LN(2)/25)*Calculateur!CG67*Calculateur!CI67*VLOOKUP('Données projet'!$B$12,Paramètres!$A$1:$I$89,3,0)*0.475*44/12</f>
        <v>72.537042860739447</v>
      </c>
      <c r="CM67" s="21">
        <f>EXP(-LN(2)/2)*CM66+(1-EXP(-LN(2)/2))/(LN(2)/2)*CG67*CJ67*VLOOKUP('Données projet'!$B$12,Paramètres!$A$1:$I$89,3,0)*0.475*44/12</f>
        <v>4.0744908350914225E-2</v>
      </c>
      <c r="CN67" s="22">
        <f t="shared" si="12"/>
        <v>256.73839277810112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65.35051292662169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67.8</v>
      </c>
      <c r="CT67" s="12">
        <f>IF('Données projet'!$A$140&gt;35,CT66+CS67-DB66,IF(A67&lt;'Données projet'!$A$140,$CQ$205^A67,IF(A67='Données projet'!$A$140,'Données projet'!$B$140,CT66+CS67-DB66)))</f>
        <v>288.20000000000005</v>
      </c>
      <c r="CU67" s="17">
        <f>CT67*VLOOKUP('Données projet'!$B$13,Paramètres!$A$1:$I$89,3,0)*VLOOKUP('Données projet'!$B$13,Paramètres!$A$1:$I$89,5,0)</f>
        <v>229.29192000000006</v>
      </c>
      <c r="CV67" s="13">
        <f t="shared" si="41"/>
        <v>56.129550616433782</v>
      </c>
      <c r="CW67" s="20">
        <f t="shared" si="13"/>
        <v>497.10906132362226</v>
      </c>
      <c r="CX67" s="59">
        <f t="shared" si="14"/>
        <v>773.39427538790176</v>
      </c>
      <c r="CY67" s="59">
        <f ca="1">AVERAGE(OFFSET($CX$3,0,0,'Données projet'!$E$13+1,1))-AVERAGE(OFFSET($H$3,0,0,'Données projet'!$E$13+1,1))</f>
        <v>284.31574332240928</v>
      </c>
      <c r="CZ67" s="59">
        <f t="shared" si="42"/>
        <v>403.96994631683913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492.46480233554485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492.46480233554485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65.35051292662169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>
        <f>DO67*VLOOKUP('Données projet'!$B$14,Paramètres!$A$1:$I$89,3,0)*VLOOKUP('Données projet'!$B$14,Paramètres!$A$1:$I$89,5,0)</f>
        <v>0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190.9519472160006</v>
      </c>
      <c r="DU67" s="59">
        <f t="shared" si="44"/>
        <v>170.61553500287511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166.05234543306895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166.05234543306895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65.35051292662169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58.6</v>
      </c>
      <c r="EJ67" s="12">
        <f>IF('Données projet'!$A$192&gt;35,EJ66+EI67-ER66,IF(A67&lt;'Données projet'!$A$192,$EG$205^A67,IF(A67='Données projet'!$A$192,'Données projet'!$B$192,EJ66+EI67-ER66)))</f>
        <v>269.39999999999998</v>
      </c>
      <c r="EK67" s="17">
        <f>EJ67*VLOOKUP('Données projet'!$B$15,Paramètres!$A$1:$I$89,3,0)*VLOOKUP('Données projet'!$B$15,Paramètres!$A$1:$I$89,5,0)</f>
        <v>231.14519999999999</v>
      </c>
      <c r="EL67" s="13">
        <f t="shared" si="45"/>
        <v>56.530228922156709</v>
      </c>
      <c r="EM67" s="20">
        <f t="shared" si="19"/>
        <v>501.03470537275621</v>
      </c>
      <c r="EN67" s="59">
        <f t="shared" si="20"/>
        <v>777.31991943703565</v>
      </c>
      <c r="EO67" s="59">
        <f ca="1">AVERAGE(OFFSET($EN$3,0,0,'Données projet'!$E$15+1,1))-AVERAGE(OFFSET($H$3,0,0,'Données projet'!$E$15+1,1))</f>
        <v>331.94255128154623</v>
      </c>
      <c r="EP67" s="59">
        <f t="shared" si="46"/>
        <v>258.40809812013964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339.70872411689243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339.70872411689243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65.35051292662169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65.599999999999994</v>
      </c>
      <c r="FE67" s="12">
        <f>IF('Données projet'!$A$218&gt;35,FE66+FD67-FM66,IF(A67&lt;'Données projet'!$A$218,$FB$205^A67,IF(A67='Données projet'!$A$218,'Données projet'!$B$218,FE66+FD67-FM66)))</f>
        <v>297.39999999999998</v>
      </c>
      <c r="FF67" s="17">
        <f>FE67*VLOOKUP('Données projet'!$B$16,Paramètres!$A$1:$I$89,3,0)*VLOOKUP('Données projet'!$B$16,Paramètres!$A$1:$I$89,5,0)</f>
        <v>283.00583999999998</v>
      </c>
      <c r="FG67" s="13">
        <f t="shared" si="47"/>
        <v>67.601833980941635</v>
      </c>
      <c r="FH67" s="20">
        <f t="shared" si="22"/>
        <v>610.64169885013996</v>
      </c>
      <c r="FI67" s="59">
        <f t="shared" si="23"/>
        <v>886.92691291441952</v>
      </c>
      <c r="FJ67" s="59">
        <f ca="1">AVERAGE(OFFSET($FI$3,0,0,'Données projet'!$E$16+1,1))-AVERAGE(OFFSET($H$3,0,0,'Données projet'!$E$16+1,1))</f>
        <v>290.72311302449236</v>
      </c>
      <c r="FK67" s="59">
        <f t="shared" si="48"/>
        <v>352.32552988394434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359.49427856893016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359.49427856893016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65.35051292662169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24.4</v>
      </c>
      <c r="FZ67" s="12">
        <f>IF('Données projet'!$A$244&gt;35,FZ66+FY67-GH66,IF(A67&lt;'Données projet'!$A$244,$FW$205^A67,IF(A67='Données projet'!$A$244,'Données projet'!$B$244,FZ66+FY67-GH66)))</f>
        <v>111.6</v>
      </c>
      <c r="GA67" s="17">
        <f>FZ67*VLOOKUP('Données projet'!$B$17,Paramètres!$A$1:$I$89,3,0)*VLOOKUP('Données projet'!$B$17,Paramètres!$A$1:$I$89,5,0)</f>
        <v>73.120319999999992</v>
      </c>
      <c r="GB67" s="13">
        <f t="shared" si="49"/>
        <v>20.446365280074801</v>
      </c>
      <c r="GC67" s="20">
        <f t="shared" si="25"/>
        <v>162.96197686279694</v>
      </c>
      <c r="GD67" s="59">
        <f t="shared" si="26"/>
        <v>439.24719092707642</v>
      </c>
      <c r="GE67" s="59">
        <f ca="1">AVERAGE(OFFSET($GD$3,0,0,'Données projet'!$E$17+1,1))-AVERAGE(OFFSET($H$3,0,0,'Données projet'!$E$17+1,1))</f>
        <v>123.03972959251965</v>
      </c>
      <c r="GF67" s="59">
        <f t="shared" si="50"/>
        <v>178.27657680839445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77.253932676456003</v>
      </c>
      <c r="GM67" s="21">
        <f>EXP(-LN(2)/25)*GM66+(1-EXP(-LN(2)/25))/(LN(2)/25)*Calculateur!GH67*Calculateur!GJ67*VLOOKUP('Données projet'!$B$17,Paramètres!$A$1:$I$89,3,0)*0.475*44/12</f>
        <v>30.655228624900666</v>
      </c>
      <c r="GN67" s="21">
        <f>EXP(-LN(2)/2)*GN66+(1-EXP(-LN(2)/2))/(LN(2)/2)*GH67*GK67*VLOOKUP('Données projet'!$B$17,Paramètres!$A$1:$I$89,3,0)*0.475*44/12</f>
        <v>2.2769044965739935</v>
      </c>
      <c r="GO67" s="21">
        <f t="shared" si="27"/>
        <v>110.18606579793067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65.35051292662169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48.9</v>
      </c>
      <c r="GU67" s="12">
        <f>IF('Données projet'!$A$270&gt;35,GU66+GT67-HC66,IF(A67&lt;'Données projet'!$A$270,$GR$205^A67,IF(A67='Données projet'!$A$270,'Données projet'!$B$270,GU66+GT67-HC66)))</f>
        <v>256.59999999999985</v>
      </c>
      <c r="GV67" s="17">
        <f>GU67*VLOOKUP('Données projet'!$B$18,Paramètres!$A$1:$I$89,3,0)*VLOOKUP('Données projet'!$B$18,Paramètres!$A$1:$I$89,5,0)</f>
        <v>172.1272799999999</v>
      </c>
      <c r="GW67" s="13">
        <f t="shared" si="51"/>
        <v>43.566118163168099</v>
      </c>
      <c r="GX67" s="20">
        <f t="shared" si="28"/>
        <v>375.66600180085089</v>
      </c>
      <c r="GY67" s="59">
        <f t="shared" si="29"/>
        <v>651.95121586513039</v>
      </c>
      <c r="GZ67" s="59">
        <f ca="1">AVERAGE(OFFSET($GY$3,0,0,'Données projet'!$E$18+1,1))-AVERAGE(OFFSET($H$3,0,0,'Données projet'!$E$18+1,1))</f>
        <v>542.25674729323623</v>
      </c>
      <c r="HA67" s="59">
        <f t="shared" si="52"/>
        <v>614.73906555680685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0</v>
      </c>
      <c r="HH67" s="21">
        <f>EXP(-LN(2)/25)*HH66+(1-EXP(-LN(2)/25))/(LN(2)/25)*Calculateur!HC67*Calculateur!HE67*VLOOKUP('Données projet'!$B$18,Paramètres!$A$1:$I$89,3,0)*0.475*44/12</f>
        <v>0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0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2.8499999999999996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10.449999999999998</v>
      </c>
      <c r="H68" s="67">
        <f t="shared" ref="H68:H131" si="56">(B68+E68+F68)*44/12+(C68+D68)*0.475*44/12</f>
        <v>214.86666666666667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65.431171132648942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676</v>
      </c>
      <c r="L68" s="12">
        <f>VLOOKUP(A68,'Données projet'!$A$35:$I$55,9,0)</f>
        <v>10.4</v>
      </c>
      <c r="M68" s="12">
        <f t="array" ref="M68">INDEX(L:L,MIN(IF(ISNUMBER(L68:L264),ROW(L68:L264),"")))</f>
        <v>10.4</v>
      </c>
      <c r="N68" s="13">
        <f>IF('Données projet'!$A$36&gt;35,N67+M68-V67,IF(A68&lt;'Données projet'!$A$36,$K$205^A68,IF(A68='Données projet'!$A$36,'Données projet'!$B$36,N67+M68-V67)))</f>
        <v>675.99999999999909</v>
      </c>
      <c r="O68" s="13">
        <f>N68*VLOOKUP('Données projet'!$B$9,Paramètres!$A$1:$I$89,3,0)*VLOOKUP('Données projet'!$B$9,Paramètres!$A$1:$I$89,5,0)</f>
        <v>590.55359999999928</v>
      </c>
      <c r="P68" s="13">
        <f t="shared" si="33"/>
        <v>129.49017004274452</v>
      </c>
      <c r="Q68" s="20">
        <f t="shared" si="54"/>
        <v>1254.0762328244452</v>
      </c>
      <c r="R68" s="59">
        <f t="shared" si="55"/>
        <v>1530.657193644158</v>
      </c>
      <c r="S68" s="59">
        <f ca="1">AVERAGE(OFFSET($R$3,0,0,'Données projet'!$E$9+1,1))-AVERAGE(OFFSET($H$3,0,0,'Données projet'!$E$9+1,1))</f>
        <v>686.80970545599644</v>
      </c>
      <c r="T68" s="59">
        <f t="shared" si="34"/>
        <v>636.16485232937737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65.431171132648942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8.25</v>
      </c>
      <c r="AI68" s="13">
        <f>IF('Données projet'!$A$62&gt;35,AI67+AH68-AQ67,IF(A68&lt;'Données projet'!$A$62,$AF$205^A68,IF(A68='Données projet'!$A$62,'Données projet'!$B$62,AI67+AH68-AQ67)))</f>
        <v>178.75000000000003</v>
      </c>
      <c r="AJ68" s="13">
        <f>AI68*VLOOKUP('Données projet'!$B$10,Paramètres!$A$1:$I$89,3,0)*VLOOKUP('Données projet'!$B$10,Paramètres!$A$1:$I$89,5,0)</f>
        <v>161.73300000000003</v>
      </c>
      <c r="AK68" s="13">
        <f t="shared" si="35"/>
        <v>41.233152977268539</v>
      </c>
      <c r="AL68" s="20">
        <f t="shared" ref="AL68:AL131" si="58">(AJ68+AK68)*0.475*44/12</f>
        <v>353.49938310207608</v>
      </c>
      <c r="AM68" s="59">
        <f t="shared" ref="AM68:AM131" si="59">AL68+(AD68+AE68)*44/12</f>
        <v>630.08034392178888</v>
      </c>
      <c r="AN68" s="59">
        <f ca="1">AVERAGE(OFFSET($AM$3,0,0,'Données projet'!$E$10+1,1))-AVERAGE(OFFSET($H$3,0,0,'Données projet'!$E$10+1,1))</f>
        <v>323.67375363913726</v>
      </c>
      <c r="AO68" s="59">
        <f t="shared" si="36"/>
        <v>266.03902815735029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17.297604002338844</v>
      </c>
      <c r="AV68" s="21">
        <f>EXP(-LN(2)/25)*AV67+(1-EXP(-LN(2)/25))/(LN(2)/25)*Calculateur!AQ68*Calculateur!AS68*VLOOKUP('Données projet'!$B$10,Paramètres!$A$1:$I$89,3,0)*0.475*44/12</f>
        <v>19.225244511040131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36.522848513378975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65.431171132648942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371.46495716091965</v>
      </c>
      <c r="BJ68" s="59">
        <f t="shared" si="38"/>
        <v>579.95059529269417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149.52183567452394</v>
      </c>
      <c r="BQ68" s="21">
        <f>EXP(-LN(2)/25)*BQ67+(1-EXP(-LN(2)/25))/(LN(2)/25)*Calculateur!BL68*Calculateur!BN68*VLOOKUP('Données projet'!$B$11,Paramètres!$A$1:$I$89,3,0)*0.475*44/12</f>
        <v>39.570618992364622</v>
      </c>
      <c r="BR68" s="21">
        <f>EXP(-LN(2)/2)*BR67+(1-EXP(-LN(2)/2))/(LN(2)/2)*BL68*BO68*VLOOKUP('Données projet'!$B$11,Paramètres!$A$1:$I$89,3,0)*0.475*44/12</f>
        <v>3.7921732674639719E-2</v>
      </c>
      <c r="BS68" s="22">
        <f t="shared" ref="BS68:BS131" si="63">SUM(BP68:BR68)</f>
        <v>189.1303763995632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65.431171132648942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180.18752244216969</v>
      </c>
      <c r="CE68" s="59">
        <f t="shared" si="40"/>
        <v>350.12096474554676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180.54932787166175</v>
      </c>
      <c r="CL68" s="21">
        <f>EXP(-LN(2)/25)*CL67+(1-EXP(-LN(2)/25))/(LN(2)/25)*Calculateur!CG68*Calculateur!CI68*VLOOKUP('Données projet'!$B$12,Paramètres!$A$1:$I$89,3,0)*0.475*44/12</f>
        <v>70.553513609155232</v>
      </c>
      <c r="CM68" s="21">
        <f>EXP(-LN(2)/2)*CM67+(1-EXP(-LN(2)/2))/(LN(2)/2)*CG68*CJ68*VLOOKUP('Données projet'!$B$12,Paramètres!$A$1:$I$89,3,0)*0.475*44/12</f>
        <v>2.8811000993755838E-2</v>
      </c>
      <c r="CN68" s="22">
        <f t="shared" ref="CN68:CN131" si="66">SUM(CK68:CM68)</f>
        <v>251.13165248181073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65.431171132648942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356</v>
      </c>
      <c r="CR68" s="12">
        <f>VLOOKUP(A68,'Données projet'!$A$139:$I$159,9,0)</f>
        <v>67.8</v>
      </c>
      <c r="CS68" s="12">
        <f t="array" ref="CS68">INDEX(CR:CR,MIN(IF(ISNUMBER(CR68:CR264),ROW(CR68:CR264),"")))</f>
        <v>67.8</v>
      </c>
      <c r="CT68" s="12">
        <f>IF('Données projet'!$A$140&gt;35,CT67+CS68-DB67,IF(A68&lt;'Données projet'!$A$140,$CQ$205^A68,IF(A68='Données projet'!$A$140,'Données projet'!$B$140,CT67+CS68-DB67)))</f>
        <v>356.00000000000006</v>
      </c>
      <c r="CU68" s="17">
        <f>CT68*VLOOKUP('Données projet'!$B$13,Paramètres!$A$1:$I$89,3,0)*VLOOKUP('Données projet'!$B$13,Paramètres!$A$1:$I$89,5,0)</f>
        <v>283.23360000000008</v>
      </c>
      <c r="CV68" s="13">
        <f t="shared" si="41"/>
        <v>67.649904178362377</v>
      </c>
      <c r="CW68" s="20">
        <f t="shared" ref="CW68:CW131" si="67">(CU68+CV68)*0.475*44/12</f>
        <v>611.12210311064791</v>
      </c>
      <c r="CX68" s="59">
        <f t="shared" ref="CX68:CX131" si="68">CW68+(CO68+CP68)*44/12</f>
        <v>887.70306393036071</v>
      </c>
      <c r="CY68" s="59">
        <f ca="1">AVERAGE(OFFSET($CX$3,0,0,'Données projet'!$E$13+1,1))-AVERAGE(OFFSET($H$3,0,0,'Données projet'!$E$13+1,1))</f>
        <v>284.31574332240928</v>
      </c>
      <c r="CZ68" s="59">
        <f t="shared" si="42"/>
        <v>403.96994631683913</v>
      </c>
      <c r="DA68" s="15">
        <f>IF(ISNA(VLOOKUP(A68,'Données projet'!$A$139:$I$159,3,0)),0,VLOOKUP(A68,'Données projet'!$A$139:$I$159,3,0))</f>
        <v>12</v>
      </c>
      <c r="DB68" s="15">
        <f>IF(ISNA(VLOOKUP(A68,'Données projet'!$A$139:$I$159,4,0)),0,VLOOKUP(A68,'Données projet'!$A$139:$I$159,4,0))</f>
        <v>340</v>
      </c>
      <c r="DC68" s="16">
        <f>IF(ISNA(VLOOKUP(A68,'Données projet'!$A$139:$I$159,5,0)),0%,VLOOKUP(A68,'Données projet'!$A$139:$I$159,5,0)*VLOOKUP('Données projet'!$B$13,Paramètres!$A$1:$I$89,7,0))</f>
        <v>0.42400000000000004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609.59835158277156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609.59835158277156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65.431171132648942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>
        <f>DO68*VLOOKUP('Données projet'!$B$14,Paramètres!$A$1:$I$89,3,0)*VLOOKUP('Données projet'!$B$14,Paramètres!$A$1:$I$89,5,0)</f>
        <v>0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190.9519472160006</v>
      </c>
      <c r="DU68" s="59">
        <f t="shared" si="44"/>
        <v>170.61553500287511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162.79616022105643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162.79616022105643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65.431171132648942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328</v>
      </c>
      <c r="EH68" s="12">
        <f>VLOOKUP(A68,'Données projet'!$A$191:$I$211,9,0)</f>
        <v>58.6</v>
      </c>
      <c r="EI68" s="12">
        <f t="array" ref="EI68">INDEX(EH:EH,MIN(IF(ISNUMBER(EH68:EH264),ROW(EH68:EH264),"")))</f>
        <v>58.6</v>
      </c>
      <c r="EJ68" s="12">
        <f>IF('Données projet'!$A$192&gt;35,EJ67+EI68-ER67,IF(A68&lt;'Données projet'!$A$192,$EG$205^A68,IF(A68='Données projet'!$A$192,'Données projet'!$B$192,EJ67+EI68-ER67)))</f>
        <v>328</v>
      </c>
      <c r="EK68" s="17">
        <f>EJ68*VLOOKUP('Données projet'!$B$15,Paramètres!$A$1:$I$89,3,0)*VLOOKUP('Données projet'!$B$15,Paramètres!$A$1:$I$89,5,0)</f>
        <v>281.42400000000004</v>
      </c>
      <c r="EL68" s="13">
        <f t="shared" si="45"/>
        <v>67.267852111913427</v>
      </c>
      <c r="EM68" s="20">
        <f t="shared" ref="EM68:EM131" si="73">(EK68+EL68)*0.475*44/12</f>
        <v>607.30497576158257</v>
      </c>
      <c r="EN68" s="59">
        <f t="shared" ref="EN68:EN131" si="74">EM68+(EE68+EF68)*44/12</f>
        <v>883.88593658129537</v>
      </c>
      <c r="EO68" s="59">
        <f ca="1">AVERAGE(OFFSET($EN$3,0,0,'Données projet'!$E$15+1,1))-AVERAGE(OFFSET($H$3,0,0,'Données projet'!$E$15+1,1))</f>
        <v>331.94255128154623</v>
      </c>
      <c r="EP68" s="59">
        <f t="shared" si="46"/>
        <v>258.40809812013964</v>
      </c>
      <c r="EQ68" s="15">
        <f>IF(ISNA(VLOOKUP(A68,'Données projet'!$A$191:$I$211,3,0)),0,VLOOKUP(A68,'Données projet'!$A$191:$I$211,3,0))</f>
        <v>10</v>
      </c>
      <c r="ER68" s="15">
        <f>IF(ISNA(VLOOKUP(A68,'Données projet'!$A$191:$I$211,4,0)),0,VLOOKUP(A68,'Données projet'!$A$191:$I$211,4,0))</f>
        <v>293</v>
      </c>
      <c r="ES68" s="16">
        <f>IF(ISNA(VLOOKUP(A68,'Données projet'!$A$191:$I$211,5,0)),0%,VLOOKUP(A68,'Données projet'!$A$191:$I$211,5,0)*VLOOKUP('Données projet'!$B$15,Paramètres!$A$1:$I$89,7,0))</f>
        <v>0.42400000000000004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450.88049836996032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450.88049836996032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65.431171132648942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363</v>
      </c>
      <c r="FC68" s="12">
        <f>VLOOKUP(A68,'Données projet'!$A$217:$I$237,9,0)</f>
        <v>65.599999999999994</v>
      </c>
      <c r="FD68" s="12">
        <f t="array" ref="FD68">INDEX(FC:FC,MIN(IF(ISNUMBER(FC68:FC264),ROW(FC68:FC264),"")))</f>
        <v>65.599999999999994</v>
      </c>
      <c r="FE68" s="12">
        <f>IF('Données projet'!$A$218&gt;35,FE67+FD68-FM67,IF(A68&lt;'Données projet'!$A$218,$FB$205^A68,IF(A68='Données projet'!$A$218,'Données projet'!$B$218,FE67+FD68-FM67)))</f>
        <v>363</v>
      </c>
      <c r="FF68" s="17">
        <f>FE68*VLOOKUP('Données projet'!$B$16,Paramètres!$A$1:$I$89,3,0)*VLOOKUP('Données projet'!$B$16,Paramètres!$A$1:$I$89,5,0)</f>
        <v>345.43080000000003</v>
      </c>
      <c r="FG68" s="13">
        <f t="shared" si="47"/>
        <v>80.620947159836533</v>
      </c>
      <c r="FH68" s="20">
        <f t="shared" ref="FH68:FH131" si="76">(FF68+FG68)*0.475*44/12</f>
        <v>742.04012630338195</v>
      </c>
      <c r="FI68" s="59">
        <f t="shared" ref="FI68:FI131" si="77">FH68+(EZ68+FA68)*44/12</f>
        <v>1018.6210871230948</v>
      </c>
      <c r="FJ68" s="59">
        <f ca="1">AVERAGE(OFFSET($FI$3,0,0,'Données projet'!$E$16+1,1))-AVERAGE(OFFSET($H$3,0,0,'Données projet'!$E$16+1,1))</f>
        <v>290.72311302449236</v>
      </c>
      <c r="FK68" s="59">
        <f t="shared" si="48"/>
        <v>352.32552988394434</v>
      </c>
      <c r="FL68" s="15">
        <f>IF(ISNA(VLOOKUP(A68,'Données projet'!$A$217:$I$237,3,0)),0,VLOOKUP(A68,'Données projet'!$A$217:$I$237,3,0))</f>
        <v>10</v>
      </c>
      <c r="FM68" s="15">
        <f>IF(ISNA(VLOOKUP(A68,'Données projet'!$A$217:$I$237,4,0)),0,VLOOKUP(A68,'Données projet'!$A$217:$I$237,4,0))</f>
        <v>328</v>
      </c>
      <c r="FN68" s="16">
        <f>IF(ISNA(VLOOKUP(A68,'Données projet'!$A$217:$I$237,5,0)),0%,VLOOKUP(A68,'Données projet'!$A$217:$I$237,5,0)*VLOOKUP('Données projet'!$B$16,Paramètres!$A$1:$I$89,7,0))</f>
        <v>0.34400000000000003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471.14019910052252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471.14019910052252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65.431171132648942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136</v>
      </c>
      <c r="FX68" s="12">
        <f>VLOOKUP(A68,'Données projet'!$A$243:$I$263,9,0)</f>
        <v>24.4</v>
      </c>
      <c r="FY68" s="12">
        <f t="array" ref="FY68">INDEX(FX:FX,MIN(IF(ISNUMBER(FX68:FX264),ROW(FX68:FX264),"")))</f>
        <v>24.4</v>
      </c>
      <c r="FZ68" s="12">
        <f>IF('Données projet'!$A$244&gt;35,FZ67+FY68-GH67,IF(A68&lt;'Données projet'!$A$244,$FW$205^A68,IF(A68='Données projet'!$A$244,'Données projet'!$B$244,FZ67+FY68-GH67)))</f>
        <v>136</v>
      </c>
      <c r="GA68" s="17">
        <f>FZ68*VLOOKUP('Données projet'!$B$17,Paramètres!$A$1:$I$89,3,0)*VLOOKUP('Données projet'!$B$17,Paramètres!$A$1:$I$89,5,0)</f>
        <v>89.107200000000006</v>
      </c>
      <c r="GB68" s="13">
        <f t="shared" si="49"/>
        <v>24.349778356363352</v>
      </c>
      <c r="GC68" s="20">
        <f t="shared" ref="GC68:GC131" si="79">(GA68+GB68)*0.475*44/12</f>
        <v>197.6042373039995</v>
      </c>
      <c r="GD68" s="59">
        <f t="shared" ref="GD68:GD131" si="80">GC68+(FU68+FV68)*44/12</f>
        <v>474.18519812371233</v>
      </c>
      <c r="GE68" s="59">
        <f ca="1">AVERAGE(OFFSET($GD$3,0,0,'Données projet'!$E$17+1,1))-AVERAGE(OFFSET($H$3,0,0,'Données projet'!$E$17+1,1))</f>
        <v>123.03972959251965</v>
      </c>
      <c r="GF68" s="59">
        <f t="shared" si="50"/>
        <v>178.27657680839445</v>
      </c>
      <c r="GG68" s="15">
        <f>IF(ISNA(VLOOKUP(A68,'Données projet'!$A$243:$I$263,3,0)),0,VLOOKUP(A68,'Données projet'!$A$243:$I$263,3,0))</f>
        <v>11</v>
      </c>
      <c r="GH68" s="15">
        <f>IF(ISNA(VLOOKUP(A68,'Données projet'!$A$243:$I$263,4,0)),0,VLOOKUP(A68,'Données projet'!$A$243:$I$263,4,0))</f>
        <v>123</v>
      </c>
      <c r="GI68" s="16">
        <f>IF(ISNA(VLOOKUP(A68,'Données projet'!$A$243:$I$263,5,0)),0%,VLOOKUP(A68,'Données projet'!$A$243:$I$263,5,0)*VLOOKUP('Données projet'!$B$17,Paramètres!$A$1:$I$89,7,0))</f>
        <v>0.30099999999999999</v>
      </c>
      <c r="GJ68" s="16">
        <f>IF(ISNA(VLOOKUP(A68,'Données projet'!$A$243:$I$263,6,0)),0%,VLOOKUP(A68,'Données projet'!$A$243:$I$263,6,0)*VLOOKUP('Données projet'!$B$17,Paramètres!$A$1:$I$89,7,0))</f>
        <v>4.3000000000000003E-2</v>
      </c>
      <c r="GK68" s="16">
        <f>IF(ISNA(VLOOKUP(A68,'Données projet'!$A$243:$I$263,7,0)),0%,VLOOKUP(A68,'Données projet'!$A$243:$I$263,7,0))</f>
        <v>0.1</v>
      </c>
      <c r="GL68" s="21">
        <f>EXP(-LN(2)/35)*GL67+(1-EXP(-LN(2)/35))/(LN(2)/35)*GH68*GI68*VLOOKUP('Données projet'!$B$17,Paramètres!$A$1:$I$89,3,0)*0.475*44/12</f>
        <v>102.5549443021379</v>
      </c>
      <c r="GM68" s="21">
        <f>EXP(-LN(2)/25)*GM67+(1-EXP(-LN(2)/25))/(LN(2)/25)*Calculateur!GH68*Calculateur!GJ68*VLOOKUP('Données projet'!$B$17,Paramètres!$A$1:$I$89,3,0)*0.475*44/12</f>
        <v>33.632721165156589</v>
      </c>
      <c r="GN68" s="21">
        <f>EXP(-LN(2)/2)*GN67+(1-EXP(-LN(2)/2))/(LN(2)/2)*GH68*GK68*VLOOKUP('Données projet'!$B$17,Paramètres!$A$1:$I$89,3,0)*0.475*44/12</f>
        <v>9.2138602733698534</v>
      </c>
      <c r="GO68" s="21">
        <f t="shared" ref="GO68:GO131" si="81">SUM(GL68:GN68)</f>
        <v>145.40152574066434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65.431171132648942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48.9</v>
      </c>
      <c r="GU68" s="12">
        <f>IF('Données projet'!$A$270&gt;35,GU67+GT68-HC67,IF(A68&lt;'Données projet'!$A$270,$GR$205^A68,IF(A68='Données projet'!$A$270,'Données projet'!$B$270,GU67+GT68-HC67)))</f>
        <v>305.49999999999983</v>
      </c>
      <c r="GV68" s="17">
        <f>GU68*VLOOKUP('Données projet'!$B$18,Paramètres!$A$1:$I$89,3,0)*VLOOKUP('Données projet'!$B$18,Paramètres!$A$1:$I$89,5,0)</f>
        <v>204.9293999999999</v>
      </c>
      <c r="GW68" s="13">
        <f t="shared" si="51"/>
        <v>50.825960724638044</v>
      </c>
      <c r="GX68" s="20">
        <f t="shared" ref="GX68:GX131" si="82">(GV68+GW68)*0.475*44/12</f>
        <v>445.44058659541105</v>
      </c>
      <c r="GY68" s="59">
        <f t="shared" ref="GY68:GY131" si="83">GX68+(GP68+GQ68)*44/12</f>
        <v>722.02154741512391</v>
      </c>
      <c r="GZ68" s="59">
        <f ca="1">AVERAGE(OFFSET($GY$3,0,0,'Données projet'!$E$18+1,1))-AVERAGE(OFFSET($H$3,0,0,'Données projet'!$E$18+1,1))</f>
        <v>542.25674729323623</v>
      </c>
      <c r="HA68" s="59">
        <f t="shared" si="52"/>
        <v>614.73906555680685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0</v>
      </c>
      <c r="HH68" s="21">
        <f>EXP(-LN(2)/25)*HH67+(1-EXP(-LN(2)/25))/(LN(2)/25)*Calculateur!HC68*Calculateur!HE68*VLOOKUP('Données projet'!$B$18,Paramètres!$A$1:$I$89,3,0)*0.475*44/12</f>
        <v>0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0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2.8499999999999996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10.449999999999998</v>
      </c>
      <c r="H69" s="67">
        <f t="shared" si="56"/>
        <v>214.86666666666667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65.510430099126353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10.4</v>
      </c>
      <c r="N69" s="13">
        <f>IF('Données projet'!$A$36&gt;35,N68+M69-V68,IF(A69&lt;'Données projet'!$A$36,$K$205^A69,IF(A69='Données projet'!$A$36,'Données projet'!$B$36,N68+M69-V68)))</f>
        <v>686.39999999999907</v>
      </c>
      <c r="O69" s="13">
        <f>N69*VLOOKUP('Données projet'!$B$9,Paramètres!$A$1:$I$89,3,0)*VLOOKUP('Données projet'!$B$9,Paramètres!$A$1:$I$89,5,0)</f>
        <v>599.63903999999923</v>
      </c>
      <c r="P69" s="13">
        <f t="shared" ref="P69:P132" si="87">EXP(-1.0587+0.8836*LN(O69)+0.284)</f>
        <v>131.24887232528104</v>
      </c>
      <c r="Q69" s="20">
        <f t="shared" si="54"/>
        <v>1272.9631139665296</v>
      </c>
      <c r="R69" s="59">
        <f t="shared" si="55"/>
        <v>1549.8346909966594</v>
      </c>
      <c r="S69" s="59">
        <f ca="1">AVERAGE(OFFSET($R$3,0,0,'Données projet'!$E$9+1,1))-AVERAGE(OFFSET($H$3,0,0,'Données projet'!$E$9+1,1))</f>
        <v>686.80970545599644</v>
      </c>
      <c r="T69" s="59">
        <f t="shared" ref="T69:T132" si="88">$T$3</f>
        <v>636.16485232937737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65.510430099126353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8.25</v>
      </c>
      <c r="AI69" s="13">
        <f>IF('Données projet'!$A$62&gt;35,AI68+AH69-AQ68,IF(A69&lt;'Données projet'!$A$62,$AF$205^A69,IF(A69='Données projet'!$A$62,'Données projet'!$B$62,AI68+AH69-AQ68)))</f>
        <v>187.00000000000003</v>
      </c>
      <c r="AJ69" s="13">
        <f>AI69*VLOOKUP('Données projet'!$B$10,Paramètres!$A$1:$I$89,3,0)*VLOOKUP('Données projet'!$B$10,Paramètres!$A$1:$I$89,5,0)</f>
        <v>169.19760000000002</v>
      </c>
      <c r="AK69" s="13">
        <f t="shared" ref="AK69:AK132" si="89">EXP(-1.0587+0.8836*LN(AJ69)+0.284)</f>
        <v>42.910263223432885</v>
      </c>
      <c r="AL69" s="20">
        <f t="shared" si="58"/>
        <v>369.42119511414558</v>
      </c>
      <c r="AM69" s="59">
        <f t="shared" si="59"/>
        <v>646.29277214427555</v>
      </c>
      <c r="AN69" s="59">
        <f ca="1">AVERAGE(OFFSET($AM$3,0,0,'Données projet'!$E$10+1,1))-AVERAGE(OFFSET($H$3,0,0,'Données projet'!$E$10+1,1))</f>
        <v>323.67375363913726</v>
      </c>
      <c r="AO69" s="59">
        <f t="shared" ref="AO69:AO132" si="90">$AO$3</f>
        <v>266.03902815735029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16.958408538349644</v>
      </c>
      <c r="AV69" s="21">
        <f>EXP(-LN(2)/25)*AV68+(1-EXP(-LN(2)/25))/(LN(2)/25)*Calculateur!AQ69*Calculateur!AS69*VLOOKUP('Données projet'!$B$10,Paramètres!$A$1:$I$89,3,0)*0.475*44/12</f>
        <v>18.69952918887407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35.657937727223711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65.510430099126353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371.46495716091965</v>
      </c>
      <c r="BJ69" s="59">
        <f t="shared" ref="BJ69:BJ132" si="92">$BJ$3</f>
        <v>579.95059529269417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146.58980367626111</v>
      </c>
      <c r="BQ69" s="21">
        <f>EXP(-LN(2)/25)*BQ68+(1-EXP(-LN(2)/25))/(LN(2)/25)*Calculateur!BL69*Calculateur!BN69*VLOOKUP('Données projet'!$B$11,Paramètres!$A$1:$I$89,3,0)*0.475*44/12</f>
        <v>38.488558335089998</v>
      </c>
      <c r="BR69" s="21">
        <f>EXP(-LN(2)/2)*BR68+(1-EXP(-LN(2)/2))/(LN(2)/2)*BL69*BO69*VLOOKUP('Données projet'!$B$11,Paramètres!$A$1:$I$89,3,0)*0.475*44/12</f>
        <v>2.6814714328581218E-2</v>
      </c>
      <c r="BS69" s="22">
        <f t="shared" si="63"/>
        <v>185.10517672567971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65.510430099126353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180.18752244216969</v>
      </c>
      <c r="CE69" s="59">
        <f t="shared" ref="CE69:CE132" si="94">$CE$3</f>
        <v>350.12096474554676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177.0088656763146</v>
      </c>
      <c r="CL69" s="21">
        <f>EXP(-LN(2)/25)*CL68+(1-EXP(-LN(2)/25))/(LN(2)/25)*Calculateur!CG69*Calculateur!CI69*VLOOKUP('Données projet'!$B$12,Paramètres!$A$1:$I$89,3,0)*0.475*44/12</f>
        <v>68.624224069264855</v>
      </c>
      <c r="CM69" s="21">
        <f>EXP(-LN(2)/2)*CM68+(1-EXP(-LN(2)/2))/(LN(2)/2)*CG69*CJ69*VLOOKUP('Données projet'!$B$12,Paramètres!$A$1:$I$89,3,0)*0.475*44/12</f>
        <v>2.0372454175457112E-2</v>
      </c>
      <c r="CN69" s="22">
        <f t="shared" si="66"/>
        <v>245.65346219975493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65.510430099126353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70</v>
      </c>
      <c r="CT69" s="12">
        <f>IF('Données projet'!$A$140&gt;35,CT68+CS69-DB68,IF(A69&lt;'Données projet'!$A$140,$CQ$205^A69,IF(A69='Données projet'!$A$140,'Données projet'!$B$140,CT68+CS69-DB68)))</f>
        <v>86.000000000000057</v>
      </c>
      <c r="CU69" s="17">
        <f>CT69*VLOOKUP('Données projet'!$B$13,Paramètres!$A$1:$I$89,3,0)*VLOOKUP('Données projet'!$B$13,Paramètres!$A$1:$I$89,5,0)</f>
        <v>68.421600000000041</v>
      </c>
      <c r="CV69" s="13">
        <f t="shared" ref="CV69:CV132" si="95">EXP(-1.0587+0.8836*LN(CU69)+0.284)</f>
        <v>19.280966457164457</v>
      </c>
      <c r="CW69" s="20">
        <f t="shared" si="67"/>
        <v>152.74863657956149</v>
      </c>
      <c r="CX69" s="59">
        <f t="shared" si="68"/>
        <v>429.62021360969146</v>
      </c>
      <c r="CY69" s="59">
        <f ca="1">AVERAGE(OFFSET($CX$3,0,0,'Données projet'!$E$13+1,1))-AVERAGE(OFFSET($H$3,0,0,'Données projet'!$E$13+1,1))</f>
        <v>284.31574332240928</v>
      </c>
      <c r="CZ69" s="59">
        <f t="shared" ref="CZ69:CZ132" si="96">$CZ$3</f>
        <v>403.96994631683913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597.64449972651391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597.64449972651391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65.510430099126353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>
        <f>DO69*VLOOKUP('Données projet'!$B$14,Paramètres!$A$1:$I$89,3,0)*VLOOKUP('Données projet'!$B$14,Paramètres!$A$1:$I$89,5,0)</f>
        <v>0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190.9519472160006</v>
      </c>
      <c r="DU69" s="59">
        <f t="shared" ref="DU69:DU132" si="98">$DU$3</f>
        <v>170.61553500287511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159.60382681497458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159.60382681497458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65.510430099126353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63.4</v>
      </c>
      <c r="EJ69" s="12">
        <f>IF('Données projet'!$A$192&gt;35,EJ68+EI69-ER68,IF(A69&lt;'Données projet'!$A$192,$EG$205^A69,IF(A69='Données projet'!$A$192,'Données projet'!$B$192,EJ68+EI69-ER68)))</f>
        <v>98.399999999999977</v>
      </c>
      <c r="EK69" s="17">
        <f>EJ69*VLOOKUP('Données projet'!$B$15,Paramètres!$A$1:$I$89,3,0)*VLOOKUP('Données projet'!$B$15,Paramètres!$A$1:$I$89,5,0)</f>
        <v>84.427199999999985</v>
      </c>
      <c r="EL69" s="13">
        <f t="shared" ref="EL69:EL132" si="99">EXP(-1.0587+0.8836*LN(EK69)+0.284)</f>
        <v>23.216240893320119</v>
      </c>
      <c r="EM69" s="20">
        <f t="shared" si="73"/>
        <v>187.47899288919916</v>
      </c>
      <c r="EN69" s="59">
        <f t="shared" si="74"/>
        <v>464.35056991932913</v>
      </c>
      <c r="EO69" s="59">
        <f ca="1">AVERAGE(OFFSET($EN$3,0,0,'Données projet'!$E$15+1,1))-AVERAGE(OFFSET($H$3,0,0,'Données projet'!$E$15+1,1))</f>
        <v>331.94255128154623</v>
      </c>
      <c r="EP69" s="59">
        <f t="shared" ref="EP69:EP132" si="100">$EP$3</f>
        <v>258.40809812013964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442.03900680687445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442.03900680687445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65.510430099126353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70.400000000000006</v>
      </c>
      <c r="FE69" s="12">
        <f>IF('Données projet'!$A$218&gt;35,FE68+FD69-FM68,IF(A69&lt;'Données projet'!$A$218,$FB$205^A69,IF(A69='Données projet'!$A$218,'Données projet'!$B$218,FE68+FD69-FM68)))</f>
        <v>105.39999999999998</v>
      </c>
      <c r="FF69" s="17">
        <f>FE69*VLOOKUP('Données projet'!$B$16,Paramètres!$A$1:$I$89,3,0)*VLOOKUP('Données projet'!$B$16,Paramètres!$A$1:$I$89,5,0)</f>
        <v>100.29863999999998</v>
      </c>
      <c r="FG69" s="13">
        <f t="shared" ref="FG69:FG132" si="101">EXP(-1.0587+0.8836*LN(FF69)+0.284)</f>
        <v>27.033132057999246</v>
      </c>
      <c r="FH69" s="20">
        <f t="shared" si="76"/>
        <v>221.76950300101529</v>
      </c>
      <c r="FI69" s="59">
        <f t="shared" si="77"/>
        <v>498.64108003114529</v>
      </c>
      <c r="FJ69" s="59">
        <f ca="1">AVERAGE(OFFSET($FI$3,0,0,'Données projet'!$E$16+1,1))-AVERAGE(OFFSET($H$3,0,0,'Données projet'!$E$16+1,1))</f>
        <v>290.72311302449236</v>
      </c>
      <c r="FK69" s="59">
        <f t="shared" ref="FK69:FK132" si="102">$FK$3</f>
        <v>352.32552988394434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461.90142716330757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461.90142716330757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65.510430099126353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25.2</v>
      </c>
      <c r="FZ69" s="12">
        <f>IF('Données projet'!$A$244&gt;35,FZ68+FY69-GH68,IF(A69&lt;'Données projet'!$A$244,$FW$205^A69,IF(A69='Données projet'!$A$244,'Données projet'!$B$244,FZ68+FY69-GH68)))</f>
        <v>38.199999999999989</v>
      </c>
      <c r="GA69" s="17">
        <f>FZ69*VLOOKUP('Données projet'!$B$17,Paramètres!$A$1:$I$89,3,0)*VLOOKUP('Données projet'!$B$17,Paramètres!$A$1:$I$89,5,0)</f>
        <v>25.028639999999992</v>
      </c>
      <c r="GB69" s="13">
        <f t="shared" ref="GB69:GB132" si="103">EXP(-1.0587+0.8836*LN(GA69)+0.284)</f>
        <v>7.9288685965286811</v>
      </c>
      <c r="GC69" s="20">
        <f t="shared" si="79"/>
        <v>57.400994138954104</v>
      </c>
      <c r="GD69" s="59">
        <f t="shared" si="80"/>
        <v>334.27257116908407</v>
      </c>
      <c r="GE69" s="59">
        <f ca="1">AVERAGE(OFFSET($GD$3,0,0,'Données projet'!$E$17+1,1))-AVERAGE(OFFSET($H$3,0,0,'Données projet'!$E$17+1,1))</f>
        <v>123.03972959251965</v>
      </c>
      <c r="GF69" s="59">
        <f t="shared" ref="GF69:GF132" si="104">$GF$3</f>
        <v>178.27657680839445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100.54390439671246</v>
      </c>
      <c r="GM69" s="21">
        <f>EXP(-LN(2)/25)*GM68+(1-EXP(-LN(2)/25))/(LN(2)/25)*Calculateur!GH69*Calculateur!GJ69*VLOOKUP('Données projet'!$B$17,Paramètres!$A$1:$I$89,3,0)*0.475*44/12</f>
        <v>32.713032636227446</v>
      </c>
      <c r="GN69" s="21">
        <f>EXP(-LN(2)/2)*GN68+(1-EXP(-LN(2)/2))/(LN(2)/2)*GH69*GK69*VLOOKUP('Données projet'!$B$17,Paramètres!$A$1:$I$89,3,0)*0.475*44/12</f>
        <v>6.5151830802051602</v>
      </c>
      <c r="GO69" s="21">
        <f t="shared" si="81"/>
        <v>139.77212011314506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65.510430099126353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48.9</v>
      </c>
      <c r="GU69" s="12">
        <f>IF('Données projet'!$A$270&gt;35,GU68+GT69-HC68,IF(A69&lt;'Données projet'!$A$270,$GR$205^A69,IF(A69='Données projet'!$A$270,'Données projet'!$B$270,GU68+GT69-HC68)))</f>
        <v>354.39999999999981</v>
      </c>
      <c r="GV69" s="17">
        <f>GU69*VLOOKUP('Données projet'!$B$18,Paramètres!$A$1:$I$89,3,0)*VLOOKUP('Données projet'!$B$18,Paramètres!$A$1:$I$89,5,0)</f>
        <v>237.73151999999988</v>
      </c>
      <c r="GW69" s="13">
        <f t="shared" ref="GW69:GW132" si="105">EXP(-1.0587+0.8836*LN(GV69)+0.284)</f>
        <v>57.951186517491429</v>
      </c>
      <c r="GX69" s="20">
        <f t="shared" si="82"/>
        <v>514.98071385129731</v>
      </c>
      <c r="GY69" s="59">
        <f t="shared" si="83"/>
        <v>791.85229088142728</v>
      </c>
      <c r="GZ69" s="59">
        <f ca="1">AVERAGE(OFFSET($GY$3,0,0,'Données projet'!$E$18+1,1))-AVERAGE(OFFSET($H$3,0,0,'Données projet'!$E$18+1,1))</f>
        <v>542.25674729323623</v>
      </c>
      <c r="HA69" s="59">
        <f t="shared" ref="HA69:HA132" si="106">$HA$3</f>
        <v>614.73906555680685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0</v>
      </c>
      <c r="HH69" s="21">
        <f>EXP(-LN(2)/25)*HH68+(1-EXP(-LN(2)/25))/(LN(2)/25)*Calculateur!HC69*Calculateur!HE69*VLOOKUP('Données projet'!$B$18,Paramètres!$A$1:$I$89,3,0)*0.475*44/12</f>
        <v>0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0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2.8499999999999996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10.449999999999998</v>
      </c>
      <c r="H70" s="67">
        <f t="shared" si="56"/>
        <v>214.86666666666667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65.588314099731889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10.4</v>
      </c>
      <c r="N70" s="13">
        <f>IF('Données projet'!$A$36&gt;35,N69+M70-V69,IF(A70&lt;'Données projet'!$A$36,$K$205^A70,IF(A70='Données projet'!$A$36,'Données projet'!$B$36,N69+M70-V69)))</f>
        <v>696.79999999999905</v>
      </c>
      <c r="O70" s="13">
        <f>N70*VLOOKUP('Données projet'!$B$9,Paramètres!$A$1:$I$89,3,0)*VLOOKUP('Données projet'!$B$9,Paramètres!$A$1:$I$89,5,0)</f>
        <v>608.72447999999929</v>
      </c>
      <c r="P70" s="13">
        <f t="shared" si="87"/>
        <v>133.00447550468391</v>
      </c>
      <c r="Q70" s="20">
        <f t="shared" si="54"/>
        <v>1291.8445975039897</v>
      </c>
      <c r="R70" s="59">
        <f t="shared" si="55"/>
        <v>1569.0017492030065</v>
      </c>
      <c r="S70" s="59">
        <f ca="1">AVERAGE(OFFSET($R$3,0,0,'Données projet'!$E$9+1,1))-AVERAGE(OFFSET($H$3,0,0,'Données projet'!$E$9+1,1))</f>
        <v>686.80970545599644</v>
      </c>
      <c r="T70" s="59">
        <f t="shared" si="88"/>
        <v>636.16485232937737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65.588314099731889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8.25</v>
      </c>
      <c r="AI70" s="13">
        <f>IF('Données projet'!$A$62&gt;35,AI69+AH70-AQ69,IF(A70&lt;'Données projet'!$A$62,$AF$205^A70,IF(A70='Données projet'!$A$62,'Données projet'!$B$62,AI69+AH70-AQ69)))</f>
        <v>195.25000000000003</v>
      </c>
      <c r="AJ70" s="13">
        <f>AI70*VLOOKUP('Données projet'!$B$10,Paramètres!$A$1:$I$89,3,0)*VLOOKUP('Données projet'!$B$10,Paramètres!$A$1:$I$89,5,0)</f>
        <v>176.66220000000001</v>
      </c>
      <c r="AK70" s="13">
        <f t="shared" si="89"/>
        <v>44.57878014746607</v>
      </c>
      <c r="AL70" s="20">
        <f t="shared" si="58"/>
        <v>385.32804042350341</v>
      </c>
      <c r="AM70" s="59">
        <f t="shared" si="59"/>
        <v>662.4851921225204</v>
      </c>
      <c r="AN70" s="59">
        <f ca="1">AVERAGE(OFFSET($AM$3,0,0,'Données projet'!$E$10+1,1))-AVERAGE(OFFSET($H$3,0,0,'Données projet'!$E$10+1,1))</f>
        <v>323.67375363913726</v>
      </c>
      <c r="AO70" s="59">
        <f t="shared" si="90"/>
        <v>266.03902815735029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16.62586449052047</v>
      </c>
      <c r="AV70" s="21">
        <f>EXP(-LN(2)/25)*AV69+(1-EXP(-LN(2)/25))/(LN(2)/25)*Calculateur!AQ70*Calculateur!AS70*VLOOKUP('Données projet'!$B$10,Paramètres!$A$1:$I$89,3,0)*0.475*44/12</f>
        <v>18.188189579838806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34.814054070359276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65.588314099731889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371.46495716091965</v>
      </c>
      <c r="BJ70" s="59">
        <f t="shared" si="92"/>
        <v>579.95059529269417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143.71526703712127</v>
      </c>
      <c r="BQ70" s="21">
        <f>EXP(-LN(2)/25)*BQ69+(1-EXP(-LN(2)/25))/(LN(2)/25)*Calculateur!BL70*Calculateur!BN70*VLOOKUP('Données projet'!$B$11,Paramètres!$A$1:$I$89,3,0)*0.475*44/12</f>
        <v>37.436086683391643</v>
      </c>
      <c r="BR70" s="21">
        <f>EXP(-LN(2)/2)*BR69+(1-EXP(-LN(2)/2))/(LN(2)/2)*BL70*BO70*VLOOKUP('Données projet'!$B$11,Paramètres!$A$1:$I$89,3,0)*0.475*44/12</f>
        <v>1.8960866337319859E-2</v>
      </c>
      <c r="BS70" s="22">
        <f t="shared" si="63"/>
        <v>181.17031458685022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65.588314099731889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180.18752244216969</v>
      </c>
      <c r="CE70" s="59">
        <f t="shared" si="94"/>
        <v>350.12096474554676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173.53782978514951</v>
      </c>
      <c r="CL70" s="21">
        <f>EXP(-LN(2)/25)*CL69+(1-EXP(-LN(2)/25))/(LN(2)/25)*Calculateur!CG70*Calculateur!CI70*VLOOKUP('Données projet'!$B$12,Paramètres!$A$1:$I$89,3,0)*0.475*44/12</f>
        <v>66.747691053299704</v>
      </c>
      <c r="CM70" s="21">
        <f>EXP(-LN(2)/2)*CM69+(1-EXP(-LN(2)/2))/(LN(2)/2)*CG70*CJ70*VLOOKUP('Données projet'!$B$12,Paramètres!$A$1:$I$89,3,0)*0.475*44/12</f>
        <v>1.4405500496877919E-2</v>
      </c>
      <c r="CN70" s="22">
        <f t="shared" si="66"/>
        <v>240.29992633894608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65.588314099731889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70</v>
      </c>
      <c r="CT70" s="12">
        <f>IF('Données projet'!$A$140&gt;35,CT69+CS70-DB69,IF(A70&lt;'Données projet'!$A$140,$CQ$205^A70,IF(A70='Données projet'!$A$140,'Données projet'!$B$140,CT69+CS70-DB69)))</f>
        <v>156.00000000000006</v>
      </c>
      <c r="CU70" s="17">
        <f>CT70*VLOOKUP('Données projet'!$B$13,Paramètres!$A$1:$I$89,3,0)*VLOOKUP('Données projet'!$B$13,Paramètres!$A$1:$I$89,5,0)</f>
        <v>124.11360000000005</v>
      </c>
      <c r="CV70" s="13">
        <f t="shared" si="95"/>
        <v>32.632538771598028</v>
      </c>
      <c r="CW70" s="20">
        <f t="shared" si="67"/>
        <v>272.99952502720004</v>
      </c>
      <c r="CX70" s="59">
        <f t="shared" si="68"/>
        <v>550.15667672621703</v>
      </c>
      <c r="CY70" s="59">
        <f ca="1">AVERAGE(OFFSET($CX$3,0,0,'Données projet'!$E$13+1,1))-AVERAGE(OFFSET($H$3,0,0,'Données projet'!$E$13+1,1))</f>
        <v>284.31574332240928</v>
      </c>
      <c r="CZ70" s="59">
        <f t="shared" si="96"/>
        <v>403.96994631683913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585.92505561402777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585.92505561402777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65.588314099731889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>
        <f>DO70*VLOOKUP('Données projet'!$B$14,Paramètres!$A$1:$I$89,3,0)*VLOOKUP('Données projet'!$B$14,Paramètres!$A$1:$I$89,5,0)</f>
        <v>0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190.9519472160006</v>
      </c>
      <c r="DU70" s="59">
        <f t="shared" si="98"/>
        <v>170.61553500287511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156.4740931198549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156.4740931198549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65.588314099731889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63.4</v>
      </c>
      <c r="EJ70" s="12">
        <f>IF('Données projet'!$A$192&gt;35,EJ69+EI70-ER69,IF(A70&lt;'Données projet'!$A$192,$EG$205^A70,IF(A70='Données projet'!$A$192,'Données projet'!$B$192,EJ69+EI70-ER69)))</f>
        <v>161.79999999999998</v>
      </c>
      <c r="EK70" s="17">
        <f>EJ70*VLOOKUP('Données projet'!$B$15,Paramètres!$A$1:$I$89,3,0)*VLOOKUP('Données projet'!$B$15,Paramètres!$A$1:$I$89,5,0)</f>
        <v>138.8244</v>
      </c>
      <c r="EL70" s="13">
        <f t="shared" si="99"/>
        <v>36.027560013026701</v>
      </c>
      <c r="EM70" s="20">
        <f t="shared" si="73"/>
        <v>304.5338303560215</v>
      </c>
      <c r="EN70" s="59">
        <f t="shared" si="74"/>
        <v>581.69098205503838</v>
      </c>
      <c r="EO70" s="59">
        <f ca="1">AVERAGE(OFFSET($EN$3,0,0,'Données projet'!$E$15+1,1))-AVERAGE(OFFSET($H$3,0,0,'Données projet'!$E$15+1,1))</f>
        <v>331.94255128154623</v>
      </c>
      <c r="EP70" s="59">
        <f t="shared" si="100"/>
        <v>258.40809812013964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433.37089150056329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433.37089150056329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65.588314099731889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70.400000000000006</v>
      </c>
      <c r="FE70" s="12">
        <f>IF('Données projet'!$A$218&gt;35,FE69+FD70-FM69,IF(A70&lt;'Données projet'!$A$218,$FB$205^A70,IF(A70='Données projet'!$A$218,'Données projet'!$B$218,FE69+FD70-FM69)))</f>
        <v>175.79999999999998</v>
      </c>
      <c r="FF70" s="17">
        <f>FE70*VLOOKUP('Données projet'!$B$16,Paramètres!$A$1:$I$89,3,0)*VLOOKUP('Données projet'!$B$16,Paramètres!$A$1:$I$89,5,0)</f>
        <v>167.29127999999997</v>
      </c>
      <c r="FG70" s="13">
        <f t="shared" si="101"/>
        <v>42.482794466464185</v>
      </c>
      <c r="FH70" s="20">
        <f t="shared" si="76"/>
        <v>365.35651302909173</v>
      </c>
      <c r="FI70" s="59">
        <f t="shared" si="77"/>
        <v>642.51366472810867</v>
      </c>
      <c r="FJ70" s="59">
        <f ca="1">AVERAGE(OFFSET($FI$3,0,0,'Données projet'!$E$16+1,1))-AVERAGE(OFFSET($H$3,0,0,'Données projet'!$E$16+1,1))</f>
        <v>290.72311302449236</v>
      </c>
      <c r="FK70" s="59">
        <f t="shared" si="102"/>
        <v>352.32552988394434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452.84382190868695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452.84382190868695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65.588314099731889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25.2</v>
      </c>
      <c r="FZ70" s="12">
        <f>IF('Données projet'!$A$244&gt;35,FZ69+FY70-GH69,IF(A70&lt;'Données projet'!$A$244,$FW$205^A70,IF(A70='Données projet'!$A$244,'Données projet'!$B$244,FZ69+FY70-GH69)))</f>
        <v>63.399999999999991</v>
      </c>
      <c r="GA70" s="17">
        <f>FZ70*VLOOKUP('Données projet'!$B$17,Paramètres!$A$1:$I$89,3,0)*VLOOKUP('Données projet'!$B$17,Paramètres!$A$1:$I$89,5,0)</f>
        <v>41.539679999999997</v>
      </c>
      <c r="GB70" s="13">
        <f t="shared" si="103"/>
        <v>12.405837872789217</v>
      </c>
      <c r="GC70" s="20">
        <f t="shared" si="79"/>
        <v>93.955110295107872</v>
      </c>
      <c r="GD70" s="59">
        <f t="shared" si="80"/>
        <v>371.11226199412482</v>
      </c>
      <c r="GE70" s="59">
        <f ca="1">AVERAGE(OFFSET($GD$3,0,0,'Données projet'!$E$17+1,1))-AVERAGE(OFFSET($H$3,0,0,'Données projet'!$E$17+1,1))</f>
        <v>123.03972959251965</v>
      </c>
      <c r="GF70" s="59">
        <f t="shared" si="104"/>
        <v>178.27657680839445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98.572299757219199</v>
      </c>
      <c r="GM70" s="21">
        <f>EXP(-LN(2)/25)*GM69+(1-EXP(-LN(2)/25))/(LN(2)/25)*Calculateur!GH70*Calculateur!GJ70*VLOOKUP('Données projet'!$B$17,Paramètres!$A$1:$I$89,3,0)*0.475*44/12</f>
        <v>31.818493038486185</v>
      </c>
      <c r="GN70" s="21">
        <f>EXP(-LN(2)/2)*GN69+(1-EXP(-LN(2)/2))/(LN(2)/2)*GH70*GK70*VLOOKUP('Données projet'!$B$17,Paramètres!$A$1:$I$89,3,0)*0.475*44/12</f>
        <v>4.6069301366849276</v>
      </c>
      <c r="GO70" s="21">
        <f t="shared" si="81"/>
        <v>134.9977229323903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65.588314099731889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48.9</v>
      </c>
      <c r="GU70" s="12">
        <f>IF('Données projet'!$A$270&gt;35,GU69+GT70-HC69,IF(A70&lt;'Données projet'!$A$270,$GR$205^A70,IF(A70='Données projet'!$A$270,'Données projet'!$B$270,GU69+GT70-HC69)))</f>
        <v>403.29999999999978</v>
      </c>
      <c r="GV70" s="17">
        <f>GU70*VLOOKUP('Données projet'!$B$18,Paramètres!$A$1:$I$89,3,0)*VLOOKUP('Données projet'!$B$18,Paramètres!$A$1:$I$89,5,0)</f>
        <v>270.53363999999988</v>
      </c>
      <c r="GW70" s="13">
        <f t="shared" si="105"/>
        <v>64.962508146322449</v>
      </c>
      <c r="GX70" s="20">
        <f t="shared" si="82"/>
        <v>584.32245802151135</v>
      </c>
      <c r="GY70" s="59">
        <f t="shared" si="83"/>
        <v>861.47960972052829</v>
      </c>
      <c r="GZ70" s="59">
        <f ca="1">AVERAGE(OFFSET($GY$3,0,0,'Données projet'!$E$18+1,1))-AVERAGE(OFFSET($H$3,0,0,'Données projet'!$E$18+1,1))</f>
        <v>542.25674729323623</v>
      </c>
      <c r="HA70" s="59">
        <f t="shared" si="106"/>
        <v>614.73906555680685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0</v>
      </c>
      <c r="HH70" s="21">
        <f>EXP(-LN(2)/25)*HH69+(1-EXP(-LN(2)/25))/(LN(2)/25)*Calculateur!HC70*Calculateur!HE70*VLOOKUP('Données projet'!$B$18,Paramètres!$A$1:$I$89,3,0)*0.475*44/12</f>
        <v>0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0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2.8499999999999996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10.449999999999998</v>
      </c>
      <c r="H71" s="67">
        <f t="shared" si="56"/>
        <v>214.86666666666667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65.664846987049458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10.4</v>
      </c>
      <c r="N71" s="13">
        <f>IF('Données projet'!$A$36&gt;35,N70+M71-V70,IF(A71&lt;'Données projet'!$A$36,$K$205^A71,IF(A71='Données projet'!$A$36,'Données projet'!$B$36,N70+M71-V70)))</f>
        <v>707.19999999999902</v>
      </c>
      <c r="O71" s="13">
        <f>N71*VLOOKUP('Données projet'!$B$9,Paramètres!$A$1:$I$89,3,0)*VLOOKUP('Données projet'!$B$9,Paramètres!$A$1:$I$89,5,0)</f>
        <v>617.80991999999924</v>
      </c>
      <c r="P71" s="13">
        <f t="shared" si="87"/>
        <v>134.75703117936374</v>
      </c>
      <c r="Q71" s="20">
        <f t="shared" si="54"/>
        <v>1310.720773304057</v>
      </c>
      <c r="R71" s="59">
        <f t="shared" si="55"/>
        <v>1588.1585455899051</v>
      </c>
      <c r="S71" s="59">
        <f ca="1">AVERAGE(OFFSET($R$3,0,0,'Données projet'!$E$9+1,1))-AVERAGE(OFFSET($H$3,0,0,'Données projet'!$E$9+1,1))</f>
        <v>686.80970545599644</v>
      </c>
      <c r="T71" s="59">
        <f t="shared" si="88"/>
        <v>636.16485232937737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65.664846987049458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8.25</v>
      </c>
      <c r="AI71" s="13">
        <f>IF('Données projet'!$A$62&gt;35,AI70+AH71-AQ70,IF(A71&lt;'Données projet'!$A$62,$AF$205^A71,IF(A71='Données projet'!$A$62,'Données projet'!$B$62,AI70+AH71-AQ70)))</f>
        <v>203.50000000000003</v>
      </c>
      <c r="AJ71" s="13">
        <f>AI71*VLOOKUP('Données projet'!$B$10,Paramètres!$A$1:$I$89,3,0)*VLOOKUP('Données projet'!$B$10,Paramètres!$A$1:$I$89,5,0)</f>
        <v>184.12680000000003</v>
      </c>
      <c r="AK71" s="13">
        <f t="shared" si="89"/>
        <v>46.239108362516738</v>
      </c>
      <c r="AL71" s="20">
        <f t="shared" si="58"/>
        <v>401.22062373138334</v>
      </c>
      <c r="AM71" s="59">
        <f t="shared" si="59"/>
        <v>678.65839601723133</v>
      </c>
      <c r="AN71" s="59">
        <f ca="1">AVERAGE(OFFSET($AM$3,0,0,'Données projet'!$E$10+1,1))-AVERAGE(OFFSET($H$3,0,0,'Données projet'!$E$10+1,1))</f>
        <v>323.67375363913726</v>
      </c>
      <c r="AO71" s="59">
        <f t="shared" si="90"/>
        <v>266.03902815735029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16.299841428637386</v>
      </c>
      <c r="AV71" s="21">
        <f>EXP(-LN(2)/25)*AV70+(1-EXP(-LN(2)/25))/(LN(2)/25)*Calculateur!AQ71*Calculateur!AS71*VLOOKUP('Données projet'!$B$10,Paramètres!$A$1:$I$89,3,0)*0.475*44/12</f>
        <v>17.690832579302793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33.990674007940179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65.664846987049458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371.46495716091965</v>
      </c>
      <c r="BJ71" s="59">
        <f t="shared" si="92"/>
        <v>579.95059529269417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140.89709830818074</v>
      </c>
      <c r="BQ71" s="21">
        <f>EXP(-LN(2)/25)*BQ70+(1-EXP(-LN(2)/25))/(LN(2)/25)*Calculateur!BL71*Calculateur!BN71*VLOOKUP('Données projet'!$B$11,Paramètres!$A$1:$I$89,3,0)*0.475*44/12</f>
        <v>36.412394924356065</v>
      </c>
      <c r="BR71" s="21">
        <f>EXP(-LN(2)/2)*BR70+(1-EXP(-LN(2)/2))/(LN(2)/2)*BL71*BO71*VLOOKUP('Données projet'!$B$11,Paramètres!$A$1:$I$89,3,0)*0.475*44/12</f>
        <v>1.3407357164290609E-2</v>
      </c>
      <c r="BS71" s="22">
        <f t="shared" si="63"/>
        <v>177.32290058970108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65.664846987049458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180.18752244216969</v>
      </c>
      <c r="CE71" s="59">
        <f t="shared" si="94"/>
        <v>350.12096474554676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170.1348587906873</v>
      </c>
      <c r="CL71" s="21">
        <f>EXP(-LN(2)/25)*CL70+(1-EXP(-LN(2)/25))/(LN(2)/25)*Calculateur!CG71*Calculateur!CI71*VLOOKUP('Données projet'!$B$12,Paramètres!$A$1:$I$89,3,0)*0.475*44/12</f>
        <v>64.922471931338706</v>
      </c>
      <c r="CM71" s="21">
        <f>EXP(-LN(2)/2)*CM70+(1-EXP(-LN(2)/2))/(LN(2)/2)*CG71*CJ71*VLOOKUP('Données projet'!$B$12,Paramètres!$A$1:$I$89,3,0)*0.475*44/12</f>
        <v>1.0186227087728556E-2</v>
      </c>
      <c r="CN71" s="22">
        <f t="shared" si="66"/>
        <v>235.06751694911372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65.664846987049458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70</v>
      </c>
      <c r="CT71" s="12">
        <f>IF('Données projet'!$A$140&gt;35,CT70+CS71-DB70,IF(A71&lt;'Données projet'!$A$140,$CQ$205^A71,IF(A71='Données projet'!$A$140,'Données projet'!$B$140,CT70+CS71-DB70)))</f>
        <v>226.00000000000006</v>
      </c>
      <c r="CU71" s="17">
        <f>CT71*VLOOKUP('Données projet'!$B$13,Paramètres!$A$1:$I$89,3,0)*VLOOKUP('Données projet'!$B$13,Paramètres!$A$1:$I$89,5,0)</f>
        <v>179.80560000000006</v>
      </c>
      <c r="CV71" s="13">
        <f t="shared" si="95"/>
        <v>45.278933028529984</v>
      </c>
      <c r="CW71" s="20">
        <f t="shared" si="67"/>
        <v>392.02222835802314</v>
      </c>
      <c r="CX71" s="59">
        <f t="shared" si="68"/>
        <v>669.46000064387113</v>
      </c>
      <c r="CY71" s="59">
        <f ca="1">AVERAGE(OFFSET($CX$3,0,0,'Données projet'!$E$13+1,1))-AVERAGE(OFFSET($H$3,0,0,'Données projet'!$E$13+1,1))</f>
        <v>284.31574332240928</v>
      </c>
      <c r="CZ71" s="59">
        <f t="shared" si="96"/>
        <v>403.96994631683913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574.43542265243241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574.43542265243241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65.664846987049458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>
        <f>DO71*VLOOKUP('Données projet'!$B$14,Paramètres!$A$1:$I$89,3,0)*VLOOKUP('Données projet'!$B$14,Paramètres!$A$1:$I$89,5,0)</f>
        <v>0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190.9519472160006</v>
      </c>
      <c r="DU71" s="59">
        <f t="shared" si="98"/>
        <v>170.61553500287511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153.40573159354744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153.40573159354744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65.664846987049458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63.4</v>
      </c>
      <c r="EJ71" s="12">
        <f>IF('Données projet'!$A$192&gt;35,EJ70+EI71-ER70,IF(A71&lt;'Données projet'!$A$192,$EG$205^A71,IF(A71='Données projet'!$A$192,'Données projet'!$B$192,EJ70+EI71-ER70)))</f>
        <v>225.2</v>
      </c>
      <c r="EK71" s="17">
        <f>EJ71*VLOOKUP('Données projet'!$B$15,Paramètres!$A$1:$I$89,3,0)*VLOOKUP('Données projet'!$B$15,Paramètres!$A$1:$I$89,5,0)</f>
        <v>193.2216</v>
      </c>
      <c r="EL71" s="13">
        <f t="shared" si="99"/>
        <v>48.251504398341659</v>
      </c>
      <c r="EM71" s="20">
        <f t="shared" si="73"/>
        <v>420.5656568271117</v>
      </c>
      <c r="EN71" s="59">
        <f t="shared" si="74"/>
        <v>698.00342911295968</v>
      </c>
      <c r="EO71" s="59">
        <f ca="1">AVERAGE(OFFSET($EN$3,0,0,'Données projet'!$E$15+1,1))-AVERAGE(OFFSET($H$3,0,0,'Données projet'!$E$15+1,1))</f>
        <v>331.94255128154623</v>
      </c>
      <c r="EP71" s="59">
        <f t="shared" si="100"/>
        <v>258.40809812013964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424.87275264838064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424.87275264838064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65.664846987049458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70.400000000000006</v>
      </c>
      <c r="FE71" s="12">
        <f>IF('Données projet'!$A$218&gt;35,FE70+FD71-FM70,IF(A71&lt;'Données projet'!$A$218,$FB$205^A71,IF(A71='Données projet'!$A$218,'Données projet'!$B$218,FE70+FD71-FM70)))</f>
        <v>246.2</v>
      </c>
      <c r="FF71" s="17">
        <f>FE71*VLOOKUP('Données projet'!$B$16,Paramètres!$A$1:$I$89,3,0)*VLOOKUP('Données projet'!$B$16,Paramètres!$A$1:$I$89,5,0)</f>
        <v>234.28391999999999</v>
      </c>
      <c r="FG71" s="13">
        <f t="shared" si="101"/>
        <v>57.207967976960916</v>
      </c>
      <c r="FH71" s="20">
        <f t="shared" si="76"/>
        <v>507.68170489320693</v>
      </c>
      <c r="FI71" s="59">
        <f t="shared" si="77"/>
        <v>785.11947717905491</v>
      </c>
      <c r="FJ71" s="59">
        <f ca="1">AVERAGE(OFFSET($FI$3,0,0,'Données projet'!$E$16+1,1))-AVERAGE(OFFSET($H$3,0,0,'Données projet'!$E$16+1,1))</f>
        <v>290.72311302449236</v>
      </c>
      <c r="FK71" s="59">
        <f t="shared" si="102"/>
        <v>352.32552988394434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443.96383076851572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443.96383076851572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65.664846987049458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25.2</v>
      </c>
      <c r="FZ71" s="12">
        <f>IF('Données projet'!$A$244&gt;35,FZ70+FY71-GH70,IF(A71&lt;'Données projet'!$A$244,$FW$205^A71,IF(A71='Données projet'!$A$244,'Données projet'!$B$244,FZ70+FY71-GH70)))</f>
        <v>88.6</v>
      </c>
      <c r="GA71" s="17">
        <f>FZ71*VLOOKUP('Données projet'!$B$17,Paramètres!$A$1:$I$89,3,0)*VLOOKUP('Données projet'!$B$17,Paramètres!$A$1:$I$89,5,0)</f>
        <v>58.050719999999998</v>
      </c>
      <c r="GB71" s="13">
        <f t="shared" si="103"/>
        <v>16.674486545071225</v>
      </c>
      <c r="GC71" s="20">
        <f t="shared" si="79"/>
        <v>130.14640139933238</v>
      </c>
      <c r="GD71" s="59">
        <f t="shared" si="80"/>
        <v>407.58417368518036</v>
      </c>
      <c r="GE71" s="59">
        <f ca="1">AVERAGE(OFFSET($GD$3,0,0,'Données projet'!$E$17+1,1))-AVERAGE(OFFSET($H$3,0,0,'Données projet'!$E$17+1,1))</f>
        <v>123.03972959251965</v>
      </c>
      <c r="GF71" s="59">
        <f t="shared" si="104"/>
        <v>178.27657680839445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96.639357082146319</v>
      </c>
      <c r="GM71" s="21">
        <f>EXP(-LN(2)/25)*GM70+(1-EXP(-LN(2)/25))/(LN(2)/25)*Calculateur!GH71*Calculateur!GJ71*VLOOKUP('Données projet'!$B$17,Paramètres!$A$1:$I$89,3,0)*0.475*44/12</f>
        <v>30.948414673086955</v>
      </c>
      <c r="GN71" s="21">
        <f>EXP(-LN(2)/2)*GN70+(1-EXP(-LN(2)/2))/(LN(2)/2)*GH71*GK71*VLOOKUP('Données projet'!$B$17,Paramètres!$A$1:$I$89,3,0)*0.475*44/12</f>
        <v>3.2575915401025806</v>
      </c>
      <c r="GO71" s="21">
        <f t="shared" si="81"/>
        <v>130.84536329533586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65.664846987049458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48.9</v>
      </c>
      <c r="GU71" s="12">
        <f>IF('Données projet'!$A$270&gt;35,GU70+GT71-HC70,IF(A71&lt;'Données projet'!$A$270,$GR$205^A71,IF(A71='Données projet'!$A$270,'Données projet'!$B$270,GU70+GT71-HC70)))</f>
        <v>452.19999999999976</v>
      </c>
      <c r="GV71" s="17">
        <f>GU71*VLOOKUP('Données projet'!$B$18,Paramètres!$A$1:$I$89,3,0)*VLOOKUP('Données projet'!$B$18,Paramètres!$A$1:$I$89,5,0)</f>
        <v>303.33575999999982</v>
      </c>
      <c r="GW71" s="13">
        <f t="shared" si="105"/>
        <v>71.875316215828704</v>
      </c>
      <c r="GX71" s="20">
        <f t="shared" si="82"/>
        <v>653.49262440923462</v>
      </c>
      <c r="GY71" s="59">
        <f t="shared" si="83"/>
        <v>930.93039669508266</v>
      </c>
      <c r="GZ71" s="59">
        <f ca="1">AVERAGE(OFFSET($GY$3,0,0,'Données projet'!$E$18+1,1))-AVERAGE(OFFSET($H$3,0,0,'Données projet'!$E$18+1,1))</f>
        <v>542.25674729323623</v>
      </c>
      <c r="HA71" s="59">
        <f t="shared" si="106"/>
        <v>614.73906555680685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0</v>
      </c>
      <c r="HH71" s="21">
        <f>EXP(-LN(2)/25)*HH70+(1-EXP(-LN(2)/25))/(LN(2)/25)*Calculateur!HC71*Calculateur!HE71*VLOOKUP('Données projet'!$B$18,Paramètres!$A$1:$I$89,3,0)*0.475*44/12</f>
        <v>0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0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2.8499999999999996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10.449999999999998</v>
      </c>
      <c r="H72" s="67">
        <f t="shared" si="56"/>
        <v>214.86666666666667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65.740052199873972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10.4</v>
      </c>
      <c r="N72" s="13">
        <f>IF('Données projet'!$A$36&gt;35,N71+M72-V71,IF(A72&lt;'Données projet'!$A$36,$K$205^A72,IF(A72='Données projet'!$A$36,'Données projet'!$B$36,N71+M72-V71)))</f>
        <v>717.599999999999</v>
      </c>
      <c r="O72" s="13">
        <f>N72*VLOOKUP('Données projet'!$B$9,Paramètres!$A$1:$I$89,3,0)*VLOOKUP('Données projet'!$B$9,Paramètres!$A$1:$I$89,5,0)</f>
        <v>626.89535999999919</v>
      </c>
      <c r="P72" s="13">
        <f t="shared" si="87"/>
        <v>136.50658934300751</v>
      </c>
      <c r="Q72" s="20">
        <f t="shared" si="54"/>
        <v>1329.5917284390698</v>
      </c>
      <c r="R72" s="59">
        <f t="shared" si="55"/>
        <v>1607.3052531719411</v>
      </c>
      <c r="S72" s="59">
        <f ca="1">AVERAGE(OFFSET($R$3,0,0,'Données projet'!$E$9+1,1))-AVERAGE(OFFSET($H$3,0,0,'Données projet'!$E$9+1,1))</f>
        <v>686.80970545599644</v>
      </c>
      <c r="T72" s="59">
        <f t="shared" si="88"/>
        <v>636.16485232937737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65.740052199873972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8.25</v>
      </c>
      <c r="AI72" s="13">
        <f>IF('Données projet'!$A$62&gt;35,AI71+AH72-AQ71,IF(A72&lt;'Données projet'!$A$62,$AF$205^A72,IF(A72='Données projet'!$A$62,'Données projet'!$B$62,AI71+AH72-AQ71)))</f>
        <v>211.75000000000003</v>
      </c>
      <c r="AJ72" s="13">
        <f>AI72*VLOOKUP('Données projet'!$B$10,Paramètres!$A$1:$I$89,3,0)*VLOOKUP('Données projet'!$B$10,Paramètres!$A$1:$I$89,5,0)</f>
        <v>191.59140000000002</v>
      </c>
      <c r="AK72" s="13">
        <f t="shared" si="89"/>
        <v>47.891617818612843</v>
      </c>
      <c r="AL72" s="20">
        <f t="shared" si="58"/>
        <v>417.09958936741742</v>
      </c>
      <c r="AM72" s="59">
        <f t="shared" si="59"/>
        <v>694.81311410028866</v>
      </c>
      <c r="AN72" s="59">
        <f ca="1">AVERAGE(OFFSET($AM$3,0,0,'Données projet'!$E$10+1,1))-AVERAGE(OFFSET($H$3,0,0,'Données projet'!$E$10+1,1))</f>
        <v>323.67375363913726</v>
      </c>
      <c r="AO72" s="59">
        <f t="shared" si="90"/>
        <v>266.03902815735029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15.980211480143394</v>
      </c>
      <c r="AV72" s="21">
        <f>EXP(-LN(2)/25)*AV71+(1-EXP(-LN(2)/25))/(LN(2)/25)*Calculateur!AQ72*Calculateur!AS72*VLOOKUP('Données projet'!$B$10,Paramètres!$A$1:$I$89,3,0)*0.475*44/12</f>
        <v>17.207075832101307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33.187287312244699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65.740052199873972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371.46495716091965</v>
      </c>
      <c r="BJ72" s="59">
        <f t="shared" si="92"/>
        <v>579.95059529269417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138.13419214910155</v>
      </c>
      <c r="BQ72" s="21">
        <f>EXP(-LN(2)/25)*BQ71+(1-EXP(-LN(2)/25))/(LN(2)/25)*Calculateur!BL72*Calculateur!BN72*VLOOKUP('Données projet'!$B$11,Paramètres!$A$1:$I$89,3,0)*0.475*44/12</f>
        <v>35.416696070304923</v>
      </c>
      <c r="BR72" s="21">
        <f>EXP(-LN(2)/2)*BR71+(1-EXP(-LN(2)/2))/(LN(2)/2)*BL72*BO72*VLOOKUP('Données projet'!$B$11,Paramètres!$A$1:$I$89,3,0)*0.475*44/12</f>
        <v>9.4804331686599297E-3</v>
      </c>
      <c r="BS72" s="22">
        <f t="shared" si="63"/>
        <v>173.56036865257514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65.740052199873972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180.18752244216969</v>
      </c>
      <c r="CE72" s="59">
        <f t="shared" si="94"/>
        <v>350.12096474554676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166.79861798181915</v>
      </c>
      <c r="CL72" s="21">
        <f>EXP(-LN(2)/25)*CL71+(1-EXP(-LN(2)/25))/(LN(2)/25)*Calculateur!CG72*Calculateur!CI72*VLOOKUP('Données projet'!$B$12,Paramètres!$A$1:$I$89,3,0)*0.475*44/12</f>
        <v>63.14716352225183</v>
      </c>
      <c r="CM72" s="21">
        <f>EXP(-LN(2)/2)*CM71+(1-EXP(-LN(2)/2))/(LN(2)/2)*CG72*CJ72*VLOOKUP('Données projet'!$B$12,Paramètres!$A$1:$I$89,3,0)*0.475*44/12</f>
        <v>7.2027502484389595E-3</v>
      </c>
      <c r="CN72" s="22">
        <f t="shared" si="66"/>
        <v>229.9529842543194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65.740052199873972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70</v>
      </c>
      <c r="CT72" s="12">
        <f>IF('Données projet'!$A$140&gt;35,CT71+CS72-DB71,IF(A72&lt;'Données projet'!$A$140,$CQ$205^A72,IF(A72='Données projet'!$A$140,'Données projet'!$B$140,CT71+CS72-DB71)))</f>
        <v>296.00000000000006</v>
      </c>
      <c r="CU72" s="17">
        <f>CT72*VLOOKUP('Données projet'!$B$13,Paramètres!$A$1:$I$89,3,0)*VLOOKUP('Données projet'!$B$13,Paramètres!$A$1:$I$89,5,0)</f>
        <v>235.49760000000006</v>
      </c>
      <c r="CV72" s="13">
        <f t="shared" si="95"/>
        <v>57.469752059083923</v>
      </c>
      <c r="CW72" s="20">
        <f t="shared" si="67"/>
        <v>510.25147150290451</v>
      </c>
      <c r="CX72" s="59">
        <f t="shared" si="68"/>
        <v>787.96499623577574</v>
      </c>
      <c r="CY72" s="59">
        <f ca="1">AVERAGE(OFFSET($CX$3,0,0,'Données projet'!$E$13+1,1))-AVERAGE(OFFSET($H$3,0,0,'Données projet'!$E$13+1,1))</f>
        <v>284.31574332240928</v>
      </c>
      <c r="CZ72" s="59">
        <f t="shared" si="96"/>
        <v>403.96994631683913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563.17109438522971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563.17109438522971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65.740052199873972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>
        <f>DO72*VLOOKUP('Données projet'!$B$14,Paramètres!$A$1:$I$89,3,0)*VLOOKUP('Données projet'!$B$14,Paramètres!$A$1:$I$89,5,0)</f>
        <v>0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190.9519472160006</v>
      </c>
      <c r="DU72" s="59">
        <f t="shared" si="98"/>
        <v>170.61553500287511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150.39753876525515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150.39753876525515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65.740052199873972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63.4</v>
      </c>
      <c r="EJ72" s="12">
        <f>IF('Données projet'!$A$192&gt;35,EJ71+EI72-ER71,IF(A72&lt;'Données projet'!$A$192,$EG$205^A72,IF(A72='Données projet'!$A$192,'Données projet'!$B$192,EJ71+EI72-ER71)))</f>
        <v>288.59999999999997</v>
      </c>
      <c r="EK72" s="17">
        <f>EJ72*VLOOKUP('Données projet'!$B$15,Paramètres!$A$1:$I$89,3,0)*VLOOKUP('Données projet'!$B$15,Paramètres!$A$1:$I$89,5,0)</f>
        <v>247.61879999999999</v>
      </c>
      <c r="EL72" s="13">
        <f t="shared" si="99"/>
        <v>60.075759045345535</v>
      </c>
      <c r="EM72" s="20">
        <f t="shared" si="73"/>
        <v>535.90135700397673</v>
      </c>
      <c r="EN72" s="59">
        <f t="shared" si="74"/>
        <v>813.61488173684802</v>
      </c>
      <c r="EO72" s="59">
        <f ca="1">AVERAGE(OFFSET($EN$3,0,0,'Données projet'!$E$15+1,1))-AVERAGE(OFFSET($H$3,0,0,'Données projet'!$E$15+1,1))</f>
        <v>331.94255128154623</v>
      </c>
      <c r="EP72" s="59">
        <f t="shared" si="100"/>
        <v>258.40809812013964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416.54125711573641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416.54125711573641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65.740052199873972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70.400000000000006</v>
      </c>
      <c r="FE72" s="12">
        <f>IF('Données projet'!$A$218&gt;35,FE71+FD72-FM71,IF(A72&lt;'Données projet'!$A$218,$FB$205^A72,IF(A72='Données projet'!$A$218,'Données projet'!$B$218,FE71+FD72-FM71)))</f>
        <v>316.60000000000002</v>
      </c>
      <c r="FF72" s="17">
        <f>FE72*VLOOKUP('Données projet'!$B$16,Paramètres!$A$1:$I$89,3,0)*VLOOKUP('Données projet'!$B$16,Paramètres!$A$1:$I$89,5,0)</f>
        <v>301.27656000000002</v>
      </c>
      <c r="FG72" s="13">
        <f t="shared" si="101"/>
        <v>71.4440133137998</v>
      </c>
      <c r="FH72" s="20">
        <f t="shared" si="76"/>
        <v>649.15499852153471</v>
      </c>
      <c r="FI72" s="59">
        <f t="shared" si="77"/>
        <v>926.868523254406</v>
      </c>
      <c r="FJ72" s="59">
        <f ca="1">AVERAGE(OFFSET($FI$3,0,0,'Données projet'!$E$16+1,1))-AVERAGE(OFFSET($H$3,0,0,'Données projet'!$E$16+1,1))</f>
        <v>290.72311302449236</v>
      </c>
      <c r="FK72" s="59">
        <f t="shared" si="102"/>
        <v>352.32552988394434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435.25797083834351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435.25797083834351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65.740052199873972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25.2</v>
      </c>
      <c r="FZ72" s="12">
        <f>IF('Données projet'!$A$244&gt;35,FZ71+FY72-GH71,IF(A72&lt;'Données projet'!$A$244,$FW$205^A72,IF(A72='Données projet'!$A$244,'Données projet'!$B$244,FZ71+FY72-GH71)))</f>
        <v>113.8</v>
      </c>
      <c r="GA72" s="17">
        <f>FZ72*VLOOKUP('Données projet'!$B$17,Paramètres!$A$1:$I$89,3,0)*VLOOKUP('Données projet'!$B$17,Paramètres!$A$1:$I$89,5,0)</f>
        <v>74.561760000000007</v>
      </c>
      <c r="GB72" s="13">
        <f t="shared" si="103"/>
        <v>20.802107469214075</v>
      </c>
      <c r="GC72" s="20">
        <f t="shared" si="79"/>
        <v>166.09206917554786</v>
      </c>
      <c r="GD72" s="59">
        <f t="shared" si="80"/>
        <v>443.8055939084191</v>
      </c>
      <c r="GE72" s="59">
        <f ca="1">AVERAGE(OFFSET($GD$3,0,0,'Données projet'!$E$17+1,1))-AVERAGE(OFFSET($H$3,0,0,'Données projet'!$E$17+1,1))</f>
        <v>123.03972959251965</v>
      </c>
      <c r="GF72" s="59">
        <f t="shared" si="104"/>
        <v>178.27657680839445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94.744318233952995</v>
      </c>
      <c r="GM72" s="21">
        <f>EXP(-LN(2)/25)*GM71+(1-EXP(-LN(2)/25))/(LN(2)/25)*Calculateur!GH72*Calculateur!GJ72*VLOOKUP('Données projet'!$B$17,Paramètres!$A$1:$I$89,3,0)*0.475*44/12</f>
        <v>30.102128646344998</v>
      </c>
      <c r="GN72" s="21">
        <f>EXP(-LN(2)/2)*GN71+(1-EXP(-LN(2)/2))/(LN(2)/2)*GH72*GK72*VLOOKUP('Données projet'!$B$17,Paramètres!$A$1:$I$89,3,0)*0.475*44/12</f>
        <v>2.3034650683424638</v>
      </c>
      <c r="GO72" s="21">
        <f t="shared" si="81"/>
        <v>127.14991194864045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65.740052199873972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48.9</v>
      </c>
      <c r="GU72" s="12">
        <f>IF('Données projet'!$A$270&gt;35,GU71+GT72-HC71,IF(A72&lt;'Données projet'!$A$270,$GR$205^A72,IF(A72='Données projet'!$A$270,'Données projet'!$B$270,GU71+GT72-HC71)))</f>
        <v>501.09999999999974</v>
      </c>
      <c r="GV72" s="17">
        <f>GU72*VLOOKUP('Données projet'!$B$18,Paramètres!$A$1:$I$89,3,0)*VLOOKUP('Données projet'!$B$18,Paramètres!$A$1:$I$89,5,0)</f>
        <v>336.13787999999983</v>
      </c>
      <c r="GW72" s="13">
        <f t="shared" si="105"/>
        <v>78.701478213622437</v>
      </c>
      <c r="GX72" s="20">
        <f t="shared" si="82"/>
        <v>722.51188222205883</v>
      </c>
      <c r="GY72" s="59">
        <f t="shared" si="83"/>
        <v>1000.2254069549301</v>
      </c>
      <c r="GZ72" s="59">
        <f ca="1">AVERAGE(OFFSET($GY$3,0,0,'Données projet'!$E$18+1,1))-AVERAGE(OFFSET($H$3,0,0,'Données projet'!$E$18+1,1))</f>
        <v>542.25674729323623</v>
      </c>
      <c r="HA72" s="59">
        <f t="shared" si="106"/>
        <v>614.73906555680685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0</v>
      </c>
      <c r="HH72" s="21">
        <f>EXP(-LN(2)/25)*HH71+(1-EXP(-LN(2)/25))/(LN(2)/25)*Calculateur!HC72*Calculateur!HE72*VLOOKUP('Données projet'!$B$18,Paramètres!$A$1:$I$89,3,0)*0.475*44/12</f>
        <v>0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0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2.8499999999999996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10.449999999999998</v>
      </c>
      <c r="H73" s="67">
        <f t="shared" si="56"/>
        <v>214.86666666666667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65.813952770389648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728</v>
      </c>
      <c r="L73" s="12">
        <f>VLOOKUP(A73,'Données projet'!$A$35:$I$55,9,0)</f>
        <v>10.4</v>
      </c>
      <c r="M73" s="12">
        <f t="array" ref="M73">INDEX(L:L,MIN(IF(ISNUMBER(L73:L269),ROW(L73:L269),"")))</f>
        <v>10.4</v>
      </c>
      <c r="N73" s="13">
        <f>IF('Données projet'!$A$36&gt;35,N72+M73-V72,IF(A73&lt;'Données projet'!$A$36,$K$205^A73,IF(A73='Données projet'!$A$36,'Données projet'!$B$36,N72+M73-V72)))</f>
        <v>727.99999999999898</v>
      </c>
      <c r="O73" s="13">
        <f>N73*VLOOKUP('Données projet'!$B$9,Paramètres!$A$1:$I$89,3,0)*VLOOKUP('Données projet'!$B$9,Paramètres!$A$1:$I$89,5,0)</f>
        <v>635.98079999999914</v>
      </c>
      <c r="P73" s="13">
        <f t="shared" si="87"/>
        <v>138.25319845700528</v>
      </c>
      <c r="Q73" s="20">
        <f t="shared" si="54"/>
        <v>1348.457547312616</v>
      </c>
      <c r="R73" s="59">
        <f t="shared" si="55"/>
        <v>1626.4420408040448</v>
      </c>
      <c r="S73" s="59">
        <f ca="1">AVERAGE(OFFSET($R$3,0,0,'Données projet'!$E$9+1,1))-AVERAGE(OFFSET($H$3,0,0,'Données projet'!$E$9+1,1))</f>
        <v>686.80970545599644</v>
      </c>
      <c r="T73" s="59">
        <f t="shared" si="88"/>
        <v>636.16485232937737</v>
      </c>
      <c r="U73" s="15">
        <f>IF(ISNA(VLOOKUP(A73,'Données projet'!$A$35:$I$55,3,0)),0,VLOOKUP(A73,'Données projet'!$A$35:$I$55,3,0))</f>
        <v>1</v>
      </c>
      <c r="V73" s="15">
        <f>IF(ISNA(VLOOKUP(A73,'Données projet'!$A$35:$I$55,4,0)),0,VLOOKUP(A73,'Données projet'!$A$35:$I$55,4,0))</f>
        <v>728</v>
      </c>
      <c r="W73" s="16">
        <f>IF(ISNA(VLOOKUP(A73,'Données projet'!$A$35:$I$55,5,0)),0%,VLOOKUP(A73,'Données projet'!$A$35:$I$55,5,0)*VLOOKUP('Données projet'!$B$9,Paramètres!$A$1:$I$89,7,0))</f>
        <v>0.30099999999999999</v>
      </c>
      <c r="X73" s="16">
        <f>IF(ISNA(VLOOKUP(A73,'Données projet'!$A$35:$I$55,6,0)),0%,VLOOKUP(A73,'Données projet'!$A$35:$I$55,6,0)*VLOOKUP('Données projet'!$B$9,Paramètres!$A$1:$I$89,7,0))</f>
        <v>4.3000000000000003E-2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211.62043884185246</v>
      </c>
      <c r="AA73" s="21">
        <f>EXP(-LN(2)/25)*AA72+(1-EXP(-LN(2)/25))/(LN(2)/25)*Calculateur!V73*Calculateur!X73*VLOOKUP('Données projet'!$B$9,Paramètres!$A$1:$I$89,3,0)*0.475*44/12</f>
        <v>30.112458362917611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241.73289720477007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65.813952770389648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220</v>
      </c>
      <c r="AG73" s="12">
        <f>VLOOKUP(A73,'Données projet'!$A$61:$I$81,9,0)</f>
        <v>8.25</v>
      </c>
      <c r="AH73" s="12">
        <f t="array" ref="AH73">INDEX(AG:AG,MIN(IF(ISNUMBER(AG73:AG269),ROW(AG73:AG269),"")))</f>
        <v>8.25</v>
      </c>
      <c r="AI73" s="13">
        <f>IF('Données projet'!$A$62&gt;35,AI72+AH73-AQ72,IF(A73&lt;'Données projet'!$A$62,$AF$205^A73,IF(A73='Données projet'!$A$62,'Données projet'!$B$62,AI72+AH73-AQ72)))</f>
        <v>220.00000000000003</v>
      </c>
      <c r="AJ73" s="13">
        <f>AI73*VLOOKUP('Données projet'!$B$10,Paramètres!$A$1:$I$89,3,0)*VLOOKUP('Données projet'!$B$10,Paramètres!$A$1:$I$89,5,0)</f>
        <v>199.05600000000001</v>
      </c>
      <c r="AK73" s="13">
        <f t="shared" si="89"/>
        <v>49.536648006253934</v>
      </c>
      <c r="AL73" s="20">
        <f t="shared" si="58"/>
        <v>432.96552861089231</v>
      </c>
      <c r="AM73" s="59">
        <f t="shared" si="59"/>
        <v>710.9500221023211</v>
      </c>
      <c r="AN73" s="59">
        <f ca="1">AVERAGE(OFFSET($AM$3,0,0,'Données projet'!$E$10+1,1))-AVERAGE(OFFSET($H$3,0,0,'Données projet'!$E$10+1,1))</f>
        <v>323.67375363913726</v>
      </c>
      <c r="AO73" s="59">
        <f t="shared" si="90"/>
        <v>266.03902815735029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53</v>
      </c>
      <c r="AR73" s="16">
        <f>IF(ISNA(VLOOKUP(A73,'Données projet'!$A$61:$I$81,5,0)),0%,VLOOKUP(A73,'Données projet'!$A$61:$I$81,5,0)*VLOOKUP('Données projet'!$B$10,Paramètres!$A$1:$I$89,7,0))</f>
        <v>0.215</v>
      </c>
      <c r="AS73" s="16">
        <f>IF(ISNA(VLOOKUP(A73,'Données projet'!$A$61:$I$81,6,0)),0%,VLOOKUP(A73,'Données projet'!$A$61:$I$81,6,0)*VLOOKUP('Données projet'!$B$10,Paramètres!$A$1:$I$89,7,0))</f>
        <v>0.17200000000000001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27.064465565163456</v>
      </c>
      <c r="AV73" s="21">
        <f>EXP(-LN(2)/25)*AV72+(1-EXP(-LN(2)/25))/(LN(2)/25)*Calculateur!AQ73*Calculateur!AS73*VLOOKUP('Données projet'!$B$10,Paramètres!$A$1:$I$89,3,0)*0.475*44/12</f>
        <v>25.818739060217368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52.883204625380827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65.813952770389648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371.46495716091965</v>
      </c>
      <c r="BJ73" s="59">
        <f t="shared" si="92"/>
        <v>579.95059529269417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135.42546489459554</v>
      </c>
      <c r="BQ73" s="21">
        <f>EXP(-LN(2)/25)*BQ72+(1-EXP(-LN(2)/25))/(LN(2)/25)*Calculateur!BL73*Calculateur!BN73*VLOOKUP('Données projet'!$B$11,Paramètres!$A$1:$I$89,3,0)*0.475*44/12</f>
        <v>34.448224653779334</v>
      </c>
      <c r="BR73" s="21">
        <f>EXP(-LN(2)/2)*BR72+(1-EXP(-LN(2)/2))/(LN(2)/2)*BL73*BO73*VLOOKUP('Données projet'!$B$11,Paramètres!$A$1:$I$89,3,0)*0.475*44/12</f>
        <v>6.7036785821453044E-3</v>
      </c>
      <c r="BS73" s="22">
        <f t="shared" si="63"/>
        <v>169.88039322695701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65.813952770389648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180.18752244216969</v>
      </c>
      <c r="CE73" s="59">
        <f t="shared" si="94"/>
        <v>350.12096474554676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163.52779882030694</v>
      </c>
      <c r="CL73" s="21">
        <f>EXP(-LN(2)/25)*CL72+(1-EXP(-LN(2)/25))/(LN(2)/25)*Calculateur!CG73*Calculateur!CI73*VLOOKUP('Données projet'!$B$12,Paramètres!$A$1:$I$89,3,0)*0.475*44/12</f>
        <v>61.420401014970849</v>
      </c>
      <c r="CM73" s="21">
        <f>EXP(-LN(2)/2)*CM72+(1-EXP(-LN(2)/2))/(LN(2)/2)*CG73*CJ73*VLOOKUP('Données projet'!$B$12,Paramètres!$A$1:$I$89,3,0)*0.475*44/12</f>
        <v>5.0931135438642781E-3</v>
      </c>
      <c r="CN73" s="22">
        <f t="shared" si="66"/>
        <v>224.95329294882166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65.813952770389648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366</v>
      </c>
      <c r="CR73" s="12">
        <f>VLOOKUP(A73,'Données projet'!$A$139:$I$159,9,0)</f>
        <v>70</v>
      </c>
      <c r="CS73" s="12">
        <f t="array" ref="CS73">INDEX(CR:CR,MIN(IF(ISNUMBER(CR73:CR269),ROW(CR73:CR269),"")))</f>
        <v>70</v>
      </c>
      <c r="CT73" s="12">
        <f>IF('Données projet'!$A$140&gt;35,CT72+CS73-DB72,IF(A73&lt;'Données projet'!$A$140,$CQ$205^A73,IF(A73='Données projet'!$A$140,'Données projet'!$B$140,CT72+CS73-DB72)))</f>
        <v>366.00000000000006</v>
      </c>
      <c r="CU73" s="17">
        <f>CT73*VLOOKUP('Données projet'!$B$13,Paramètres!$A$1:$I$89,3,0)*VLOOKUP('Données projet'!$B$13,Paramètres!$A$1:$I$89,5,0)</f>
        <v>291.18960000000004</v>
      </c>
      <c r="CV73" s="13">
        <f t="shared" si="95"/>
        <v>69.32627325504869</v>
      </c>
      <c r="CW73" s="20">
        <f t="shared" si="67"/>
        <v>627.89847925254321</v>
      </c>
      <c r="CX73" s="59">
        <f t="shared" si="68"/>
        <v>905.882972743972</v>
      </c>
      <c r="CY73" s="59">
        <f ca="1">AVERAGE(OFFSET($CX$3,0,0,'Données projet'!$E$13+1,1))-AVERAGE(OFFSET($H$3,0,0,'Données projet'!$E$13+1,1))</f>
        <v>284.31574332240928</v>
      </c>
      <c r="CZ73" s="59">
        <f t="shared" si="96"/>
        <v>403.96994631683913</v>
      </c>
      <c r="DA73" s="15">
        <f>IF(ISNA(VLOOKUP(A73,'Données projet'!$A$139:$I$159,3,0)),0,VLOOKUP(A73,'Données projet'!$A$139:$I$159,3,0))</f>
        <v>13</v>
      </c>
      <c r="DB73" s="15">
        <f>IF(ISNA(VLOOKUP(A73,'Données projet'!$A$139:$I$159,4,0)),0,VLOOKUP(A73,'Données projet'!$A$139:$I$159,4,0))</f>
        <v>366</v>
      </c>
      <c r="DC73" s="16">
        <f>IF(ISNA(VLOOKUP(A73,'Données projet'!$A$139:$I$159,5,0)),0%,VLOOKUP(A73,'Données projet'!$A$139:$I$159,5,0)*VLOOKUP('Données projet'!$B$13,Paramètres!$A$1:$I$89,7,0))</f>
        <v>0.42400000000000004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688.61387923907751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688.61387923907751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65.813952770389648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>
        <f>DO73*VLOOKUP('Données projet'!$B$14,Paramètres!$A$1:$I$89,3,0)*VLOOKUP('Données projet'!$B$14,Paramètres!$A$1:$I$89,5,0)</f>
        <v>0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190.9519472160006</v>
      </c>
      <c r="DU73" s="59">
        <f t="shared" si="98"/>
        <v>170.61553500287511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147.44833476350922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147.44833476350922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65.813952770389648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352</v>
      </c>
      <c r="EH73" s="12">
        <f>VLOOKUP(A73,'Données projet'!$A$191:$I$211,9,0)</f>
        <v>63.4</v>
      </c>
      <c r="EI73" s="12">
        <f t="array" ref="EI73">INDEX(EH:EH,MIN(IF(ISNUMBER(EH73:EH269),ROW(EH73:EH269),"")))</f>
        <v>63.4</v>
      </c>
      <c r="EJ73" s="12">
        <f>IF('Données projet'!$A$192&gt;35,EJ72+EI73-ER72,IF(A73&lt;'Données projet'!$A$192,$EG$205^A73,IF(A73='Données projet'!$A$192,'Données projet'!$B$192,EJ72+EI73-ER72)))</f>
        <v>351.99999999999994</v>
      </c>
      <c r="EK73" s="17">
        <f>EJ73*VLOOKUP('Données projet'!$B$15,Paramètres!$A$1:$I$89,3,0)*VLOOKUP('Données projet'!$B$15,Paramètres!$A$1:$I$89,5,0)</f>
        <v>302.01600000000002</v>
      </c>
      <c r="EL73" s="13">
        <f t="shared" si="99"/>
        <v>71.598929630303871</v>
      </c>
      <c r="EM73" s="20">
        <f t="shared" si="73"/>
        <v>650.71266910611257</v>
      </c>
      <c r="EN73" s="59">
        <f t="shared" si="74"/>
        <v>928.69716259754136</v>
      </c>
      <c r="EO73" s="59">
        <f ca="1">AVERAGE(OFFSET($EN$3,0,0,'Données projet'!$E$15+1,1))-AVERAGE(OFFSET($H$3,0,0,'Données projet'!$E$15+1,1))</f>
        <v>331.94255128154623</v>
      </c>
      <c r="EP73" s="59">
        <f t="shared" si="100"/>
        <v>258.40809812013964</v>
      </c>
      <c r="EQ73" s="15">
        <f>IF(ISNA(VLOOKUP(A73,'Données projet'!$A$191:$I$211,3,0)),0,VLOOKUP(A73,'Données projet'!$A$191:$I$211,3,0))</f>
        <v>11</v>
      </c>
      <c r="ER73" s="15">
        <f>IF(ISNA(VLOOKUP(A73,'Données projet'!$A$191:$I$211,4,0)),0,VLOOKUP(A73,'Données projet'!$A$191:$I$211,4,0))</f>
        <v>317</v>
      </c>
      <c r="ES73" s="16">
        <f>IF(ISNA(VLOOKUP(A73,'Données projet'!$A$191:$I$211,5,0)),0%,VLOOKUP(A73,'Données projet'!$A$191:$I$211,5,0)*VLOOKUP('Données projet'!$B$15,Paramètres!$A$1:$I$89,7,0))</f>
        <v>0.42400000000000004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535.85826298737993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535.85826298737993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65.813952770389648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387</v>
      </c>
      <c r="FC73" s="12">
        <f>VLOOKUP(A73,'Données projet'!$A$217:$I$237,9,0)</f>
        <v>70.400000000000006</v>
      </c>
      <c r="FD73" s="12">
        <f t="array" ref="FD73">INDEX(FC:FC,MIN(IF(ISNUMBER(FC73:FC269),ROW(FC73:FC269),"")))</f>
        <v>70.400000000000006</v>
      </c>
      <c r="FE73" s="12">
        <f>IF('Données projet'!$A$218&gt;35,FE72+FD73-FM72,IF(A73&lt;'Données projet'!$A$218,$FB$205^A73,IF(A73='Données projet'!$A$218,'Données projet'!$B$218,FE72+FD73-FM72)))</f>
        <v>387</v>
      </c>
      <c r="FF73" s="17">
        <f>FE73*VLOOKUP('Données projet'!$B$16,Paramètres!$A$1:$I$89,3,0)*VLOOKUP('Données projet'!$B$16,Paramètres!$A$1:$I$89,5,0)</f>
        <v>368.26920000000001</v>
      </c>
      <c r="FG73" s="13">
        <f t="shared" si="101"/>
        <v>85.313117246096823</v>
      </c>
      <c r="FH73" s="20">
        <f t="shared" si="76"/>
        <v>789.98920253695212</v>
      </c>
      <c r="FI73" s="59">
        <f t="shared" si="77"/>
        <v>1067.9736960283808</v>
      </c>
      <c r="FJ73" s="59">
        <f ca="1">AVERAGE(OFFSET($FI$3,0,0,'Données projet'!$E$16+1,1))-AVERAGE(OFFSET($H$3,0,0,'Données projet'!$E$16+1,1))</f>
        <v>290.72311302449236</v>
      </c>
      <c r="FK73" s="59">
        <f t="shared" si="102"/>
        <v>352.32552988394434</v>
      </c>
      <c r="FL73" s="15">
        <f>IF(ISNA(VLOOKUP(A73,'Données projet'!$A$217:$I$237,3,0)),0,VLOOKUP(A73,'Données projet'!$A$217:$I$237,3,0))</f>
        <v>11</v>
      </c>
      <c r="FM73" s="15">
        <f>IF(ISNA(VLOOKUP(A73,'Données projet'!$A$217:$I$237,4,0)),0,VLOOKUP(A73,'Données projet'!$A$217:$I$237,4,0))</f>
        <v>387</v>
      </c>
      <c r="FN73" s="16">
        <f>IF(ISNA(VLOOKUP(A73,'Données projet'!$A$217:$I$237,5,0)),0%,VLOOKUP(A73,'Données projet'!$A$217:$I$237,5,0)*VLOOKUP('Données projet'!$B$16,Paramètres!$A$1:$I$89,7,0))</f>
        <v>0.34400000000000003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566.76890566058955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566.76890566058955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65.813952770389648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139</v>
      </c>
      <c r="FX73" s="12">
        <f>VLOOKUP(A73,'Données projet'!$A$243:$I$263,9,0)</f>
        <v>25.2</v>
      </c>
      <c r="FY73" s="12">
        <f t="array" ref="FY73">INDEX(FX:FX,MIN(IF(ISNUMBER(FX73:FX269),ROW(FX73:FX269),"")))</f>
        <v>25.2</v>
      </c>
      <c r="FZ73" s="12">
        <f>IF('Données projet'!$A$244&gt;35,FZ72+FY73-GH72,IF(A73&lt;'Données projet'!$A$244,$FW$205^A73,IF(A73='Données projet'!$A$244,'Données projet'!$B$244,FZ72+FY73-GH72)))</f>
        <v>139</v>
      </c>
      <c r="GA73" s="17">
        <f>FZ73*VLOOKUP('Données projet'!$B$17,Paramètres!$A$1:$I$89,3,0)*VLOOKUP('Données projet'!$B$17,Paramètres!$A$1:$I$89,5,0)</f>
        <v>91.072800000000001</v>
      </c>
      <c r="GB73" s="13">
        <f t="shared" si="103"/>
        <v>24.82377981733238</v>
      </c>
      <c r="GC73" s="20">
        <f t="shared" si="79"/>
        <v>201.85320984852058</v>
      </c>
      <c r="GD73" s="59">
        <f t="shared" si="80"/>
        <v>479.83770333994931</v>
      </c>
      <c r="GE73" s="59">
        <f ca="1">AVERAGE(OFFSET($GD$3,0,0,'Données projet'!$E$17+1,1))-AVERAGE(OFFSET($H$3,0,0,'Données projet'!$E$17+1,1))</f>
        <v>123.03972959251965</v>
      </c>
      <c r="GF73" s="59">
        <f t="shared" si="104"/>
        <v>178.27657680839445</v>
      </c>
      <c r="GG73" s="15">
        <f>IF(ISNA(VLOOKUP(A73,'Données projet'!$A$243:$I$263,3,0)),0,VLOOKUP(A73,'Données projet'!$A$243:$I$263,3,0))</f>
        <v>12</v>
      </c>
      <c r="GH73" s="15">
        <f>IF(ISNA(VLOOKUP(A73,'Données projet'!$A$243:$I$263,4,0)),0,VLOOKUP(A73,'Données projet'!$A$243:$I$263,4,0))</f>
        <v>139</v>
      </c>
      <c r="GI73" s="16">
        <f>IF(ISNA(VLOOKUP(A73,'Données projet'!$A$243:$I$263,5,0)),0%,VLOOKUP(A73,'Données projet'!$A$243:$I$263,5,0)*VLOOKUP('Données projet'!$B$17,Paramètres!$A$1:$I$89,7,0))</f>
        <v>0.30099999999999999</v>
      </c>
      <c r="GJ73" s="16">
        <f>IF(ISNA(VLOOKUP(A73,'Données projet'!$A$243:$I$263,6,0)),0%,VLOOKUP(A73,'Données projet'!$A$243:$I$263,6,0)*VLOOKUP('Données projet'!$B$17,Paramètres!$A$1:$I$89,7,0))</f>
        <v>4.3000000000000003E-2</v>
      </c>
      <c r="GK73" s="16">
        <f>IF(ISNA(VLOOKUP(A73,'Données projet'!$A$243:$I$263,7,0)),0%,VLOOKUP(A73,'Données projet'!$A$243:$I$263,7,0))</f>
        <v>0.1</v>
      </c>
      <c r="GL73" s="21">
        <f>EXP(-LN(2)/35)*GL72+(1-EXP(-LN(2)/35))/(LN(2)/35)*GH73*GI73*VLOOKUP('Données projet'!$B$17,Paramètres!$A$1:$I$89,3,0)*0.475*44/12</f>
        <v>123.19060305883285</v>
      </c>
      <c r="GM73" s="21">
        <f>EXP(-LN(2)/25)*GM72+(1-EXP(-LN(2)/25))/(LN(2)/25)*Calculateur!GH73*Calculateur!GJ73*VLOOKUP('Données projet'!$B$17,Paramètres!$A$1:$I$89,3,0)*0.475*44/12</f>
        <v>33.591104938385143</v>
      </c>
      <c r="GN73" s="21">
        <f>EXP(-LN(2)/2)*GN72+(1-EXP(-LN(2)/2))/(LN(2)/2)*GH73*GK73*VLOOKUP('Données projet'!$B$17,Paramètres!$A$1:$I$89,3,0)*0.475*44/12</f>
        <v>10.22175956889865</v>
      </c>
      <c r="GO73" s="21">
        <f t="shared" si="81"/>
        <v>167.00346756611665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65.813952770389648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550</v>
      </c>
      <c r="GS73" s="12">
        <f>VLOOKUP(A73,'Données projet'!$A$269:$I$289,9,0)</f>
        <v>48.9</v>
      </c>
      <c r="GT73" s="12">
        <f t="array" ref="GT73">INDEX(GS:GS,MIN(IF(ISNUMBER(GS73:GS269),ROW(GS73:GS269),"")))</f>
        <v>48.9</v>
      </c>
      <c r="GU73" s="12">
        <f>IF('Données projet'!$A$270&gt;35,GU72+GT73-HC72,IF(A73&lt;'Données projet'!$A$270,$GR$205^A73,IF(A73='Données projet'!$A$270,'Données projet'!$B$270,GU72+GT73-HC72)))</f>
        <v>549.99999999999977</v>
      </c>
      <c r="GV73" s="17">
        <f>GU73*VLOOKUP('Données projet'!$B$18,Paramètres!$A$1:$I$89,3,0)*VLOOKUP('Données projet'!$B$18,Paramètres!$A$1:$I$89,5,0)</f>
        <v>368.93999999999983</v>
      </c>
      <c r="GW73" s="13">
        <f t="shared" si="105"/>
        <v>85.450411753243188</v>
      </c>
      <c r="GX73" s="20">
        <f t="shared" si="82"/>
        <v>791.3966338035649</v>
      </c>
      <c r="GY73" s="59">
        <f t="shared" si="83"/>
        <v>1069.3811272949936</v>
      </c>
      <c r="GZ73" s="59">
        <f ca="1">AVERAGE(OFFSET($GY$3,0,0,'Données projet'!$E$18+1,1))-AVERAGE(OFFSET($H$3,0,0,'Données projet'!$E$18+1,1))</f>
        <v>542.25674729323623</v>
      </c>
      <c r="HA73" s="59">
        <f t="shared" si="106"/>
        <v>614.73906555680685</v>
      </c>
      <c r="HB73" s="15">
        <f>IF(ISNA(VLOOKUP(A73,'Données projet'!$A$269:$I$289,3,0)),0,VLOOKUP(A73,'Données projet'!$A$269:$I$289,3,0))</f>
        <v>3</v>
      </c>
      <c r="HC73" s="15">
        <f>IF(ISNA(VLOOKUP(A73,'Données projet'!$A$269:$I$289,4,0)),0,VLOOKUP(A73,'Données projet'!$A$269:$I$289,4,0))</f>
        <v>496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0</v>
      </c>
      <c r="HH73" s="21">
        <f>EXP(-LN(2)/25)*HH72+(1-EXP(-LN(2)/25))/(LN(2)/25)*Calculateur!HC73*Calculateur!HE73*VLOOKUP('Données projet'!$B$18,Paramètres!$A$1:$I$89,3,0)*0.475*44/12</f>
        <v>0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0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2.8499999999999996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10.449999999999998</v>
      </c>
      <c r="H74" s="67">
        <f t="shared" si="56"/>
        <v>214.86666666666667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65.886571331223806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-1.0231815394945443E-12</v>
      </c>
      <c r="O74" s="13">
        <f>N74*VLOOKUP('Données projet'!$B$9,Paramètres!$A$1:$I$89,3,0)*VLOOKUP('Données projet'!$B$9,Paramètres!$A$1:$I$89,5,0)</f>
        <v>-8.9385139290243408E-13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686.80970545599644</v>
      </c>
      <c r="T74" s="59">
        <f t="shared" si="88"/>
        <v>636.16485232937737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207.47069111188625</v>
      </c>
      <c r="AA74" s="21">
        <f>EXP(-LN(2)/25)*AA73+(1-EXP(-LN(2)/25))/(LN(2)/25)*Calculateur!V74*Calculateur!X74*VLOOKUP('Données projet'!$B$9,Paramètres!$A$1:$I$89,3,0)*0.475*44/12</f>
        <v>29.289031605438268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236.75972271732451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65.886571331223806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7.5</v>
      </c>
      <c r="AI74" s="13">
        <f>IF('Données projet'!$A$62&gt;35,AI73+AH74-AQ73,IF(A74&lt;'Données projet'!$A$62,$AF$205^A74,IF(A74='Données projet'!$A$62,'Données projet'!$B$62,AI73+AH74-AQ73)))</f>
        <v>174.50000000000003</v>
      </c>
      <c r="AJ74" s="13">
        <f>AI74*VLOOKUP('Données projet'!$B$10,Paramètres!$A$1:$I$89,3,0)*VLOOKUP('Données projet'!$B$10,Paramètres!$A$1:$I$89,5,0)</f>
        <v>157.88760000000002</v>
      </c>
      <c r="AK74" s="13">
        <f t="shared" si="89"/>
        <v>40.365689775715225</v>
      </c>
      <c r="AL74" s="20">
        <f t="shared" si="58"/>
        <v>345.29114635937071</v>
      </c>
      <c r="AM74" s="59">
        <f t="shared" si="59"/>
        <v>623.54190790719133</v>
      </c>
      <c r="AN74" s="59">
        <f ca="1">AVERAGE(OFFSET($AM$3,0,0,'Données projet'!$E$10+1,1))-AVERAGE(OFFSET($H$3,0,0,'Données projet'!$E$10+1,1))</f>
        <v>323.67375363913726</v>
      </c>
      <c r="AO74" s="59">
        <f t="shared" si="90"/>
        <v>266.03902815735029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26.533747903124596</v>
      </c>
      <c r="AV74" s="21">
        <f>EXP(-LN(2)/25)*AV73+(1-EXP(-LN(2)/25))/(LN(2)/25)*Calculateur!AQ74*Calculateur!AS74*VLOOKUP('Données projet'!$B$10,Paramètres!$A$1:$I$89,3,0)*0.475*44/12</f>
        <v>25.112724282867248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51.64647218599184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65.886571331223806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371.46495716091965</v>
      </c>
      <c r="BJ74" s="59">
        <f t="shared" si="92"/>
        <v>579.95059529269417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132.7698541293899</v>
      </c>
      <c r="BQ74" s="21">
        <f>EXP(-LN(2)/25)*BQ73+(1-EXP(-LN(2)/25))/(LN(2)/25)*Calculateur!BL74*Calculateur!BN74*VLOOKUP('Données projet'!$B$11,Paramètres!$A$1:$I$89,3,0)*0.475*44/12</f>
        <v>33.506236139068335</v>
      </c>
      <c r="BR74" s="21">
        <f>EXP(-LN(2)/2)*BR73+(1-EXP(-LN(2)/2))/(LN(2)/2)*BL74*BO74*VLOOKUP('Données projet'!$B$11,Paramètres!$A$1:$I$89,3,0)*0.475*44/12</f>
        <v>4.7402165843299648E-3</v>
      </c>
      <c r="BS74" s="22">
        <f t="shared" si="63"/>
        <v>166.28083048504257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65.886571331223806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180.18752244216969</v>
      </c>
      <c r="CE74" s="59">
        <f t="shared" si="94"/>
        <v>350.12096474554676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160.32111842754929</v>
      </c>
      <c r="CL74" s="21">
        <f>EXP(-LN(2)/25)*CL73+(1-EXP(-LN(2)/25))/(LN(2)/25)*Calculateur!CG74*Calculateur!CI74*VLOOKUP('Données projet'!$B$12,Paramètres!$A$1:$I$89,3,0)*0.475*44/12</f>
        <v>59.740856919257958</v>
      </c>
      <c r="CM74" s="21">
        <f>EXP(-LN(2)/2)*CM73+(1-EXP(-LN(2)/2))/(LN(2)/2)*CG74*CJ74*VLOOKUP('Données projet'!$B$12,Paramètres!$A$1:$I$89,3,0)*0.475*44/12</f>
        <v>3.6013751242194797E-3</v>
      </c>
      <c r="CN74" s="22">
        <f t="shared" si="66"/>
        <v>220.06557672193148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65.886571331223806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5.6843418860808015E-14</v>
      </c>
      <c r="CU74" s="17">
        <f>CT74*VLOOKUP('Données projet'!$B$13,Paramètres!$A$1:$I$89,3,0)*VLOOKUP('Données projet'!$B$13,Paramètres!$A$1:$I$89,5,0)</f>
        <v>4.5224624045658861E-14</v>
      </c>
      <c r="CV74" s="13">
        <f t="shared" si="95"/>
        <v>7.4514601661523691E-13</v>
      </c>
      <c r="CW74" s="20">
        <f t="shared" si="67"/>
        <v>1.3765621991510601E-12</v>
      </c>
      <c r="CX74" s="59">
        <f t="shared" si="68"/>
        <v>278.25076154782198</v>
      </c>
      <c r="CY74" s="59">
        <f ca="1">AVERAGE(OFFSET($CX$3,0,0,'Données projet'!$E$13+1,1))-AVERAGE(OFFSET($H$3,0,0,'Données projet'!$E$13+1,1))</f>
        <v>284.31574332240928</v>
      </c>
      <c r="CZ74" s="59">
        <f t="shared" si="96"/>
        <v>403.96994631683913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675.11058108019267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675.11058108019267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65.886571331223806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>
        <f>DO74*VLOOKUP('Données projet'!$B$14,Paramètres!$A$1:$I$89,3,0)*VLOOKUP('Données projet'!$B$14,Paramètres!$A$1:$I$89,5,0)</f>
        <v>0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190.9519472160006</v>
      </c>
      <c r="DU74" s="59">
        <f t="shared" si="98"/>
        <v>170.61553500287511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144.55696285340071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144.55696285340071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65.886571331223806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67.400000000000006</v>
      </c>
      <c r="EJ74" s="12">
        <f>IF('Données projet'!$A$192&gt;35,EJ73+EI74-ER73,IF(A74&lt;'Données projet'!$A$192,$EG$205^A74,IF(A74='Données projet'!$A$192,'Données projet'!$B$192,EJ73+EI74-ER73)))</f>
        <v>102.39999999999998</v>
      </c>
      <c r="EK74" s="17">
        <f>EJ74*VLOOKUP('Données projet'!$B$15,Paramètres!$A$1:$I$89,3,0)*VLOOKUP('Données projet'!$B$15,Paramètres!$A$1:$I$89,5,0)</f>
        <v>87.859199999999987</v>
      </c>
      <c r="EL74" s="13">
        <f t="shared" si="99"/>
        <v>24.048194405935224</v>
      </c>
      <c r="EM74" s="20">
        <f t="shared" si="73"/>
        <v>194.90537859033716</v>
      </c>
      <c r="EN74" s="59">
        <f t="shared" si="74"/>
        <v>473.15614013815775</v>
      </c>
      <c r="EO74" s="59">
        <f ca="1">AVERAGE(OFFSET($EN$3,0,0,'Données projet'!$E$15+1,1))-AVERAGE(OFFSET($H$3,0,0,'Données projet'!$E$15+1,1))</f>
        <v>331.94255128154623</v>
      </c>
      <c r="EP74" s="59">
        <f t="shared" si="100"/>
        <v>258.40809812013964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525.35040929146498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525.35040929146498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65.886571331223806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>
        <f>FE74*VLOOKUP('Données projet'!$B$16,Paramètres!$A$1:$I$89,3,0)*VLOOKUP('Données projet'!$B$16,Paramètres!$A$1:$I$89,5,0)</f>
        <v>0</v>
      </c>
      <c r="FG74" s="13" t="e">
        <f t="shared" si="101"/>
        <v>#NUM!</v>
      </c>
      <c r="FH74" s="20" t="e">
        <f t="shared" si="76"/>
        <v>#NUM!</v>
      </c>
      <c r="FI74" s="59" t="e">
        <f t="shared" si="77"/>
        <v>#NUM!</v>
      </c>
      <c r="FJ74" s="59">
        <f ca="1">AVERAGE(OFFSET($FI$3,0,0,'Données projet'!$E$16+1,1))-AVERAGE(OFFSET($H$3,0,0,'Données projet'!$E$16+1,1))</f>
        <v>290.72311302449236</v>
      </c>
      <c r="FK74" s="59">
        <f t="shared" si="102"/>
        <v>352.32552988394434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555.65491311548328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555.65491311548328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65.886571331223806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>
        <f>FZ74*VLOOKUP('Données projet'!$B$17,Paramètres!$A$1:$I$89,3,0)*VLOOKUP('Données projet'!$B$17,Paramètres!$A$1:$I$89,5,0)</f>
        <v>0</v>
      </c>
      <c r="GB74" s="13" t="e">
        <f t="shared" si="103"/>
        <v>#NUM!</v>
      </c>
      <c r="GC74" s="20" t="e">
        <f t="shared" si="79"/>
        <v>#NUM!</v>
      </c>
      <c r="GD74" s="59" t="e">
        <f t="shared" si="80"/>
        <v>#NUM!</v>
      </c>
      <c r="GE74" s="59">
        <f ca="1">AVERAGE(OFFSET($GD$3,0,0,'Données projet'!$E$17+1,1))-AVERAGE(OFFSET($H$3,0,0,'Données projet'!$E$17+1,1))</f>
        <v>123.03972959251965</v>
      </c>
      <c r="GF74" s="59">
        <f t="shared" si="104"/>
        <v>178.27657680839445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120.77491047169765</v>
      </c>
      <c r="GM74" s="21">
        <f>EXP(-LN(2)/25)*GM73+(1-EXP(-LN(2)/25))/(LN(2)/25)*Calculateur!GH74*Calculateur!GJ74*VLOOKUP('Données projet'!$B$17,Paramètres!$A$1:$I$89,3,0)*0.475*44/12</f>
        <v>32.672554407365567</v>
      </c>
      <c r="GN74" s="21">
        <f>EXP(-LN(2)/2)*GN73+(1-EXP(-LN(2)/2))/(LN(2)/2)*GH74*GK74*VLOOKUP('Données projet'!$B$17,Paramètres!$A$1:$I$89,3,0)*0.475*44/12</f>
        <v>7.2278755068267166</v>
      </c>
      <c r="GO74" s="21">
        <f t="shared" si="81"/>
        <v>160.67534038588991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65.886571331223806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52.4</v>
      </c>
      <c r="GU74" s="12">
        <f>IF('Données projet'!$A$270&gt;35,GU73+GT74-HC73,IF(A74&lt;'Données projet'!$A$270,$GR$205^A74,IF(A74='Données projet'!$A$270,'Données projet'!$B$270,GU73+GT74-HC73)))</f>
        <v>106.39999999999975</v>
      </c>
      <c r="GV74" s="17">
        <f>GU74*VLOOKUP('Données projet'!$B$18,Paramètres!$A$1:$I$89,3,0)*VLOOKUP('Données projet'!$B$18,Paramètres!$A$1:$I$89,5,0)</f>
        <v>71.37311999999983</v>
      </c>
      <c r="GW74" s="13">
        <f t="shared" si="105"/>
        <v>20.014065178531261</v>
      </c>
      <c r="GX74" s="20">
        <f t="shared" si="82"/>
        <v>159.16601418594166</v>
      </c>
      <c r="GY74" s="59">
        <f t="shared" si="83"/>
        <v>437.41677573376228</v>
      </c>
      <c r="GZ74" s="59">
        <f ca="1">AVERAGE(OFFSET($GY$3,0,0,'Données projet'!$E$18+1,1))-AVERAGE(OFFSET($H$3,0,0,'Données projet'!$E$18+1,1))</f>
        <v>542.25674729323623</v>
      </c>
      <c r="HA74" s="59">
        <f t="shared" si="106"/>
        <v>614.73906555680685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0</v>
      </c>
      <c r="HH74" s="21">
        <f>EXP(-LN(2)/25)*HH73+(1-EXP(-LN(2)/25))/(LN(2)/25)*Calculateur!HC74*Calculateur!HE74*VLOOKUP('Données projet'!$B$18,Paramètres!$A$1:$I$89,3,0)*0.475*44/12</f>
        <v>0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0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2.8499999999999996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10.449999999999998</v>
      </c>
      <c r="H75" s="67">
        <f t="shared" si="56"/>
        <v>214.86666666666667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65.957930122378272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-1.0231815394945443E-12</v>
      </c>
      <c r="O75" s="13">
        <f>N75*VLOOKUP('Données projet'!$B$9,Paramètres!$A$1:$I$89,3,0)*VLOOKUP('Données projet'!$B$9,Paramètres!$A$1:$I$89,5,0)</f>
        <v>-8.9385139290243408E-13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686.80970545599644</v>
      </c>
      <c r="T75" s="59">
        <f t="shared" si="88"/>
        <v>636.16485232937737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203.4023174038085</v>
      </c>
      <c r="AA75" s="21">
        <f>EXP(-LN(2)/25)*AA74+(1-EXP(-LN(2)/25))/(LN(2)/25)*Calculateur!V75*Calculateur!X75*VLOOKUP('Données projet'!$B$9,Paramètres!$A$1:$I$89,3,0)*0.475*44/12</f>
        <v>28.488121495944327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231.89043889975284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65.957930122378272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7.5</v>
      </c>
      <c r="AI75" s="13">
        <f>IF('Données projet'!$A$62&gt;35,AI74+AH75-AQ74,IF(A75&lt;'Données projet'!$A$62,$AF$205^A75,IF(A75='Données projet'!$A$62,'Données projet'!$B$62,AI74+AH75-AQ74)))</f>
        <v>182.00000000000003</v>
      </c>
      <c r="AJ75" s="13">
        <f>AI75*VLOOKUP('Données projet'!$B$10,Paramètres!$A$1:$I$89,3,0)*VLOOKUP('Données projet'!$B$10,Paramètres!$A$1:$I$89,5,0)</f>
        <v>164.67360000000002</v>
      </c>
      <c r="AK75" s="13">
        <f t="shared" si="89"/>
        <v>41.894886049197019</v>
      </c>
      <c r="AL75" s="20">
        <f t="shared" si="58"/>
        <v>359.7734465356848</v>
      </c>
      <c r="AM75" s="59">
        <f t="shared" si="59"/>
        <v>638.2858569844052</v>
      </c>
      <c r="AN75" s="59">
        <f ca="1">AVERAGE(OFFSET($AM$3,0,0,'Données projet'!$E$10+1,1))-AVERAGE(OFFSET($H$3,0,0,'Données projet'!$E$10+1,1))</f>
        <v>323.67375363913726</v>
      </c>
      <c r="AO75" s="59">
        <f t="shared" si="90"/>
        <v>266.03902815735029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26.013437290732508</v>
      </c>
      <c r="AV75" s="21">
        <f>EXP(-LN(2)/25)*AV74+(1-EXP(-LN(2)/25))/(LN(2)/25)*Calculateur!AQ75*Calculateur!AS75*VLOOKUP('Données projet'!$B$10,Paramètres!$A$1:$I$89,3,0)*0.475*44/12</f>
        <v>24.426015516731468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50.439452807463979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65.957930122378272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371.46495716091965</v>
      </c>
      <c r="BJ75" s="59">
        <f t="shared" si="92"/>
        <v>579.95059529269417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130.1663182715273</v>
      </c>
      <c r="BQ75" s="21">
        <f>EXP(-LN(2)/25)*BQ74+(1-EXP(-LN(2)/25))/(LN(2)/25)*Calculateur!BL75*Calculateur!BN75*VLOOKUP('Données projet'!$B$11,Paramètres!$A$1:$I$89,3,0)*0.475*44/12</f>
        <v>32.590006349829132</v>
      </c>
      <c r="BR75" s="21">
        <f>EXP(-LN(2)/2)*BR74+(1-EXP(-LN(2)/2))/(LN(2)/2)*BL75*BO75*VLOOKUP('Données projet'!$B$11,Paramètres!$A$1:$I$89,3,0)*0.475*44/12</f>
        <v>3.3518392910726522E-3</v>
      </c>
      <c r="BS75" s="22">
        <f t="shared" si="63"/>
        <v>162.75967646064751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65.957930122378272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180.18752244216969</v>
      </c>
      <c r="CE75" s="59">
        <f t="shared" si="94"/>
        <v>350.12096474554676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157.1773190814117</v>
      </c>
      <c r="CL75" s="21">
        <f>EXP(-LN(2)/25)*CL74+(1-EXP(-LN(2)/25))/(LN(2)/25)*Calculateur!CG75*Calculateur!CI75*VLOOKUP('Données projet'!$B$12,Paramètres!$A$1:$I$89,3,0)*0.475*44/12</f>
        <v>58.107240045165724</v>
      </c>
      <c r="CM75" s="21">
        <f>EXP(-LN(2)/2)*CM74+(1-EXP(-LN(2)/2))/(LN(2)/2)*CG75*CJ75*VLOOKUP('Données projet'!$B$12,Paramètres!$A$1:$I$89,3,0)*0.475*44/12</f>
        <v>2.546556771932139E-3</v>
      </c>
      <c r="CN75" s="22">
        <f t="shared" si="66"/>
        <v>215.28710568334935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65.957930122378272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5.6843418860808015E-14</v>
      </c>
      <c r="CU75" s="17">
        <f>CT75*VLOOKUP('Données projet'!$B$13,Paramètres!$A$1:$I$89,3,0)*VLOOKUP('Données projet'!$B$13,Paramètres!$A$1:$I$89,5,0)</f>
        <v>4.5224624045658861E-14</v>
      </c>
      <c r="CV75" s="13">
        <f t="shared" si="95"/>
        <v>7.4514601661523691E-13</v>
      </c>
      <c r="CW75" s="20">
        <f t="shared" si="67"/>
        <v>1.3765621991510601E-12</v>
      </c>
      <c r="CX75" s="59">
        <f t="shared" si="68"/>
        <v>278.51241044872171</v>
      </c>
      <c r="CY75" s="59">
        <f ca="1">AVERAGE(OFFSET($CX$3,0,0,'Données projet'!$E$13+1,1))-AVERAGE(OFFSET($H$3,0,0,'Données projet'!$E$13+1,1))</f>
        <v>284.31574332240928</v>
      </c>
      <c r="CZ75" s="59">
        <f t="shared" si="96"/>
        <v>403.96994631683913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661.87207436200492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661.87207436200492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65.957930122378272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>
        <f>DO75*VLOOKUP('Données projet'!$B$14,Paramètres!$A$1:$I$89,3,0)*VLOOKUP('Données projet'!$B$14,Paramètres!$A$1:$I$89,5,0)</f>
        <v>0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190.9519472160006</v>
      </c>
      <c r="DU75" s="59">
        <f t="shared" si="98"/>
        <v>170.61553500287511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141.72228898288668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141.72228898288668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65.957930122378272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67.400000000000006</v>
      </c>
      <c r="EJ75" s="12">
        <f>IF('Données projet'!$A$192&gt;35,EJ74+EI75-ER74,IF(A75&lt;'Données projet'!$A$192,$EG$205^A75,IF(A75='Données projet'!$A$192,'Données projet'!$B$192,EJ74+EI75-ER74)))</f>
        <v>169.79999999999998</v>
      </c>
      <c r="EK75" s="17">
        <f>EJ75*VLOOKUP('Données projet'!$B$15,Paramètres!$A$1:$I$89,3,0)*VLOOKUP('Données projet'!$B$15,Paramètres!$A$1:$I$89,5,0)</f>
        <v>145.6884</v>
      </c>
      <c r="EL75" s="13">
        <f t="shared" si="99"/>
        <v>37.59710209171844</v>
      </c>
      <c r="EM75" s="20">
        <f t="shared" si="73"/>
        <v>319.22224947640967</v>
      </c>
      <c r="EN75" s="59">
        <f t="shared" si="74"/>
        <v>597.73465992513002</v>
      </c>
      <c r="EO75" s="59">
        <f ca="1">AVERAGE(OFFSET($EN$3,0,0,'Données projet'!$E$15+1,1))-AVERAGE(OFFSET($H$3,0,0,'Données projet'!$E$15+1,1))</f>
        <v>331.94255128154623</v>
      </c>
      <c r="EP75" s="59">
        <f t="shared" si="100"/>
        <v>258.40809812013964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515.04860819736894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515.04860819736894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65.957930122378272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>
        <f>FE75*VLOOKUP('Données projet'!$B$16,Paramètres!$A$1:$I$89,3,0)*VLOOKUP('Données projet'!$B$16,Paramètres!$A$1:$I$89,5,0)</f>
        <v>0</v>
      </c>
      <c r="FG75" s="13" t="e">
        <f t="shared" si="101"/>
        <v>#NUM!</v>
      </c>
      <c r="FH75" s="20" t="e">
        <f t="shared" si="76"/>
        <v>#NUM!</v>
      </c>
      <c r="FI75" s="59" t="e">
        <f t="shared" si="77"/>
        <v>#NUM!</v>
      </c>
      <c r="FJ75" s="59">
        <f ca="1">AVERAGE(OFFSET($FI$3,0,0,'Données projet'!$E$16+1,1))-AVERAGE(OFFSET($H$3,0,0,'Données projet'!$E$16+1,1))</f>
        <v>290.72311302449236</v>
      </c>
      <c r="FK75" s="59">
        <f t="shared" si="102"/>
        <v>352.32552988394434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544.75885918532049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544.75885918532049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65.957930122378272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>
        <f>FZ75*VLOOKUP('Données projet'!$B$17,Paramètres!$A$1:$I$89,3,0)*VLOOKUP('Données projet'!$B$17,Paramètres!$A$1:$I$89,5,0)</f>
        <v>0</v>
      </c>
      <c r="GB75" s="13" t="e">
        <f t="shared" si="103"/>
        <v>#NUM!</v>
      </c>
      <c r="GC75" s="20" t="e">
        <f t="shared" si="79"/>
        <v>#NUM!</v>
      </c>
      <c r="GD75" s="59" t="e">
        <f t="shared" si="80"/>
        <v>#NUM!</v>
      </c>
      <c r="GE75" s="59">
        <f ca="1">AVERAGE(OFFSET($GD$3,0,0,'Données projet'!$E$17+1,1))-AVERAGE(OFFSET($H$3,0,0,'Données projet'!$E$17+1,1))</f>
        <v>123.03972959251965</v>
      </c>
      <c r="GF75" s="59">
        <f t="shared" si="104"/>
        <v>178.27657680839445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118.40658814276919</v>
      </c>
      <c r="GM75" s="21">
        <f>EXP(-LN(2)/25)*GM74+(1-EXP(-LN(2)/25))/(LN(2)/25)*Calculateur!GH75*Calculateur!GJ75*VLOOKUP('Données projet'!$B$17,Paramètres!$A$1:$I$89,3,0)*0.475*44/12</f>
        <v>31.779121688921194</v>
      </c>
      <c r="GN75" s="21">
        <f>EXP(-LN(2)/2)*GN74+(1-EXP(-LN(2)/2))/(LN(2)/2)*GH75*GK75*VLOOKUP('Données projet'!$B$17,Paramètres!$A$1:$I$89,3,0)*0.475*44/12</f>
        <v>5.1108797844493257</v>
      </c>
      <c r="GO75" s="21">
        <f t="shared" si="81"/>
        <v>155.29658961613973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65.957930122378272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52.4</v>
      </c>
      <c r="GU75" s="12">
        <f>IF('Données projet'!$A$270&gt;35,GU74+GT75-HC74,IF(A75&lt;'Données projet'!$A$270,$GR$205^A75,IF(A75='Données projet'!$A$270,'Données projet'!$B$270,GU74+GT75-HC74)))</f>
        <v>158.79999999999976</v>
      </c>
      <c r="GV75" s="17">
        <f>GU75*VLOOKUP('Données projet'!$B$18,Paramètres!$A$1:$I$89,3,0)*VLOOKUP('Données projet'!$B$18,Paramètres!$A$1:$I$89,5,0)</f>
        <v>106.52303999999984</v>
      </c>
      <c r="GW75" s="13">
        <f t="shared" si="105"/>
        <v>28.510260627094898</v>
      </c>
      <c r="GX75" s="20">
        <f t="shared" si="82"/>
        <v>235.18299859218999</v>
      </c>
      <c r="GY75" s="59">
        <f t="shared" si="83"/>
        <v>513.69540904091036</v>
      </c>
      <c r="GZ75" s="59">
        <f ca="1">AVERAGE(OFFSET($GY$3,0,0,'Données projet'!$E$18+1,1))-AVERAGE(OFFSET($H$3,0,0,'Données projet'!$E$18+1,1))</f>
        <v>542.25674729323623</v>
      </c>
      <c r="HA75" s="59">
        <f t="shared" si="106"/>
        <v>614.73906555680685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0</v>
      </c>
      <c r="HH75" s="21">
        <f>EXP(-LN(2)/25)*HH74+(1-EXP(-LN(2)/25))/(LN(2)/25)*Calculateur!HC75*Calculateur!HE75*VLOOKUP('Données projet'!$B$18,Paramètres!$A$1:$I$89,3,0)*0.475*44/12</f>
        <v>0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0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2.8499999999999996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10.449999999999998</v>
      </c>
      <c r="H76" s="67">
        <f t="shared" si="56"/>
        <v>214.86666666666667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66.028050998040555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-1.0231815394945443E-12</v>
      </c>
      <c r="O76" s="13">
        <f>N76*VLOOKUP('Données projet'!$B$9,Paramètres!$A$1:$I$89,3,0)*VLOOKUP('Données projet'!$B$9,Paramètres!$A$1:$I$89,5,0)</f>
        <v>-8.9385139290243408E-13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686.80970545599644</v>
      </c>
      <c r="T76" s="59">
        <f t="shared" si="88"/>
        <v>636.16485232937737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199.4137220226832</v>
      </c>
      <c r="AA76" s="21">
        <f>EXP(-LN(2)/25)*AA75+(1-EXP(-LN(2)/25))/(LN(2)/25)*Calculateur!V76*Calculateur!X76*VLOOKUP('Données projet'!$B$9,Paramètres!$A$1:$I$89,3,0)*0.475*44/12</f>
        <v>27.709112315512531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227.12283433819573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66.028050998040555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7.5</v>
      </c>
      <c r="AI76" s="13">
        <f>IF('Données projet'!$A$62&gt;35,AI75+AH76-AQ75,IF(A76&lt;'Données projet'!$A$62,$AF$205^A76,IF(A76='Données projet'!$A$62,'Données projet'!$B$62,AI75+AH76-AQ75)))</f>
        <v>189.50000000000003</v>
      </c>
      <c r="AJ76" s="13">
        <f>AI76*VLOOKUP('Données projet'!$B$10,Paramètres!$A$1:$I$89,3,0)*VLOOKUP('Données projet'!$B$10,Paramètres!$A$1:$I$89,5,0)</f>
        <v>171.45960000000002</v>
      </c>
      <c r="AK76" s="13">
        <f t="shared" si="89"/>
        <v>43.416762598027233</v>
      </c>
      <c r="AL76" s="20">
        <f t="shared" si="58"/>
        <v>374.24299819156408</v>
      </c>
      <c r="AM76" s="59">
        <f t="shared" si="59"/>
        <v>653.01251851771281</v>
      </c>
      <c r="AN76" s="59">
        <f ca="1">AVERAGE(OFFSET($AM$3,0,0,'Données projet'!$E$10+1,1))-AVERAGE(OFFSET($H$3,0,0,'Données projet'!$E$10+1,1))</f>
        <v>323.67375363913726</v>
      </c>
      <c r="AO76" s="59">
        <f t="shared" si="90"/>
        <v>266.03902815735029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25.503329652091292</v>
      </c>
      <c r="AV76" s="21">
        <f>EXP(-LN(2)/25)*AV75+(1-EXP(-LN(2)/25))/(LN(2)/25)*Calculateur!AQ76*Calculateur!AS76*VLOOKUP('Données projet'!$B$10,Paramètres!$A$1:$I$89,3,0)*0.475*44/12</f>
        <v>23.758084837918116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49.261414490009408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66.028050998040555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371.46495716091965</v>
      </c>
      <c r="BJ76" s="59">
        <f t="shared" si="92"/>
        <v>579.95059529269417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127.61383616383733</v>
      </c>
      <c r="BQ76" s="21">
        <f>EXP(-LN(2)/25)*BQ75+(1-EXP(-LN(2)/25))/(LN(2)/25)*Calculateur!BL76*Calculateur!BN76*VLOOKUP('Données projet'!$B$11,Paramètres!$A$1:$I$89,3,0)*0.475*44/12</f>
        <v>31.698830912359107</v>
      </c>
      <c r="BR76" s="21">
        <f>EXP(-LN(2)/2)*BR75+(1-EXP(-LN(2)/2))/(LN(2)/2)*BL76*BO76*VLOOKUP('Données projet'!$B$11,Paramètres!$A$1:$I$89,3,0)*0.475*44/12</f>
        <v>2.3701082921649824E-3</v>
      </c>
      <c r="BS76" s="22">
        <f t="shared" si="63"/>
        <v>159.3150371844886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66.028050998040555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180.18752244216969</v>
      </c>
      <c r="CE76" s="59">
        <f t="shared" si="94"/>
        <v>350.12096474554676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154.09516772292361</v>
      </c>
      <c r="CL76" s="21">
        <f>EXP(-LN(2)/25)*CL75+(1-EXP(-LN(2)/25))/(LN(2)/25)*Calculateur!CG76*Calculateur!CI76*VLOOKUP('Données projet'!$B$12,Paramètres!$A$1:$I$89,3,0)*0.475*44/12</f>
        <v>56.51829451040372</v>
      </c>
      <c r="CM76" s="21">
        <f>EXP(-LN(2)/2)*CM75+(1-EXP(-LN(2)/2))/(LN(2)/2)*CG76*CJ76*VLOOKUP('Données projet'!$B$12,Paramètres!$A$1:$I$89,3,0)*0.475*44/12</f>
        <v>1.8006875621097399E-3</v>
      </c>
      <c r="CN76" s="22">
        <f t="shared" si="66"/>
        <v>210.61526292088942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66.028050998040555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5.6843418860808015E-14</v>
      </c>
      <c r="CU76" s="17">
        <f>CT76*VLOOKUP('Données projet'!$B$13,Paramètres!$A$1:$I$89,3,0)*VLOOKUP('Données projet'!$B$13,Paramètres!$A$1:$I$89,5,0)</f>
        <v>4.5224624045658861E-14</v>
      </c>
      <c r="CV76" s="13">
        <f t="shared" si="95"/>
        <v>7.4514601661523691E-13</v>
      </c>
      <c r="CW76" s="20">
        <f t="shared" si="67"/>
        <v>1.3765621991510601E-12</v>
      </c>
      <c r="CX76" s="59">
        <f t="shared" si="68"/>
        <v>278.76952032615009</v>
      </c>
      <c r="CY76" s="59">
        <f ca="1">AVERAGE(OFFSET($CX$3,0,0,'Données projet'!$E$13+1,1))-AVERAGE(OFFSET($H$3,0,0,'Données projet'!$E$13+1,1))</f>
        <v>284.31574332240928</v>
      </c>
      <c r="CZ76" s="59">
        <f t="shared" si="96"/>
        <v>403.96994631683913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648.89316668586912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648.89316668586912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66.028050998040555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>
        <f>DO76*VLOOKUP('Données projet'!$B$14,Paramètres!$A$1:$I$89,3,0)*VLOOKUP('Données projet'!$B$14,Paramètres!$A$1:$I$89,5,0)</f>
        <v>0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190.9519472160006</v>
      </c>
      <c r="DU76" s="59">
        <f t="shared" si="98"/>
        <v>170.61553500287511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138.94320133799312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138.94320133799312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66.028050998040555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67.400000000000006</v>
      </c>
      <c r="EJ76" s="12">
        <f>IF('Données projet'!$A$192&gt;35,EJ75+EI76-ER75,IF(A76&lt;'Données projet'!$A$192,$EG$205^A76,IF(A76='Données projet'!$A$192,'Données projet'!$B$192,EJ75+EI76-ER75)))</f>
        <v>237.2</v>
      </c>
      <c r="EK76" s="17">
        <f>EJ76*VLOOKUP('Données projet'!$B$15,Paramètres!$A$1:$I$89,3,0)*VLOOKUP('Données projet'!$B$15,Paramètres!$A$1:$I$89,5,0)</f>
        <v>203.51760000000002</v>
      </c>
      <c r="EL76" s="13">
        <f t="shared" si="99"/>
        <v>50.516443546845025</v>
      </c>
      <c r="EM76" s="20">
        <f t="shared" si="73"/>
        <v>442.44262584408847</v>
      </c>
      <c r="EN76" s="59">
        <f t="shared" si="74"/>
        <v>721.21214617023725</v>
      </c>
      <c r="EO76" s="59">
        <f ca="1">AVERAGE(OFFSET($EN$3,0,0,'Données projet'!$E$15+1,1))-AVERAGE(OFFSET($H$3,0,0,'Données projet'!$E$15+1,1))</f>
        <v>331.94255128154623</v>
      </c>
      <c r="EP76" s="59">
        <f t="shared" si="100"/>
        <v>258.40809812013964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504.94881913924991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504.94881913924991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66.028050998040555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>
        <f>FE76*VLOOKUP('Données projet'!$B$16,Paramètres!$A$1:$I$89,3,0)*VLOOKUP('Données projet'!$B$16,Paramètres!$A$1:$I$89,5,0)</f>
        <v>0</v>
      </c>
      <c r="FG76" s="13" t="e">
        <f t="shared" si="101"/>
        <v>#NUM!</v>
      </c>
      <c r="FH76" s="20" t="e">
        <f t="shared" si="76"/>
        <v>#NUM!</v>
      </c>
      <c r="FI76" s="59" t="e">
        <f t="shared" si="77"/>
        <v>#NUM!</v>
      </c>
      <c r="FJ76" s="59">
        <f ca="1">AVERAGE(OFFSET($FI$3,0,0,'Données projet'!$E$16+1,1))-AVERAGE(OFFSET($H$3,0,0,'Données projet'!$E$16+1,1))</f>
        <v>290.72311302449236</v>
      </c>
      <c r="FK76" s="59">
        <f t="shared" si="102"/>
        <v>352.32552988394434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534.07647022679146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534.07647022679146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66.028050998040555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>
        <f>FZ76*VLOOKUP('Données projet'!$B$17,Paramètres!$A$1:$I$89,3,0)*VLOOKUP('Données projet'!$B$17,Paramètres!$A$1:$I$89,5,0)</f>
        <v>0</v>
      </c>
      <c r="GB76" s="13" t="e">
        <f t="shared" si="103"/>
        <v>#NUM!</v>
      </c>
      <c r="GC76" s="20" t="e">
        <f t="shared" si="79"/>
        <v>#NUM!</v>
      </c>
      <c r="GD76" s="59" t="e">
        <f t="shared" si="80"/>
        <v>#NUM!</v>
      </c>
      <c r="GE76" s="59">
        <f ca="1">AVERAGE(OFFSET($GD$3,0,0,'Données projet'!$E$17+1,1))-AVERAGE(OFFSET($H$3,0,0,'Données projet'!$E$17+1,1))</f>
        <v>123.03972959251965</v>
      </c>
      <c r="GF76" s="59">
        <f t="shared" si="104"/>
        <v>178.27657680839445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116.08470717017704</v>
      </c>
      <c r="GM76" s="21">
        <f>EXP(-LN(2)/25)*GM75+(1-EXP(-LN(2)/25))/(LN(2)/25)*Calculateur!GH76*Calculateur!GJ76*VLOOKUP('Données projet'!$B$17,Paramètres!$A$1:$I$89,3,0)*0.475*44/12</f>
        <v>30.910119935146266</v>
      </c>
      <c r="GN76" s="21">
        <f>EXP(-LN(2)/2)*GN75+(1-EXP(-LN(2)/2))/(LN(2)/2)*GH76*GK76*VLOOKUP('Données projet'!$B$17,Paramètres!$A$1:$I$89,3,0)*0.475*44/12</f>
        <v>3.6139377534133588</v>
      </c>
      <c r="GO76" s="21">
        <f t="shared" si="81"/>
        <v>150.60876485873666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66.028050998040555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52.4</v>
      </c>
      <c r="GU76" s="12">
        <f>IF('Données projet'!$A$270&gt;35,GU75+GT76-HC75,IF(A76&lt;'Données projet'!$A$270,$GR$205^A76,IF(A76='Données projet'!$A$270,'Données projet'!$B$270,GU75+GT76-HC75)))</f>
        <v>211.19999999999976</v>
      </c>
      <c r="GV76" s="17">
        <f>GU76*VLOOKUP('Données projet'!$B$18,Paramètres!$A$1:$I$89,3,0)*VLOOKUP('Données projet'!$B$18,Paramètres!$A$1:$I$89,5,0)</f>
        <v>141.67295999999985</v>
      </c>
      <c r="GW76" s="13">
        <f t="shared" si="105"/>
        <v>36.679991775059335</v>
      </c>
      <c r="GX76" s="20">
        <f t="shared" si="82"/>
        <v>310.63139100822804</v>
      </c>
      <c r="GY76" s="59">
        <f t="shared" si="83"/>
        <v>589.40091133437681</v>
      </c>
      <c r="GZ76" s="59">
        <f ca="1">AVERAGE(OFFSET($GY$3,0,0,'Données projet'!$E$18+1,1))-AVERAGE(OFFSET($H$3,0,0,'Données projet'!$E$18+1,1))</f>
        <v>542.25674729323623</v>
      </c>
      <c r="HA76" s="59">
        <f t="shared" si="106"/>
        <v>614.73906555680685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0</v>
      </c>
      <c r="HH76" s="21">
        <f>EXP(-LN(2)/25)*HH75+(1-EXP(-LN(2)/25))/(LN(2)/25)*Calculateur!HC76*Calculateur!HE76*VLOOKUP('Données projet'!$B$18,Paramètres!$A$1:$I$89,3,0)*0.475*44/12</f>
        <v>0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0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2.8499999999999996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10.449999999999998</v>
      </c>
      <c r="H77" s="67">
        <f t="shared" si="56"/>
        <v>214.86666666666667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66.096955433276889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-1.0231815394945443E-12</v>
      </c>
      <c r="O77" s="13">
        <f>N77*VLOOKUP('Données projet'!$B$9,Paramètres!$A$1:$I$89,3,0)*VLOOKUP('Données projet'!$B$9,Paramètres!$A$1:$I$89,5,0)</f>
        <v>-8.9385139290243408E-13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686.80970545599644</v>
      </c>
      <c r="T77" s="59">
        <f t="shared" si="88"/>
        <v>636.16485232937737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195.50334056417881</v>
      </c>
      <c r="AA77" s="21">
        <f>EXP(-LN(2)/25)*AA76+(1-EXP(-LN(2)/25))/(LN(2)/25)*Calculateur!V77*Calculateur!X77*VLOOKUP('Données projet'!$B$9,Paramètres!$A$1:$I$89,3,0)*0.475*44/12</f>
        <v>26.951405182085953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222.45474574626476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66.096955433276889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7.5</v>
      </c>
      <c r="AI77" s="13">
        <f>IF('Données projet'!$A$62&gt;35,AI76+AH77-AQ76,IF(A77&lt;'Données projet'!$A$62,$AF$205^A77,IF(A77='Données projet'!$A$62,'Données projet'!$B$62,AI76+AH77-AQ76)))</f>
        <v>197.00000000000003</v>
      </c>
      <c r="AJ77" s="13">
        <f>AI77*VLOOKUP('Données projet'!$B$10,Paramètres!$A$1:$I$89,3,0)*VLOOKUP('Données projet'!$B$10,Paramètres!$A$1:$I$89,5,0)</f>
        <v>178.24560000000002</v>
      </c>
      <c r="AK77" s="13">
        <f t="shared" si="89"/>
        <v>44.931642269910427</v>
      </c>
      <c r="AL77" s="20">
        <f t="shared" si="58"/>
        <v>388.70036362009404</v>
      </c>
      <c r="AM77" s="59">
        <f t="shared" si="59"/>
        <v>667.72253354210932</v>
      </c>
      <c r="AN77" s="59">
        <f ca="1">AVERAGE(OFFSET($AM$3,0,0,'Données projet'!$E$10+1,1))-AVERAGE(OFFSET($H$3,0,0,'Données projet'!$E$10+1,1))</f>
        <v>323.67375363913726</v>
      </c>
      <c r="AO77" s="59">
        <f t="shared" si="90"/>
        <v>266.03902815735029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25.003224913108891</v>
      </c>
      <c r="AV77" s="21">
        <f>EXP(-LN(2)/25)*AV76+(1-EXP(-LN(2)/25))/(LN(2)/25)*Calculateur!AQ77*Calculateur!AS77*VLOOKUP('Données projet'!$B$10,Paramètres!$A$1:$I$89,3,0)*0.475*44/12</f>
        <v>23.108418758641864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48.111643671750755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66.096955433276889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371.46495716091965</v>
      </c>
      <c r="BJ77" s="59">
        <f t="shared" si="92"/>
        <v>579.95059529269417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125.1114066734188</v>
      </c>
      <c r="BQ77" s="21">
        <f>EXP(-LN(2)/25)*BQ76+(1-EXP(-LN(2)/25))/(LN(2)/25)*Calculateur!BL77*Calculateur!BN77*VLOOKUP('Données projet'!$B$11,Paramètres!$A$1:$I$89,3,0)*0.475*44/12</f>
        <v>30.832024714091578</v>
      </c>
      <c r="BR77" s="21">
        <f>EXP(-LN(2)/2)*BR76+(1-EXP(-LN(2)/2))/(LN(2)/2)*BL77*BO77*VLOOKUP('Données projet'!$B$11,Paramètres!$A$1:$I$89,3,0)*0.475*44/12</f>
        <v>1.6759196455363261E-3</v>
      </c>
      <c r="BS77" s="22">
        <f t="shared" si="63"/>
        <v>155.94510730715592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66.096955433276889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180.18752244216969</v>
      </c>
      <c r="CE77" s="59">
        <f t="shared" si="94"/>
        <v>350.12096474554676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151.07345547264876</v>
      </c>
      <c r="CL77" s="21">
        <f>EXP(-LN(2)/25)*CL76+(1-EXP(-LN(2)/25))/(LN(2)/25)*Calculateur!CG77*Calculateur!CI77*VLOOKUP('Données projet'!$B$12,Paramètres!$A$1:$I$89,3,0)*0.475*44/12</f>
        <v>54.972798774848798</v>
      </c>
      <c r="CM77" s="21">
        <f>EXP(-LN(2)/2)*CM76+(1-EXP(-LN(2)/2))/(LN(2)/2)*CG77*CJ77*VLOOKUP('Données projet'!$B$12,Paramètres!$A$1:$I$89,3,0)*0.475*44/12</f>
        <v>1.2732783859660695E-3</v>
      </c>
      <c r="CN77" s="22">
        <f t="shared" si="66"/>
        <v>206.04752752588351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66.096955433276889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5.6843418860808015E-14</v>
      </c>
      <c r="CU77" s="17">
        <f>CT77*VLOOKUP('Données projet'!$B$13,Paramètres!$A$1:$I$89,3,0)*VLOOKUP('Données projet'!$B$13,Paramètres!$A$1:$I$89,5,0)</f>
        <v>4.5224624045658861E-14</v>
      </c>
      <c r="CV77" s="13">
        <f t="shared" si="95"/>
        <v>7.4514601661523691E-13</v>
      </c>
      <c r="CW77" s="20">
        <f t="shared" si="67"/>
        <v>1.3765621991510601E-12</v>
      </c>
      <c r="CX77" s="59">
        <f t="shared" si="68"/>
        <v>279.02216992201664</v>
      </c>
      <c r="CY77" s="59">
        <f ca="1">AVERAGE(OFFSET($CX$3,0,0,'Données projet'!$E$13+1,1))-AVERAGE(OFFSET($H$3,0,0,'Données projet'!$E$13+1,1))</f>
        <v>284.31574332240928</v>
      </c>
      <c r="CZ77" s="59">
        <f t="shared" si="96"/>
        <v>403.96994631683913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636.1687674729103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636.1687674729103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66.096955433276889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>
        <f>DO77*VLOOKUP('Données projet'!$B$14,Paramètres!$A$1:$I$89,3,0)*VLOOKUP('Données projet'!$B$14,Paramètres!$A$1:$I$89,5,0)</f>
        <v>0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190.9519472160006</v>
      </c>
      <c r="DU77" s="59">
        <f t="shared" si="98"/>
        <v>170.61553500287511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136.21860990673983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136.21860990673983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66.096955433276889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67.400000000000006</v>
      </c>
      <c r="EJ77" s="12">
        <f>IF('Données projet'!$A$192&gt;35,EJ76+EI77-ER76,IF(A77&lt;'Données projet'!$A$192,$EG$205^A77,IF(A77='Données projet'!$A$192,'Données projet'!$B$192,EJ76+EI77-ER76)))</f>
        <v>304.60000000000002</v>
      </c>
      <c r="EK77" s="17">
        <f>EJ77*VLOOKUP('Données projet'!$B$15,Paramètres!$A$1:$I$89,3,0)*VLOOKUP('Données projet'!$B$15,Paramètres!$A$1:$I$89,5,0)</f>
        <v>261.34680000000003</v>
      </c>
      <c r="EL77" s="13">
        <f t="shared" si="99"/>
        <v>63.009374908386803</v>
      </c>
      <c r="EM77" s="20">
        <f t="shared" si="73"/>
        <v>564.92033796544035</v>
      </c>
      <c r="EN77" s="59">
        <f t="shared" si="74"/>
        <v>843.94250788745558</v>
      </c>
      <c r="EO77" s="59">
        <f ca="1">AVERAGE(OFFSET($EN$3,0,0,'Données projet'!$E$15+1,1))-AVERAGE(OFFSET($H$3,0,0,'Données projet'!$E$15+1,1))</f>
        <v>331.94255128154623</v>
      </c>
      <c r="EP77" s="59">
        <f t="shared" si="100"/>
        <v>258.40809812013964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495.04708078429758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495.04708078429758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66.096955433276889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>
        <f>FE77*VLOOKUP('Données projet'!$B$16,Paramètres!$A$1:$I$89,3,0)*VLOOKUP('Données projet'!$B$16,Paramètres!$A$1:$I$89,5,0)</f>
        <v>0</v>
      </c>
      <c r="FG77" s="13" t="e">
        <f t="shared" si="101"/>
        <v>#NUM!</v>
      </c>
      <c r="FH77" s="20" t="e">
        <f t="shared" si="76"/>
        <v>#NUM!</v>
      </c>
      <c r="FI77" s="59" t="e">
        <f t="shared" si="77"/>
        <v>#NUM!</v>
      </c>
      <c r="FJ77" s="59">
        <f ca="1">AVERAGE(OFFSET($FI$3,0,0,'Données projet'!$E$16+1,1))-AVERAGE(OFFSET($H$3,0,0,'Données projet'!$E$16+1,1))</f>
        <v>290.72311302449236</v>
      </c>
      <c r="FK77" s="59">
        <f t="shared" si="102"/>
        <v>352.32552988394434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523.60355640012529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523.60355640012529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66.096955433276889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>
        <f>FZ77*VLOOKUP('Données projet'!$B$17,Paramètres!$A$1:$I$89,3,0)*VLOOKUP('Données projet'!$B$17,Paramètres!$A$1:$I$89,5,0)</f>
        <v>0</v>
      </c>
      <c r="GB77" s="13" t="e">
        <f t="shared" si="103"/>
        <v>#NUM!</v>
      </c>
      <c r="GC77" s="20" t="e">
        <f t="shared" si="79"/>
        <v>#NUM!</v>
      </c>
      <c r="GD77" s="59" t="e">
        <f t="shared" si="80"/>
        <v>#NUM!</v>
      </c>
      <c r="GE77" s="59">
        <f ca="1">AVERAGE(OFFSET($GD$3,0,0,'Données projet'!$E$17+1,1))-AVERAGE(OFFSET($H$3,0,0,'Données projet'!$E$17+1,1))</f>
        <v>123.03972959251965</v>
      </c>
      <c r="GF77" s="59">
        <f t="shared" si="104"/>
        <v>178.27657680839445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113.80835686724986</v>
      </c>
      <c r="GM77" s="21">
        <f>EXP(-LN(2)/25)*GM76+(1-EXP(-LN(2)/25))/(LN(2)/25)*Calculateur!GH77*Calculateur!GJ77*VLOOKUP('Données projet'!$B$17,Paramètres!$A$1:$I$89,3,0)*0.475*44/12</f>
        <v>30.064881080027131</v>
      </c>
      <c r="GN77" s="21">
        <f>EXP(-LN(2)/2)*GN76+(1-EXP(-LN(2)/2))/(LN(2)/2)*GH77*GK77*VLOOKUP('Données projet'!$B$17,Paramètres!$A$1:$I$89,3,0)*0.475*44/12</f>
        <v>2.5554398922246633</v>
      </c>
      <c r="GO77" s="21">
        <f t="shared" si="81"/>
        <v>146.42867783950163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66.096955433276889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52.4</v>
      </c>
      <c r="GU77" s="12">
        <f>IF('Données projet'!$A$270&gt;35,GU76+GT77-HC76,IF(A77&lt;'Données projet'!$A$270,$GR$205^A77,IF(A77='Données projet'!$A$270,'Données projet'!$B$270,GU76+GT77-HC76)))</f>
        <v>263.59999999999974</v>
      </c>
      <c r="GV77" s="17">
        <f>GU77*VLOOKUP('Données projet'!$B$18,Paramètres!$A$1:$I$89,3,0)*VLOOKUP('Données projet'!$B$18,Paramètres!$A$1:$I$89,5,0)</f>
        <v>176.82287999999983</v>
      </c>
      <c r="GW77" s="13">
        <f t="shared" si="105"/>
        <v>44.614604561369546</v>
      </c>
      <c r="GX77" s="20">
        <f t="shared" si="82"/>
        <v>385.67028561105167</v>
      </c>
      <c r="GY77" s="59">
        <f t="shared" si="83"/>
        <v>664.692455533067</v>
      </c>
      <c r="GZ77" s="59">
        <f ca="1">AVERAGE(OFFSET($GY$3,0,0,'Données projet'!$E$18+1,1))-AVERAGE(OFFSET($H$3,0,0,'Données projet'!$E$18+1,1))</f>
        <v>542.25674729323623</v>
      </c>
      <c r="HA77" s="59">
        <f t="shared" si="106"/>
        <v>614.73906555680685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0</v>
      </c>
      <c r="HH77" s="21">
        <f>EXP(-LN(2)/25)*HH76+(1-EXP(-LN(2)/25))/(LN(2)/25)*Calculateur!HC77*Calculateur!HE77*VLOOKUP('Données projet'!$B$18,Paramètres!$A$1:$I$89,3,0)*0.475*44/12</f>
        <v>0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0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2.8499999999999996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10.449999999999998</v>
      </c>
      <c r="H78" s="67">
        <f t="shared" si="56"/>
        <v>214.86666666666667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66.16466453060913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-1.0231815394945443E-12</v>
      </c>
      <c r="O78" s="13">
        <f>N78*VLOOKUP('Données projet'!$B$9,Paramètres!$A$1:$I$89,3,0)*VLOOKUP('Données projet'!$B$9,Paramètres!$A$1:$I$89,5,0)</f>
        <v>-8.9385139290243408E-13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686.80970545599644</v>
      </c>
      <c r="T78" s="59">
        <f t="shared" si="88"/>
        <v>636.16485232937737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191.66963930097853</v>
      </c>
      <c r="AA78" s="21">
        <f>EXP(-LN(2)/25)*AA77+(1-EXP(-LN(2)/25))/(LN(2)/25)*Calculateur!V78*Calculateur!X78*VLOOKUP('Données projet'!$B$9,Paramètres!$A$1:$I$89,3,0)*0.475*44/12</f>
        <v>26.214417590069012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217.88405689104755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66.16466453060913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7.5</v>
      </c>
      <c r="AI78" s="13">
        <f>IF('Données projet'!$A$62&gt;35,AI77+AH78-AQ77,IF(A78&lt;'Données projet'!$A$62,$AF$205^A78,IF(A78='Données projet'!$A$62,'Données projet'!$B$62,AI77+AH78-AQ77)))</f>
        <v>204.50000000000003</v>
      </c>
      <c r="AJ78" s="13">
        <f>AI78*VLOOKUP('Données projet'!$B$10,Paramètres!$A$1:$I$89,3,0)*VLOOKUP('Données projet'!$B$10,Paramètres!$A$1:$I$89,5,0)</f>
        <v>185.03160000000003</v>
      </c>
      <c r="AK78" s="13">
        <f t="shared" si="89"/>
        <v>46.439821937925259</v>
      </c>
      <c r="AL78" s="20">
        <f t="shared" si="58"/>
        <v>403.14605987521986</v>
      </c>
      <c r="AM78" s="59">
        <f t="shared" si="59"/>
        <v>682.41649648745329</v>
      </c>
      <c r="AN78" s="59">
        <f ca="1">AVERAGE(OFFSET($AM$3,0,0,'Données projet'!$E$10+1,1))-AVERAGE(OFFSET($H$3,0,0,'Données projet'!$E$10+1,1))</f>
        <v>323.67375363913726</v>
      </c>
      <c r="AO78" s="59">
        <f t="shared" si="90"/>
        <v>266.03902815735029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24.512926923024164</v>
      </c>
      <c r="AV78" s="21">
        <f>EXP(-LN(2)/25)*AV77+(1-EXP(-LN(2)/25))/(LN(2)/25)*Calculateur!AQ78*Calculateur!AS78*VLOOKUP('Données projet'!$B$10,Paramètres!$A$1:$I$89,3,0)*0.475*44/12</f>
        <v>22.476517832467874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46.989444755492038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66.16466453060913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371.46495716091965</v>
      </c>
      <c r="BJ78" s="59">
        <f t="shared" si="92"/>
        <v>579.95059529269417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122.6580482989761</v>
      </c>
      <c r="BQ78" s="21">
        <f>EXP(-LN(2)/25)*BQ77+(1-EXP(-LN(2)/25))/(LN(2)/25)*Calculateur!BL78*Calculateur!BN78*VLOOKUP('Données projet'!$B$11,Paramètres!$A$1:$I$89,3,0)*0.475*44/12</f>
        <v>29.988921376899032</v>
      </c>
      <c r="BR78" s="21">
        <f>EXP(-LN(2)/2)*BR77+(1-EXP(-LN(2)/2))/(LN(2)/2)*BL78*BO78*VLOOKUP('Données projet'!$B$11,Paramètres!$A$1:$I$89,3,0)*0.475*44/12</f>
        <v>1.1850541460824912E-3</v>
      </c>
      <c r="BS78" s="22">
        <f t="shared" si="63"/>
        <v>152.64815473002122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66.16466453060913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180.18752244216969</v>
      </c>
      <c r="CE78" s="59">
        <f t="shared" si="94"/>
        <v>350.12096474554676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148.11099715653933</v>
      </c>
      <c r="CL78" s="21">
        <f>EXP(-LN(2)/25)*CL77+(1-EXP(-LN(2)/25))/(LN(2)/25)*Calculateur!CG78*Calculateur!CI78*VLOOKUP('Données projet'!$B$12,Paramètres!$A$1:$I$89,3,0)*0.475*44/12</f>
        <v>53.469564701456711</v>
      </c>
      <c r="CM78" s="21">
        <f>EXP(-LN(2)/2)*CM77+(1-EXP(-LN(2)/2))/(LN(2)/2)*CG78*CJ78*VLOOKUP('Données projet'!$B$12,Paramètres!$A$1:$I$89,3,0)*0.475*44/12</f>
        <v>9.0034378105486993E-4</v>
      </c>
      <c r="CN78" s="22">
        <f t="shared" si="66"/>
        <v>201.5814622017771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66.16466453060913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5.6843418860808015E-14</v>
      </c>
      <c r="CU78" s="17">
        <f>CT78*VLOOKUP('Données projet'!$B$13,Paramètres!$A$1:$I$89,3,0)*VLOOKUP('Données projet'!$B$13,Paramètres!$A$1:$I$89,5,0)</f>
        <v>4.5224624045658861E-14</v>
      </c>
      <c r="CV78" s="13">
        <f t="shared" si="95"/>
        <v>7.4514601661523691E-13</v>
      </c>
      <c r="CW78" s="20">
        <f t="shared" si="67"/>
        <v>1.3765621991510601E-12</v>
      </c>
      <c r="CX78" s="59">
        <f t="shared" si="68"/>
        <v>279.27043661223485</v>
      </c>
      <c r="CY78" s="59">
        <f ca="1">AVERAGE(OFFSET($CX$3,0,0,'Données projet'!$E$13+1,1))-AVERAGE(OFFSET($H$3,0,0,'Données projet'!$E$13+1,1))</f>
        <v>284.31574332240928</v>
      </c>
      <c r="CZ78" s="59">
        <f t="shared" si="96"/>
        <v>403.96994631683913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623.69388596740043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623.69388596740043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66.16466453060913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>
        <f>DO78*VLOOKUP('Données projet'!$B$14,Paramètres!$A$1:$I$89,3,0)*VLOOKUP('Données projet'!$B$14,Paramètres!$A$1:$I$89,5,0)</f>
        <v>0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190.9519472160006</v>
      </c>
      <c r="DU78" s="59">
        <f t="shared" si="98"/>
        <v>170.61553500287511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133.54744605161673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133.54744605161673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66.16466453060913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372</v>
      </c>
      <c r="EH78" s="12">
        <f>VLOOKUP(A78,'Données projet'!$A$191:$I$211,9,0)</f>
        <v>67.400000000000006</v>
      </c>
      <c r="EI78" s="12">
        <f t="array" ref="EI78">INDEX(EH:EH,MIN(IF(ISNUMBER(EH78:EH274),ROW(EH78:EH274),"")))</f>
        <v>67.400000000000006</v>
      </c>
      <c r="EJ78" s="12">
        <f>IF('Données projet'!$A$192&gt;35,EJ77+EI78-ER77,IF(A78&lt;'Données projet'!$A$192,$EG$205^A78,IF(A78='Données projet'!$A$192,'Données projet'!$B$192,EJ77+EI78-ER77)))</f>
        <v>372</v>
      </c>
      <c r="EK78" s="17">
        <f>EJ78*VLOOKUP('Données projet'!$B$15,Paramètres!$A$1:$I$89,3,0)*VLOOKUP('Données projet'!$B$15,Paramètres!$A$1:$I$89,5,0)</f>
        <v>319.17600000000004</v>
      </c>
      <c r="EL78" s="13">
        <f t="shared" si="99"/>
        <v>75.181878718947672</v>
      </c>
      <c r="EM78" s="20">
        <f t="shared" si="73"/>
        <v>686.83997210216728</v>
      </c>
      <c r="EN78" s="59">
        <f t="shared" si="74"/>
        <v>966.11040871440082</v>
      </c>
      <c r="EO78" s="59">
        <f ca="1">AVERAGE(OFFSET($EN$3,0,0,'Données projet'!$E$15+1,1))-AVERAGE(OFFSET($H$3,0,0,'Données projet'!$E$15+1,1))</f>
        <v>331.94255128154623</v>
      </c>
      <c r="EP78" s="59">
        <f t="shared" si="100"/>
        <v>258.40809812013964</v>
      </c>
      <c r="EQ78" s="15">
        <f>IF(ISNA(VLOOKUP(A78,'Données projet'!$A$191:$I$211,3,0)),0,VLOOKUP(A78,'Données projet'!$A$191:$I$211,3,0))</f>
        <v>12</v>
      </c>
      <c r="ER78" s="15">
        <f>IF(ISNA(VLOOKUP(A78,'Données projet'!$A$191:$I$211,4,0)),0,VLOOKUP(A78,'Données projet'!$A$191:$I$211,4,0))</f>
        <v>337</v>
      </c>
      <c r="ES78" s="16">
        <f>IF(ISNA(VLOOKUP(A78,'Données projet'!$A$191:$I$211,5,0)),0%,VLOOKUP(A78,'Données projet'!$A$191:$I$211,5,0)*VLOOKUP('Données projet'!$B$15,Paramètres!$A$1:$I$89,7,0))</f>
        <v>0.42400000000000004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620.86786094384604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620.86786094384604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66.16466453060913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>
        <f>FE78*VLOOKUP('Données projet'!$B$16,Paramètres!$A$1:$I$89,3,0)*VLOOKUP('Données projet'!$B$16,Paramètres!$A$1:$I$89,5,0)</f>
        <v>0</v>
      </c>
      <c r="FG78" s="13" t="e">
        <f t="shared" si="101"/>
        <v>#NUM!</v>
      </c>
      <c r="FH78" s="20" t="e">
        <f t="shared" si="76"/>
        <v>#NUM!</v>
      </c>
      <c r="FI78" s="59" t="e">
        <f t="shared" si="77"/>
        <v>#NUM!</v>
      </c>
      <c r="FJ78" s="59">
        <f ca="1">AVERAGE(OFFSET($FI$3,0,0,'Données projet'!$E$16+1,1))-AVERAGE(OFFSET($H$3,0,0,'Données projet'!$E$16+1,1))</f>
        <v>290.72311302449236</v>
      </c>
      <c r="FK78" s="59">
        <f t="shared" si="102"/>
        <v>352.32552988394434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513.33601002575335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513.33601002575335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66.16466453060913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>
        <f>FZ78*VLOOKUP('Données projet'!$B$17,Paramètres!$A$1:$I$89,3,0)*VLOOKUP('Données projet'!$B$17,Paramètres!$A$1:$I$89,5,0)</f>
        <v>0</v>
      </c>
      <c r="GB78" s="13" t="e">
        <f t="shared" si="103"/>
        <v>#NUM!</v>
      </c>
      <c r="GC78" s="20" t="e">
        <f t="shared" si="79"/>
        <v>#NUM!</v>
      </c>
      <c r="GD78" s="59" t="e">
        <f t="shared" si="80"/>
        <v>#NUM!</v>
      </c>
      <c r="GE78" s="59">
        <f ca="1">AVERAGE(OFFSET($GD$3,0,0,'Données projet'!$E$17+1,1))-AVERAGE(OFFSET($H$3,0,0,'Données projet'!$E$17+1,1))</f>
        <v>123.03972959251965</v>
      </c>
      <c r="GF78" s="59">
        <f t="shared" si="104"/>
        <v>178.27657680839445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111.57664440532649</v>
      </c>
      <c r="GM78" s="21">
        <f>EXP(-LN(2)/25)*GM77+(1-EXP(-LN(2)/25))/(LN(2)/25)*Calculateur!GH78*Calculateur!GJ78*VLOOKUP('Données projet'!$B$17,Paramètres!$A$1:$I$89,3,0)*0.475*44/12</f>
        <v>29.242755325850407</v>
      </c>
      <c r="GN78" s="21">
        <f>EXP(-LN(2)/2)*GN77+(1-EXP(-LN(2)/2))/(LN(2)/2)*GH78*GK78*VLOOKUP('Données projet'!$B$17,Paramètres!$A$1:$I$89,3,0)*0.475*44/12</f>
        <v>1.8069688767066796</v>
      </c>
      <c r="GO78" s="21">
        <f t="shared" si="81"/>
        <v>142.62636860788359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66.16466453060913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52.4</v>
      </c>
      <c r="GU78" s="12">
        <f>IF('Données projet'!$A$270&gt;35,GU77+GT78-HC77,IF(A78&lt;'Données projet'!$A$270,$GR$205^A78,IF(A78='Données projet'!$A$270,'Données projet'!$B$270,GU77+GT78-HC77)))</f>
        <v>315.99999999999972</v>
      </c>
      <c r="GV78" s="17">
        <f>GU78*VLOOKUP('Données projet'!$B$18,Paramètres!$A$1:$I$89,3,0)*VLOOKUP('Données projet'!$B$18,Paramètres!$A$1:$I$89,5,0)</f>
        <v>211.97279999999984</v>
      </c>
      <c r="GW78" s="13">
        <f t="shared" si="105"/>
        <v>52.366457246831125</v>
      </c>
      <c r="GX78" s="20">
        <f t="shared" si="82"/>
        <v>460.39087303823061</v>
      </c>
      <c r="GY78" s="59">
        <f t="shared" si="83"/>
        <v>739.66130965046409</v>
      </c>
      <c r="GZ78" s="59">
        <f ca="1">AVERAGE(OFFSET($GY$3,0,0,'Données projet'!$E$18+1,1))-AVERAGE(OFFSET($H$3,0,0,'Données projet'!$E$18+1,1))</f>
        <v>542.25674729323623</v>
      </c>
      <c r="HA78" s="59">
        <f t="shared" si="106"/>
        <v>614.73906555680685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0</v>
      </c>
      <c r="HH78" s="21">
        <f>EXP(-LN(2)/25)*HH77+(1-EXP(-LN(2)/25))/(LN(2)/25)*Calculateur!HC78*Calculateur!HE78*VLOOKUP('Données projet'!$B$18,Paramètres!$A$1:$I$89,3,0)*0.475*44/12</f>
        <v>0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0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2.8499999999999996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10.449999999999998</v>
      </c>
      <c r="H79" s="67">
        <f t="shared" si="56"/>
        <v>214.86666666666667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66.231199026477498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-1.0231815394945443E-12</v>
      </c>
      <c r="O79" s="13">
        <f>N79*VLOOKUP('Données projet'!$B$9,Paramètres!$A$1:$I$89,3,0)*VLOOKUP('Données projet'!$B$9,Paramètres!$A$1:$I$89,5,0)</f>
        <v>-8.9385139290243408E-13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686.80970545599644</v>
      </c>
      <c r="T79" s="59">
        <f t="shared" si="88"/>
        <v>636.16485232937737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187.91111458122271</v>
      </c>
      <c r="AA79" s="21">
        <f>EXP(-LN(2)/25)*AA78+(1-EXP(-LN(2)/25))/(LN(2)/25)*Calculateur!V79*Calculateur!X79*VLOOKUP('Données projet'!$B$9,Paramètres!$A$1:$I$89,3,0)*0.475*44/12</f>
        <v>25.497582962512269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213.40869754373497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66.231199026477498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7.5</v>
      </c>
      <c r="AI79" s="13">
        <f>IF('Données projet'!$A$62&gt;35,AI78+AH79-AQ78,IF(A79&lt;'Données projet'!$A$62,$AF$205^A79,IF(A79='Données projet'!$A$62,'Données projet'!$B$62,AI78+AH79-AQ78)))</f>
        <v>212.00000000000003</v>
      </c>
      <c r="AJ79" s="13">
        <f>AI79*VLOOKUP('Données projet'!$B$10,Paramètres!$A$1:$I$89,3,0)*VLOOKUP('Données projet'!$B$10,Paramètres!$A$1:$I$89,5,0)</f>
        <v>191.81760000000003</v>
      </c>
      <c r="AK79" s="13">
        <f t="shared" si="89"/>
        <v>47.941575465657138</v>
      </c>
      <c r="AL79" s="20">
        <f t="shared" si="58"/>
        <v>417.58056393601959</v>
      </c>
      <c r="AM79" s="59">
        <f t="shared" si="59"/>
        <v>697.09496036643714</v>
      </c>
      <c r="AN79" s="59">
        <f ca="1">AVERAGE(OFFSET($AM$3,0,0,'Données projet'!$E$10+1,1))-AVERAGE(OFFSET($H$3,0,0,'Données projet'!$E$10+1,1))</f>
        <v>323.67375363913726</v>
      </c>
      <c r="AO79" s="59">
        <f t="shared" si="90"/>
        <v>266.03902815735029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24.032243377472753</v>
      </c>
      <c r="AV79" s="21">
        <f>EXP(-LN(2)/25)*AV78+(1-EXP(-LN(2)/25))/(LN(2)/25)*Calculateur!AQ79*Calculateur!AS79*VLOOKUP('Données projet'!$B$10,Paramètres!$A$1:$I$89,3,0)*0.475*44/12</f>
        <v>21.861896270350339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45.894139647823096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66.231199026477498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371.46495716091965</v>
      </c>
      <c r="BJ79" s="59">
        <f t="shared" si="92"/>
        <v>579.95059529269417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120.25279878585536</v>
      </c>
      <c r="BQ79" s="21">
        <f>EXP(-LN(2)/25)*BQ78+(1-EXP(-LN(2)/25))/(LN(2)/25)*Calculateur!BL79*Calculateur!BN79*VLOOKUP('Données projet'!$B$11,Paramètres!$A$1:$I$89,3,0)*0.475*44/12</f>
        <v>29.168872744798893</v>
      </c>
      <c r="BR79" s="21">
        <f>EXP(-LN(2)/2)*BR78+(1-EXP(-LN(2)/2))/(LN(2)/2)*BL79*BO79*VLOOKUP('Données projet'!$B$11,Paramètres!$A$1:$I$89,3,0)*0.475*44/12</f>
        <v>8.3795982276816305E-4</v>
      </c>
      <c r="BS79" s="22">
        <f t="shared" si="63"/>
        <v>149.42250949047704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66.231199026477498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180.18752244216969</v>
      </c>
      <c r="CE79" s="59">
        <f t="shared" si="94"/>
        <v>350.12096474554676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145.20663084108764</v>
      </c>
      <c r="CL79" s="21">
        <f>EXP(-LN(2)/25)*CL78+(1-EXP(-LN(2)/25))/(LN(2)/25)*Calculateur!CG79*Calculateur!CI79*VLOOKUP('Données projet'!$B$12,Paramètres!$A$1:$I$89,3,0)*0.475*44/12</f>
        <v>52.007436642853179</v>
      </c>
      <c r="CM79" s="21">
        <f>EXP(-LN(2)/2)*CM78+(1-EXP(-LN(2)/2))/(LN(2)/2)*CG79*CJ79*VLOOKUP('Données projet'!$B$12,Paramètres!$A$1:$I$89,3,0)*0.475*44/12</f>
        <v>6.3663919298303476E-4</v>
      </c>
      <c r="CN79" s="22">
        <f t="shared" si="66"/>
        <v>197.2147041231338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66.231199026477498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5.6843418860808015E-14</v>
      </c>
      <c r="CU79" s="17">
        <f>CT79*VLOOKUP('Données projet'!$B$13,Paramètres!$A$1:$I$89,3,0)*VLOOKUP('Données projet'!$B$13,Paramètres!$A$1:$I$89,5,0)</f>
        <v>4.5224624045658861E-14</v>
      </c>
      <c r="CV79" s="13">
        <f t="shared" si="95"/>
        <v>7.4514601661523691E-13</v>
      </c>
      <c r="CW79" s="20">
        <f t="shared" si="67"/>
        <v>1.3765621991510601E-12</v>
      </c>
      <c r="CX79" s="59">
        <f t="shared" si="68"/>
        <v>279.51439643041886</v>
      </c>
      <c r="CY79" s="59">
        <f ca="1">AVERAGE(OFFSET($CX$3,0,0,'Données projet'!$E$13+1,1))-AVERAGE(OFFSET($H$3,0,0,'Données projet'!$E$13+1,1))</f>
        <v>284.31574332240928</v>
      </c>
      <c r="CZ79" s="59">
        <f t="shared" si="96"/>
        <v>403.96994631683913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611.46362927928726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611.46362927928726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66.231199026477498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>
        <f>DO79*VLOOKUP('Données projet'!$B$14,Paramètres!$A$1:$I$89,3,0)*VLOOKUP('Données projet'!$B$14,Paramètres!$A$1:$I$89,5,0)</f>
        <v>0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190.9519472160006</v>
      </c>
      <c r="DU79" s="59">
        <f t="shared" si="98"/>
        <v>170.61553500287511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130.92866209044351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130.92866209044351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66.231199026477498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71</v>
      </c>
      <c r="EJ79" s="12">
        <f>IF('Données projet'!$A$192&gt;35,EJ78+EI79-ER78,IF(A79&lt;'Données projet'!$A$192,$EG$205^A79,IF(A79='Données projet'!$A$192,'Données projet'!$B$192,EJ78+EI79-ER78)))</f>
        <v>106</v>
      </c>
      <c r="EK79" s="17">
        <f>EJ79*VLOOKUP('Données projet'!$B$15,Paramètres!$A$1:$I$89,3,0)*VLOOKUP('Données projet'!$B$15,Paramètres!$A$1:$I$89,5,0)</f>
        <v>90.948000000000008</v>
      </c>
      <c r="EL79" s="13">
        <f t="shared" si="99"/>
        <v>24.793720150223983</v>
      </c>
      <c r="EM79" s="20">
        <f t="shared" si="73"/>
        <v>201.58349592830677</v>
      </c>
      <c r="EN79" s="59">
        <f t="shared" si="74"/>
        <v>481.09789235872427</v>
      </c>
      <c r="EO79" s="59">
        <f ca="1">AVERAGE(OFFSET($EN$3,0,0,'Données projet'!$E$15+1,1))-AVERAGE(OFFSET($H$3,0,0,'Données projet'!$E$15+1,1))</f>
        <v>331.94255128154623</v>
      </c>
      <c r="EP79" s="59">
        <f t="shared" si="100"/>
        <v>258.40809812013964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608.69302088273969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608.69302088273969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66.231199026477498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>
        <f>FE79*VLOOKUP('Données projet'!$B$16,Paramètres!$A$1:$I$89,3,0)*VLOOKUP('Données projet'!$B$16,Paramètres!$A$1:$I$89,5,0)</f>
        <v>0</v>
      </c>
      <c r="FG79" s="13" t="e">
        <f t="shared" si="101"/>
        <v>#NUM!</v>
      </c>
      <c r="FH79" s="20" t="e">
        <f t="shared" si="76"/>
        <v>#NUM!</v>
      </c>
      <c r="FI79" s="59" t="e">
        <f t="shared" si="77"/>
        <v>#NUM!</v>
      </c>
      <c r="FJ79" s="59">
        <f ca="1">AVERAGE(OFFSET($FI$3,0,0,'Données projet'!$E$16+1,1))-AVERAGE(OFFSET($H$3,0,0,'Données projet'!$E$16+1,1))</f>
        <v>290.72311302449236</v>
      </c>
      <c r="FK79" s="59">
        <f t="shared" si="102"/>
        <v>352.32552988394434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503.26980397319801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503.26980397319801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66.231199026477498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>
        <f>FZ79*VLOOKUP('Données projet'!$B$17,Paramètres!$A$1:$I$89,3,0)*VLOOKUP('Données projet'!$B$17,Paramètres!$A$1:$I$89,5,0)</f>
        <v>0</v>
      </c>
      <c r="GB79" s="13" t="e">
        <f t="shared" si="103"/>
        <v>#NUM!</v>
      </c>
      <c r="GC79" s="20" t="e">
        <f t="shared" si="79"/>
        <v>#NUM!</v>
      </c>
      <c r="GD79" s="59" t="e">
        <f t="shared" si="80"/>
        <v>#NUM!</v>
      </c>
      <c r="GE79" s="59">
        <f ca="1">AVERAGE(OFFSET($GD$3,0,0,'Données projet'!$E$17+1,1))-AVERAGE(OFFSET($H$3,0,0,'Données projet'!$E$17+1,1))</f>
        <v>123.03972959251965</v>
      </c>
      <c r="GF79" s="59">
        <f t="shared" si="104"/>
        <v>178.27657680839445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109.38869446357126</v>
      </c>
      <c r="GM79" s="21">
        <f>EXP(-LN(2)/25)*GM78+(1-EXP(-LN(2)/25))/(LN(2)/25)*Calculateur!GH79*Calculateur!GJ79*VLOOKUP('Données projet'!$B$17,Paramètres!$A$1:$I$89,3,0)*0.475*44/12</f>
        <v>28.443110643655359</v>
      </c>
      <c r="GN79" s="21">
        <f>EXP(-LN(2)/2)*GN78+(1-EXP(-LN(2)/2))/(LN(2)/2)*GH79*GK79*VLOOKUP('Données projet'!$B$17,Paramètres!$A$1:$I$89,3,0)*0.475*44/12</f>
        <v>1.2777199461123319</v>
      </c>
      <c r="GO79" s="21">
        <f t="shared" si="81"/>
        <v>139.10952505333896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66.231199026477498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52.4</v>
      </c>
      <c r="GU79" s="12">
        <f>IF('Données projet'!$A$270&gt;35,GU78+GT79-HC78,IF(A79&lt;'Données projet'!$A$270,$GR$205^A79,IF(A79='Données projet'!$A$270,'Données projet'!$B$270,GU78+GT79-HC78)))</f>
        <v>368.39999999999969</v>
      </c>
      <c r="GV79" s="17">
        <f>GU79*VLOOKUP('Données projet'!$B$18,Paramètres!$A$1:$I$89,3,0)*VLOOKUP('Données projet'!$B$18,Paramètres!$A$1:$I$89,5,0)</f>
        <v>247.12271999999979</v>
      </c>
      <c r="GW79" s="13">
        <f t="shared" si="105"/>
        <v>59.969400166576158</v>
      </c>
      <c r="GX79" s="20">
        <f t="shared" si="82"/>
        <v>534.85210929011976</v>
      </c>
      <c r="GY79" s="59">
        <f t="shared" si="83"/>
        <v>814.36650572053725</v>
      </c>
      <c r="GZ79" s="59">
        <f ca="1">AVERAGE(OFFSET($GY$3,0,0,'Données projet'!$E$18+1,1))-AVERAGE(OFFSET($H$3,0,0,'Données projet'!$E$18+1,1))</f>
        <v>542.25674729323623</v>
      </c>
      <c r="HA79" s="59">
        <f t="shared" si="106"/>
        <v>614.73906555680685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0</v>
      </c>
      <c r="HH79" s="21">
        <f>EXP(-LN(2)/25)*HH78+(1-EXP(-LN(2)/25))/(LN(2)/25)*Calculateur!HC79*Calculateur!HE79*VLOOKUP('Données projet'!$B$18,Paramètres!$A$1:$I$89,3,0)*0.475*44/12</f>
        <v>0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0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2.8499999999999996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10.449999999999998</v>
      </c>
      <c r="H80" s="67">
        <f t="shared" si="56"/>
        <v>214.86666666666667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66.296579297591421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-1.0231815394945443E-12</v>
      </c>
      <c r="O80" s="13">
        <f>N80*VLOOKUP('Données projet'!$B$9,Paramètres!$A$1:$I$89,3,0)*VLOOKUP('Données projet'!$B$9,Paramètres!$A$1:$I$89,5,0)</f>
        <v>-8.9385139290243408E-13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686.80970545599644</v>
      </c>
      <c r="T80" s="59">
        <f t="shared" si="88"/>
        <v>636.16485232937737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184.22629223874759</v>
      </c>
      <c r="AA80" s="21">
        <f>EXP(-LN(2)/25)*AA79+(1-EXP(-LN(2)/25))/(LN(2)/25)*Calculateur!V80*Calculateur!X80*VLOOKUP('Données projet'!$B$9,Paramètres!$A$1:$I$89,3,0)*0.475*44/12</f>
        <v>24.800350215542757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209.02664245429034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66.296579297591421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7.5</v>
      </c>
      <c r="AI80" s="13">
        <f>IF('Données projet'!$A$62&gt;35,AI79+AH80-AQ79,IF(A80&lt;'Données projet'!$A$62,$AF$205^A80,IF(A80='Données projet'!$A$62,'Données projet'!$B$62,AI79+AH80-AQ79)))</f>
        <v>219.50000000000003</v>
      </c>
      <c r="AJ80" s="13">
        <f>AI80*VLOOKUP('Données projet'!$B$10,Paramètres!$A$1:$I$89,3,0)*VLOOKUP('Données projet'!$B$10,Paramètres!$A$1:$I$89,5,0)</f>
        <v>198.6036</v>
      </c>
      <c r="AK80" s="13">
        <f t="shared" si="89"/>
        <v>49.437156240946763</v>
      </c>
      <c r="AL80" s="20">
        <f t="shared" si="58"/>
        <v>432.00431711964893</v>
      </c>
      <c r="AM80" s="59">
        <f t="shared" si="59"/>
        <v>711.75844121081741</v>
      </c>
      <c r="AN80" s="59">
        <f ca="1">AVERAGE(OFFSET($AM$3,0,0,'Données projet'!$E$10+1,1))-AVERAGE(OFFSET($H$3,0,0,'Données projet'!$E$10+1,1))</f>
        <v>323.67375363913726</v>
      </c>
      <c r="AO80" s="59">
        <f t="shared" si="90"/>
        <v>266.03902815735029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23.560985743061593</v>
      </c>
      <c r="AV80" s="21">
        <f>EXP(-LN(2)/25)*AV79+(1-EXP(-LN(2)/25))/(LN(2)/25)*Calculateur!AQ80*Calculateur!AS80*VLOOKUP('Données projet'!$B$10,Paramètres!$A$1:$I$89,3,0)*0.475*44/12</f>
        <v>21.26408156717045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44.825067310232043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66.296579297591421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371.46495716091965</v>
      </c>
      <c r="BJ80" s="59">
        <f t="shared" si="92"/>
        <v>579.95059529269417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117.89471474862958</v>
      </c>
      <c r="BQ80" s="21">
        <f>EXP(-LN(2)/25)*BQ79+(1-EXP(-LN(2)/25))/(LN(2)/25)*Calculateur!BL80*Calculateur!BN80*VLOOKUP('Données projet'!$B$11,Paramètres!$A$1:$I$89,3,0)*0.475*44/12</f>
        <v>28.371248385668014</v>
      </c>
      <c r="BR80" s="21">
        <f>EXP(-LN(2)/2)*BR79+(1-EXP(-LN(2)/2))/(LN(2)/2)*BL80*BO80*VLOOKUP('Données projet'!$B$11,Paramètres!$A$1:$I$89,3,0)*0.475*44/12</f>
        <v>5.9252707304124561E-4</v>
      </c>
      <c r="BS80" s="22">
        <f t="shared" si="63"/>
        <v>146.26655566137066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66.296579297591421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180.18752244216969</v>
      </c>
      <c r="CE80" s="59">
        <f t="shared" si="94"/>
        <v>350.12096474554676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142.35921737759344</v>
      </c>
      <c r="CL80" s="21">
        <f>EXP(-LN(2)/25)*CL79+(1-EXP(-LN(2)/25))/(LN(2)/25)*Calculateur!CG80*Calculateur!CI80*VLOOKUP('Données projet'!$B$12,Paramètres!$A$1:$I$89,3,0)*0.475*44/12</f>
        <v>50.58529055290213</v>
      </c>
      <c r="CM80" s="21">
        <f>EXP(-LN(2)/2)*CM79+(1-EXP(-LN(2)/2))/(LN(2)/2)*CG80*CJ80*VLOOKUP('Données projet'!$B$12,Paramètres!$A$1:$I$89,3,0)*0.475*44/12</f>
        <v>4.5017189052743497E-4</v>
      </c>
      <c r="CN80" s="22">
        <f t="shared" si="66"/>
        <v>192.9449581023861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66.296579297591421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5.6843418860808015E-14</v>
      </c>
      <c r="CU80" s="17">
        <f>CT80*VLOOKUP('Données projet'!$B$13,Paramètres!$A$1:$I$89,3,0)*VLOOKUP('Données projet'!$B$13,Paramètres!$A$1:$I$89,5,0)</f>
        <v>4.5224624045658861E-14</v>
      </c>
      <c r="CV80" s="13">
        <f t="shared" si="95"/>
        <v>7.4514601661523691E-13</v>
      </c>
      <c r="CW80" s="20">
        <f t="shared" si="67"/>
        <v>1.3765621991510601E-12</v>
      </c>
      <c r="CX80" s="59">
        <f t="shared" si="68"/>
        <v>279.7541240911699</v>
      </c>
      <c r="CY80" s="59">
        <f ca="1">AVERAGE(OFFSET($CX$3,0,0,'Données projet'!$E$13+1,1))-AVERAGE(OFFSET($H$3,0,0,'Données projet'!$E$13+1,1))</f>
        <v>284.31574332240928</v>
      </c>
      <c r="CZ80" s="59">
        <f t="shared" si="96"/>
        <v>403.96994631683913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599.47320046510799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599.47320046510799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66.296579297591421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>
        <f>DO80*VLOOKUP('Données projet'!$B$14,Paramètres!$A$1:$I$89,3,0)*VLOOKUP('Données projet'!$B$14,Paramètres!$A$1:$I$89,5,0)</f>
        <v>0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190.9519472160006</v>
      </c>
      <c r="DU80" s="59">
        <f t="shared" si="98"/>
        <v>170.61553500287511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128.36123088544841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128.36123088544841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66.296579297591421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71</v>
      </c>
      <c r="EJ80" s="12">
        <f>IF('Données projet'!$A$192&gt;35,EJ79+EI80-ER79,IF(A80&lt;'Données projet'!$A$192,$EG$205^A80,IF(A80='Données projet'!$A$192,'Données projet'!$B$192,EJ79+EI80-ER79)))</f>
        <v>177</v>
      </c>
      <c r="EK80" s="17">
        <f>EJ80*VLOOKUP('Données projet'!$B$15,Paramètres!$A$1:$I$89,3,0)*VLOOKUP('Données projet'!$B$15,Paramètres!$A$1:$I$89,5,0)</f>
        <v>151.86600000000001</v>
      </c>
      <c r="EL80" s="13">
        <f t="shared" si="99"/>
        <v>39.00233520939998</v>
      </c>
      <c r="EM80" s="20">
        <f t="shared" si="73"/>
        <v>332.42901715637169</v>
      </c>
      <c r="EN80" s="59">
        <f t="shared" si="74"/>
        <v>612.18314124754022</v>
      </c>
      <c r="EO80" s="59">
        <f ca="1">AVERAGE(OFFSET($EN$3,0,0,'Données projet'!$E$15+1,1))-AVERAGE(OFFSET($H$3,0,0,'Données projet'!$E$15+1,1))</f>
        <v>331.94255128154623</v>
      </c>
      <c r="EP80" s="59">
        <f t="shared" si="100"/>
        <v>258.40809812013964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596.75692200931246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596.75692200931246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66.296579297591421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>
        <f>FE80*VLOOKUP('Données projet'!$B$16,Paramètres!$A$1:$I$89,3,0)*VLOOKUP('Données projet'!$B$16,Paramètres!$A$1:$I$89,5,0)</f>
        <v>0</v>
      </c>
      <c r="FG80" s="13" t="e">
        <f t="shared" si="101"/>
        <v>#NUM!</v>
      </c>
      <c r="FH80" s="20" t="e">
        <f t="shared" si="76"/>
        <v>#NUM!</v>
      </c>
      <c r="FI80" s="59" t="e">
        <f t="shared" si="77"/>
        <v>#NUM!</v>
      </c>
      <c r="FJ80" s="59">
        <f ca="1">AVERAGE(OFFSET($FI$3,0,0,'Données projet'!$E$16+1,1))-AVERAGE(OFFSET($H$3,0,0,'Données projet'!$E$16+1,1))</f>
        <v>290.72311302449236</v>
      </c>
      <c r="FK80" s="59">
        <f t="shared" si="102"/>
        <v>352.32552988394434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493.4009900815538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493.4009900815538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66.296579297591421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>
        <f>FZ80*VLOOKUP('Données projet'!$B$17,Paramètres!$A$1:$I$89,3,0)*VLOOKUP('Données projet'!$B$17,Paramètres!$A$1:$I$89,5,0)</f>
        <v>0</v>
      </c>
      <c r="GB80" s="13" t="e">
        <f t="shared" si="103"/>
        <v>#NUM!</v>
      </c>
      <c r="GC80" s="20" t="e">
        <f t="shared" si="79"/>
        <v>#NUM!</v>
      </c>
      <c r="GD80" s="59" t="e">
        <f t="shared" si="80"/>
        <v>#NUM!</v>
      </c>
      <c r="GE80" s="59">
        <f ca="1">AVERAGE(OFFSET($GD$3,0,0,'Données projet'!$E$17+1,1))-AVERAGE(OFFSET($H$3,0,0,'Données projet'!$E$17+1,1))</f>
        <v>123.03972959251965</v>
      </c>
      <c r="GF80" s="59">
        <f t="shared" si="104"/>
        <v>178.27657680839445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107.24364888565614</v>
      </c>
      <c r="GM80" s="21">
        <f>EXP(-LN(2)/25)*GM79+(1-EXP(-LN(2)/25))/(LN(2)/25)*Calculateur!GH80*Calculateur!GJ80*VLOOKUP('Données projet'!$B$17,Paramètres!$A$1:$I$89,3,0)*0.475*44/12</f>
        <v>27.665332287346423</v>
      </c>
      <c r="GN80" s="21">
        <f>EXP(-LN(2)/2)*GN79+(1-EXP(-LN(2)/2))/(LN(2)/2)*GH80*GK80*VLOOKUP('Données projet'!$B$17,Paramètres!$A$1:$I$89,3,0)*0.475*44/12</f>
        <v>0.90348443835334002</v>
      </c>
      <c r="GO80" s="21">
        <f t="shared" si="81"/>
        <v>135.81246561135589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66.296579297591421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52.4</v>
      </c>
      <c r="GU80" s="12">
        <f>IF('Données projet'!$A$270&gt;35,GU79+GT80-HC79,IF(A80&lt;'Données projet'!$A$270,$GR$205^A80,IF(A80='Données projet'!$A$270,'Données projet'!$B$270,GU79+GT80-HC79)))</f>
        <v>420.79999999999967</v>
      </c>
      <c r="GV80" s="17">
        <f>GU80*VLOOKUP('Données projet'!$B$18,Paramètres!$A$1:$I$89,3,0)*VLOOKUP('Données projet'!$B$18,Paramètres!$A$1:$I$89,5,0)</f>
        <v>282.2726399999998</v>
      </c>
      <c r="GW80" s="13">
        <f t="shared" si="105"/>
        <v>67.447056852059021</v>
      </c>
      <c r="GX80" s="20">
        <f t="shared" si="82"/>
        <v>609.09513868400245</v>
      </c>
      <c r="GY80" s="59">
        <f t="shared" si="83"/>
        <v>888.84926277517093</v>
      </c>
      <c r="GZ80" s="59">
        <f ca="1">AVERAGE(OFFSET($GY$3,0,0,'Données projet'!$E$18+1,1))-AVERAGE(OFFSET($H$3,0,0,'Données projet'!$E$18+1,1))</f>
        <v>542.25674729323623</v>
      </c>
      <c r="HA80" s="59">
        <f t="shared" si="106"/>
        <v>614.73906555680685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0</v>
      </c>
      <c r="HH80" s="21">
        <f>EXP(-LN(2)/25)*HH79+(1-EXP(-LN(2)/25))/(LN(2)/25)*Calculateur!HC80*Calculateur!HE80*VLOOKUP('Données projet'!$B$18,Paramètres!$A$1:$I$89,3,0)*0.475*44/12</f>
        <v>0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0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2.8499999999999996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10.449999999999998</v>
      </c>
      <c r="H81" s="67">
        <f t="shared" si="56"/>
        <v>214.86666666666667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66.36082536716988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-1.0231815394945443E-12</v>
      </c>
      <c r="O81" s="13">
        <f>N81*VLOOKUP('Données projet'!$B$9,Paramètres!$A$1:$I$89,3,0)*VLOOKUP('Données projet'!$B$9,Paramètres!$A$1:$I$89,5,0)</f>
        <v>-8.9385139290243408E-13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686.80970545599644</v>
      </c>
      <c r="T81" s="59">
        <f t="shared" si="88"/>
        <v>636.16485232937737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180.6137270148887</v>
      </c>
      <c r="AA81" s="21">
        <f>EXP(-LN(2)/25)*AA80+(1-EXP(-LN(2)/25))/(LN(2)/25)*Calculateur!V81*Calculateur!X81*VLOOKUP('Données projet'!$B$9,Paramètres!$A$1:$I$89,3,0)*0.475*44/12</f>
        <v>24.122183334705003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204.73591034959369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66.36082536716988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>
        <f>VLOOKUP(A81,'Données projet'!$A$61:$I$81,2,0)</f>
        <v>227</v>
      </c>
      <c r="AG81" s="12">
        <f>VLOOKUP(A81,'Données projet'!$A$61:$I$81,9,0)</f>
        <v>7.5</v>
      </c>
      <c r="AH81" s="12">
        <f t="array" ref="AH81">INDEX(AG:AG,MIN(IF(ISNUMBER(AG81:AG277),ROW(AG81:AG277),"")))</f>
        <v>7.5</v>
      </c>
      <c r="AI81" s="13">
        <f>IF('Données projet'!$A$62&gt;35,AI80+AH81-AQ80,IF(A81&lt;'Données projet'!$A$62,$AF$205^A81,IF(A81='Données projet'!$A$62,'Données projet'!$B$62,AI80+AH81-AQ80)))</f>
        <v>227.00000000000003</v>
      </c>
      <c r="AJ81" s="13">
        <f>AI81*VLOOKUP('Données projet'!$B$10,Paramètres!$A$1:$I$89,3,0)*VLOOKUP('Données projet'!$B$10,Paramètres!$A$1:$I$89,5,0)</f>
        <v>205.3896</v>
      </c>
      <c r="AK81" s="13">
        <f t="shared" si="89"/>
        <v>50.926799353611955</v>
      </c>
      <c r="AL81" s="20">
        <f t="shared" si="58"/>
        <v>446.4177288742074</v>
      </c>
      <c r="AM81" s="59">
        <f t="shared" si="59"/>
        <v>726.40742188716365</v>
      </c>
      <c r="AN81" s="59">
        <f ca="1">AVERAGE(OFFSET($AM$3,0,0,'Données projet'!$E$10+1,1))-AVERAGE(OFFSET($H$3,0,0,'Données projet'!$E$10+1,1))</f>
        <v>323.67375363913726</v>
      </c>
      <c r="AO81" s="59">
        <f t="shared" si="90"/>
        <v>266.03902815735029</v>
      </c>
      <c r="AP81" s="15">
        <f>IF(ISNA(VLOOKUP(A81,'Données projet'!$A$61:$I$81,3,0)),0,VLOOKUP(A81,'Données projet'!$A$61:$I$81,3,0))</f>
        <v>7</v>
      </c>
      <c r="AQ81" s="15">
        <f>IF(ISNA(VLOOKUP(A81,'Données projet'!$A$61:$I$81,4,0)),0,VLOOKUP(A81,'Données projet'!$A$61:$I$81,4,0))</f>
        <v>42</v>
      </c>
      <c r="AR81" s="16">
        <f>IF(ISNA(VLOOKUP(A81,'Données projet'!$A$61:$I$81,5,0)),0%,VLOOKUP(A81,'Données projet'!$A$61:$I$81,5,0)*VLOOKUP('Données projet'!$B$10,Paramètres!$A$1:$I$89,7,0))</f>
        <v>0.215</v>
      </c>
      <c r="AS81" s="16">
        <f>IF(ISNA(VLOOKUP(A81,'Données projet'!$A$61:$I$81,6,0)),0%,VLOOKUP(A81,'Données projet'!$A$61:$I$81,6,0)*VLOOKUP('Données projet'!$B$10,Paramètres!$A$1:$I$89,7,0))</f>
        <v>0.17200000000000001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32.13104246601722</v>
      </c>
      <c r="AV81" s="21">
        <f>EXP(-LN(2)/25)*AV80+(1-EXP(-LN(2)/25))/(LN(2)/25)*Calculateur!AQ81*Calculateur!AS81*VLOOKUP('Données projet'!$B$10,Paramètres!$A$1:$I$89,3,0)*0.475*44/12</f>
        <v>27.87982259335989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60.01086505937711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66.36082536716988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371.46495716091965</v>
      </c>
      <c r="BJ81" s="59">
        <f t="shared" si="92"/>
        <v>579.95059529269417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115.58287130108457</v>
      </c>
      <c r="BQ81" s="21">
        <f>EXP(-LN(2)/25)*BQ80+(1-EXP(-LN(2)/25))/(LN(2)/25)*Calculateur!BL81*Calculateur!BN81*VLOOKUP('Données projet'!$B$11,Paramètres!$A$1:$I$89,3,0)*0.475*44/12</f>
        <v>27.595435106582812</v>
      </c>
      <c r="BR81" s="21">
        <f>EXP(-LN(2)/2)*BR80+(1-EXP(-LN(2)/2))/(LN(2)/2)*BL81*BO81*VLOOKUP('Données projet'!$B$11,Paramètres!$A$1:$I$89,3,0)*0.475*44/12</f>
        <v>4.1897991138408153E-4</v>
      </c>
      <c r="BS81" s="22">
        <f t="shared" si="63"/>
        <v>143.17872538757877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66.36082536716988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180.18752244216969</v>
      </c>
      <c r="CE81" s="59">
        <f t="shared" si="94"/>
        <v>350.12096474554676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139.56763995536764</v>
      </c>
      <c r="CL81" s="21">
        <f>EXP(-LN(2)/25)*CL80+(1-EXP(-LN(2)/25))/(LN(2)/25)*Calculateur!CG81*Calculateur!CI81*VLOOKUP('Données projet'!$B$12,Paramètres!$A$1:$I$89,3,0)*0.475*44/12</f>
        <v>49.202033122568203</v>
      </c>
      <c r="CM81" s="21">
        <f>EXP(-LN(2)/2)*CM80+(1-EXP(-LN(2)/2))/(LN(2)/2)*CG81*CJ81*VLOOKUP('Données projet'!$B$12,Paramètres!$A$1:$I$89,3,0)*0.475*44/12</f>
        <v>3.1831959649151738E-4</v>
      </c>
      <c r="CN81" s="22">
        <f t="shared" si="66"/>
        <v>188.76999139753232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66.36082536716988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5.6843418860808015E-14</v>
      </c>
      <c r="CU81" s="17">
        <f>CT81*VLOOKUP('Données projet'!$B$13,Paramètres!$A$1:$I$89,3,0)*VLOOKUP('Données projet'!$B$13,Paramètres!$A$1:$I$89,5,0)</f>
        <v>4.5224624045658861E-14</v>
      </c>
      <c r="CV81" s="13">
        <f t="shared" si="95"/>
        <v>7.4514601661523691E-13</v>
      </c>
      <c r="CW81" s="20">
        <f t="shared" si="67"/>
        <v>1.3765621991510601E-12</v>
      </c>
      <c r="CX81" s="59">
        <f t="shared" si="68"/>
        <v>279.98969301295762</v>
      </c>
      <c r="CY81" s="59">
        <f ca="1">AVERAGE(OFFSET($CX$3,0,0,'Données projet'!$E$13+1,1))-AVERAGE(OFFSET($H$3,0,0,'Données projet'!$E$13+1,1))</f>
        <v>284.31574332240928</v>
      </c>
      <c r="CZ81" s="59">
        <f t="shared" si="96"/>
        <v>403.96994631683913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587.71789664653534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587.71789664653534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66.36082536716988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>
        <f>DO81*VLOOKUP('Données projet'!$B$14,Paramètres!$A$1:$I$89,3,0)*VLOOKUP('Données projet'!$B$14,Paramètres!$A$1:$I$89,5,0)</f>
        <v>0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190.9519472160006</v>
      </c>
      <c r="DU81" s="59">
        <f t="shared" si="98"/>
        <v>170.61553500287511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125.84414544040484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125.84414544040484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66.36082536716988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71</v>
      </c>
      <c r="EJ81" s="12">
        <f>IF('Données projet'!$A$192&gt;35,EJ80+EI81-ER80,IF(A81&lt;'Données projet'!$A$192,$EG$205^A81,IF(A81='Données projet'!$A$192,'Données projet'!$B$192,EJ80+EI81-ER80)))</f>
        <v>248</v>
      </c>
      <c r="EK81" s="17">
        <f>EJ81*VLOOKUP('Données projet'!$B$15,Paramètres!$A$1:$I$89,3,0)*VLOOKUP('Données projet'!$B$15,Paramètres!$A$1:$I$89,5,0)</f>
        <v>212.78400000000002</v>
      </c>
      <c r="EL81" s="13">
        <f t="shared" si="99"/>
        <v>52.543492641808065</v>
      </c>
      <c r="EM81" s="20">
        <f t="shared" si="73"/>
        <v>462.11204968448237</v>
      </c>
      <c r="EN81" s="59">
        <f t="shared" si="74"/>
        <v>742.10174269743857</v>
      </c>
      <c r="EO81" s="59">
        <f ca="1">AVERAGE(OFFSET($EN$3,0,0,'Données projet'!$E$15+1,1))-AVERAGE(OFFSET($H$3,0,0,'Données projet'!$E$15+1,1))</f>
        <v>331.94255128154623</v>
      </c>
      <c r="EP81" s="59">
        <f t="shared" si="100"/>
        <v>258.40809812013964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585.0548827544917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585.0548827544917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66.36082536716988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>
        <f>FE81*VLOOKUP('Données projet'!$B$16,Paramètres!$A$1:$I$89,3,0)*VLOOKUP('Données projet'!$B$16,Paramètres!$A$1:$I$89,5,0)</f>
        <v>0</v>
      </c>
      <c r="FG81" s="13" t="e">
        <f t="shared" si="101"/>
        <v>#NUM!</v>
      </c>
      <c r="FH81" s="20" t="e">
        <f t="shared" si="76"/>
        <v>#NUM!</v>
      </c>
      <c r="FI81" s="59" t="e">
        <f t="shared" si="77"/>
        <v>#NUM!</v>
      </c>
      <c r="FJ81" s="59">
        <f ca="1">AVERAGE(OFFSET($FI$3,0,0,'Données projet'!$E$16+1,1))-AVERAGE(OFFSET($H$3,0,0,'Données projet'!$E$16+1,1))</f>
        <v>290.72311302449236</v>
      </c>
      <c r="FK81" s="59">
        <f t="shared" si="102"/>
        <v>352.32552988394434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483.72569761094263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483.72569761094263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66.36082536716988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>
        <f>FZ81*VLOOKUP('Données projet'!$B$17,Paramètres!$A$1:$I$89,3,0)*VLOOKUP('Données projet'!$B$17,Paramètres!$A$1:$I$89,5,0)</f>
        <v>0</v>
      </c>
      <c r="GB81" s="13" t="e">
        <f t="shared" si="103"/>
        <v>#NUM!</v>
      </c>
      <c r="GC81" s="20" t="e">
        <f t="shared" si="79"/>
        <v>#NUM!</v>
      </c>
      <c r="GD81" s="59" t="e">
        <f t="shared" si="80"/>
        <v>#NUM!</v>
      </c>
      <c r="GE81" s="59">
        <f ca="1">AVERAGE(OFFSET($GD$3,0,0,'Données projet'!$E$17+1,1))-AVERAGE(OFFSET($H$3,0,0,'Données projet'!$E$17+1,1))</f>
        <v>123.03972959251965</v>
      </c>
      <c r="GF81" s="59">
        <f t="shared" si="104"/>
        <v>178.27657680839445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105.14066634317533</v>
      </c>
      <c r="GM81" s="21">
        <f>EXP(-LN(2)/25)*GM80+(1-EXP(-LN(2)/25))/(LN(2)/25)*Calculateur!GH81*Calculateur!GJ81*VLOOKUP('Données projet'!$B$17,Paramètres!$A$1:$I$89,3,0)*0.475*44/12</f>
        <v>26.908822321092341</v>
      </c>
      <c r="GN81" s="21">
        <f>EXP(-LN(2)/2)*GN80+(1-EXP(-LN(2)/2))/(LN(2)/2)*GH81*GK81*VLOOKUP('Données projet'!$B$17,Paramètres!$A$1:$I$89,3,0)*0.475*44/12</f>
        <v>0.63885997305616604</v>
      </c>
      <c r="GO81" s="21">
        <f t="shared" si="81"/>
        <v>132.68834863732383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66.36082536716988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52.4</v>
      </c>
      <c r="GU81" s="12">
        <f>IF('Données projet'!$A$270&gt;35,GU80+GT81-HC80,IF(A81&lt;'Données projet'!$A$270,$GR$205^A81,IF(A81='Données projet'!$A$270,'Données projet'!$B$270,GU80+GT81-HC80)))</f>
        <v>473.19999999999965</v>
      </c>
      <c r="GV81" s="17">
        <f>GU81*VLOOKUP('Données projet'!$B$18,Paramètres!$A$1:$I$89,3,0)*VLOOKUP('Données projet'!$B$18,Paramètres!$A$1:$I$89,5,0)</f>
        <v>317.42255999999981</v>
      </c>
      <c r="GW81" s="13">
        <f t="shared" si="105"/>
        <v>74.816814992489</v>
      </c>
      <c r="GX81" s="20">
        <f t="shared" si="82"/>
        <v>683.15024477858469</v>
      </c>
      <c r="GY81" s="59">
        <f t="shared" si="83"/>
        <v>963.13993779154089</v>
      </c>
      <c r="GZ81" s="59">
        <f ca="1">AVERAGE(OFFSET($GY$3,0,0,'Données projet'!$E$18+1,1))-AVERAGE(OFFSET($H$3,0,0,'Données projet'!$E$18+1,1))</f>
        <v>542.25674729323623</v>
      </c>
      <c r="HA81" s="59">
        <f t="shared" si="106"/>
        <v>614.73906555680685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0</v>
      </c>
      <c r="HH81" s="21">
        <f>EXP(-LN(2)/25)*HH80+(1-EXP(-LN(2)/25))/(LN(2)/25)*Calculateur!HC81*Calculateur!HE81*VLOOKUP('Données projet'!$B$18,Paramètres!$A$1:$I$89,3,0)*0.475*44/12</f>
        <v>0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0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2.8499999999999996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10.449999999999998</v>
      </c>
      <c r="H82" s="67">
        <f t="shared" si="56"/>
        <v>214.86666666666667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66.423956911073873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-1.0231815394945443E-12</v>
      </c>
      <c r="O82" s="13">
        <f>N82*VLOOKUP('Données projet'!$B$9,Paramètres!$A$1:$I$89,3,0)*VLOOKUP('Données projet'!$B$9,Paramètres!$A$1:$I$89,5,0)</f>
        <v>-8.9385139290243408E-13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686.80970545599644</v>
      </c>
      <c r="T82" s="59">
        <f t="shared" si="88"/>
        <v>636.16485232937737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177.07200199162247</v>
      </c>
      <c r="AA82" s="21">
        <f>EXP(-LN(2)/25)*AA81+(1-EXP(-LN(2)/25))/(LN(2)/25)*Calculateur!V82*Calculateur!X82*VLOOKUP('Données projet'!$B$9,Paramètres!$A$1:$I$89,3,0)*0.475*44/12</f>
        <v>23.462560962887004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200.53456295450948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66.423956911073873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6.4444444444444446</v>
      </c>
      <c r="AI82" s="13">
        <f>IF('Données projet'!$A$62&gt;35,AI81+AH82-AQ81,IF(A82&lt;'Données projet'!$A$62,$AF$205^A82,IF(A82='Données projet'!$A$62,'Données projet'!$B$62,AI81+AH82-AQ81)))</f>
        <v>191.44444444444449</v>
      </c>
      <c r="AJ82" s="13">
        <f>AI82*VLOOKUP('Données projet'!$B$10,Paramètres!$A$1:$I$89,3,0)*VLOOKUP('Données projet'!$B$10,Paramètres!$A$1:$I$89,5,0)</f>
        <v>173.21893333333335</v>
      </c>
      <c r="AK82" s="13">
        <f t="shared" si="89"/>
        <v>43.810168637383875</v>
      </c>
      <c r="AL82" s="20">
        <f t="shared" si="58"/>
        <v>377.99235259899916</v>
      </c>
      <c r="AM82" s="59">
        <f t="shared" si="59"/>
        <v>658.21352793960341</v>
      </c>
      <c r="AN82" s="59">
        <f ca="1">AVERAGE(OFFSET($AM$3,0,0,'Données projet'!$E$10+1,1))-AVERAGE(OFFSET($H$3,0,0,'Données projet'!$E$10+1,1))</f>
        <v>323.67375363913726</v>
      </c>
      <c r="AO82" s="59">
        <f t="shared" si="90"/>
        <v>266.03902815735029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31.500972321259386</v>
      </c>
      <c r="AV82" s="21">
        <f>EXP(-LN(2)/25)*AV81+(1-EXP(-LN(2)/25))/(LN(2)/25)*Calculateur!AQ82*Calculateur!AS82*VLOOKUP('Données projet'!$B$10,Paramètres!$A$1:$I$89,3,0)*0.475*44/12</f>
        <v>27.117447378408315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58.618419699667697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66.423956911073873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371.46495716091965</v>
      </c>
      <c r="BJ82" s="59">
        <f t="shared" si="92"/>
        <v>579.95059529269417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113.31636169346064</v>
      </c>
      <c r="BQ82" s="21">
        <f>EXP(-LN(2)/25)*BQ81+(1-EXP(-LN(2)/25))/(LN(2)/25)*Calculateur!BL82*Calculateur!BN82*VLOOKUP('Données projet'!$B$11,Paramètres!$A$1:$I$89,3,0)*0.475*44/12</f>
        <v>26.840836482412442</v>
      </c>
      <c r="BR82" s="21">
        <f>EXP(-LN(2)/2)*BR81+(1-EXP(-LN(2)/2))/(LN(2)/2)*BL82*BO82*VLOOKUP('Données projet'!$B$11,Paramètres!$A$1:$I$89,3,0)*0.475*44/12</f>
        <v>2.962635365206228E-4</v>
      </c>
      <c r="BS82" s="22">
        <f t="shared" si="63"/>
        <v>140.15749443940959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66.423956911073873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180.18752244216969</v>
      </c>
      <c r="CE82" s="59">
        <f t="shared" si="94"/>
        <v>350.12096474554676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136.83080366369757</v>
      </c>
      <c r="CL82" s="21">
        <f>EXP(-LN(2)/25)*CL81+(1-EXP(-LN(2)/25))/(LN(2)/25)*Calculateur!CG82*Calculateur!CI82*VLOOKUP('Données projet'!$B$12,Paramètres!$A$1:$I$89,3,0)*0.475*44/12</f>
        <v>47.856600939409105</v>
      </c>
      <c r="CM82" s="21">
        <f>EXP(-LN(2)/2)*CM81+(1-EXP(-LN(2)/2))/(LN(2)/2)*CG82*CJ82*VLOOKUP('Données projet'!$B$12,Paramètres!$A$1:$I$89,3,0)*0.475*44/12</f>
        <v>2.2508594526371748E-4</v>
      </c>
      <c r="CN82" s="22">
        <f t="shared" si="66"/>
        <v>184.68762968905193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66.423956911073873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5.6843418860808015E-14</v>
      </c>
      <c r="CU82" s="17">
        <f>CT82*VLOOKUP('Données projet'!$B$13,Paramètres!$A$1:$I$89,3,0)*VLOOKUP('Données projet'!$B$13,Paramètres!$A$1:$I$89,5,0)</f>
        <v>4.5224624045658861E-14</v>
      </c>
      <c r="CV82" s="13">
        <f t="shared" si="95"/>
        <v>7.4514601661523691E-13</v>
      </c>
      <c r="CW82" s="20">
        <f t="shared" si="67"/>
        <v>1.3765621991510601E-12</v>
      </c>
      <c r="CX82" s="59">
        <f t="shared" si="68"/>
        <v>280.22117534060555</v>
      </c>
      <c r="CY82" s="59">
        <f ca="1">AVERAGE(OFFSET($CX$3,0,0,'Données projet'!$E$13+1,1))-AVERAGE(OFFSET($H$3,0,0,'Données projet'!$E$13+1,1))</f>
        <v>284.31574332240928</v>
      </c>
      <c r="CZ82" s="59">
        <f t="shared" si="96"/>
        <v>403.96994631683913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576.19310716581754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576.19310716581754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66.423956911073873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>
        <f>DO82*VLOOKUP('Données projet'!$B$14,Paramètres!$A$1:$I$89,3,0)*VLOOKUP('Données projet'!$B$14,Paramètres!$A$1:$I$89,5,0)</f>
        <v>0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190.9519472160006</v>
      </c>
      <c r="DU82" s="59">
        <f t="shared" si="98"/>
        <v>170.61553500287511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123.37641850566807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123.37641850566807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66.423956911073873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71</v>
      </c>
      <c r="EJ82" s="12">
        <f>IF('Données projet'!$A$192&gt;35,EJ81+EI82-ER81,IF(A82&lt;'Données projet'!$A$192,$EG$205^A82,IF(A82='Données projet'!$A$192,'Données projet'!$B$192,EJ81+EI82-ER81)))</f>
        <v>319</v>
      </c>
      <c r="EK82" s="17">
        <f>EJ82*VLOOKUP('Données projet'!$B$15,Paramètres!$A$1:$I$89,3,0)*VLOOKUP('Données projet'!$B$15,Paramètres!$A$1:$I$89,5,0)</f>
        <v>273.70200000000006</v>
      </c>
      <c r="EL82" s="13">
        <f t="shared" si="99"/>
        <v>65.634303351461668</v>
      </c>
      <c r="EM82" s="20">
        <f t="shared" si="73"/>
        <v>591.01072833712908</v>
      </c>
      <c r="EN82" s="59">
        <f t="shared" si="74"/>
        <v>871.23190367773327</v>
      </c>
      <c r="EO82" s="59">
        <f ca="1">AVERAGE(OFFSET($EN$3,0,0,'Données projet'!$E$15+1,1))-AVERAGE(OFFSET($H$3,0,0,'Données projet'!$E$15+1,1))</f>
        <v>331.94255128154623</v>
      </c>
      <c r="EP82" s="59">
        <f t="shared" si="100"/>
        <v>258.40809812013964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573.58231335191874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573.58231335191874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66.423956911073873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>
        <f>FE82*VLOOKUP('Données projet'!$B$16,Paramètres!$A$1:$I$89,3,0)*VLOOKUP('Données projet'!$B$16,Paramètres!$A$1:$I$89,5,0)</f>
        <v>0</v>
      </c>
      <c r="FG82" s="13" t="e">
        <f t="shared" si="101"/>
        <v>#NUM!</v>
      </c>
      <c r="FH82" s="20" t="e">
        <f t="shared" si="76"/>
        <v>#NUM!</v>
      </c>
      <c r="FI82" s="59" t="e">
        <f t="shared" si="77"/>
        <v>#NUM!</v>
      </c>
      <c r="FJ82" s="59">
        <f ca="1">AVERAGE(OFFSET($FI$3,0,0,'Données projet'!$E$16+1,1))-AVERAGE(OFFSET($H$3,0,0,'Données projet'!$E$16+1,1))</f>
        <v>290.72311302449236</v>
      </c>
      <c r="FK82" s="59">
        <f t="shared" si="102"/>
        <v>352.32552988394434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474.24013172433445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474.24013172433445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66.423956911073873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>
        <f>FZ82*VLOOKUP('Données projet'!$B$17,Paramètres!$A$1:$I$89,3,0)*VLOOKUP('Données projet'!$B$17,Paramètres!$A$1:$I$89,5,0)</f>
        <v>0</v>
      </c>
      <c r="GB82" s="13" t="e">
        <f t="shared" si="103"/>
        <v>#NUM!</v>
      </c>
      <c r="GC82" s="20" t="e">
        <f t="shared" si="79"/>
        <v>#NUM!</v>
      </c>
      <c r="GD82" s="59" t="e">
        <f t="shared" si="80"/>
        <v>#NUM!</v>
      </c>
      <c r="GE82" s="59">
        <f ca="1">AVERAGE(OFFSET($GD$3,0,0,'Données projet'!$E$17+1,1))-AVERAGE(OFFSET($H$3,0,0,'Données projet'!$E$17+1,1))</f>
        <v>123.03972959251965</v>
      </c>
      <c r="GF82" s="59">
        <f t="shared" si="104"/>
        <v>178.27657680839445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103.07892200565986</v>
      </c>
      <c r="GM82" s="21">
        <f>EXP(-LN(2)/25)*GM81+(1-EXP(-LN(2)/25))/(LN(2)/25)*Calculateur!GH82*Calculateur!GJ82*VLOOKUP('Données projet'!$B$17,Paramètres!$A$1:$I$89,3,0)*0.475*44/12</f>
        <v>26.172999159648604</v>
      </c>
      <c r="GN82" s="21">
        <f>EXP(-LN(2)/2)*GN81+(1-EXP(-LN(2)/2))/(LN(2)/2)*GH82*GK82*VLOOKUP('Données projet'!$B$17,Paramètres!$A$1:$I$89,3,0)*0.475*44/12</f>
        <v>0.45174221917667007</v>
      </c>
      <c r="GO82" s="21">
        <f t="shared" si="81"/>
        <v>129.70366338448514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66.423956911073873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52.4</v>
      </c>
      <c r="GU82" s="12">
        <f>IF('Données projet'!$A$270&gt;35,GU81+GT82-HC81,IF(A82&lt;'Données projet'!$A$270,$GR$205^A82,IF(A82='Données projet'!$A$270,'Données projet'!$B$270,GU81+GT82-HC81)))</f>
        <v>525.59999999999968</v>
      </c>
      <c r="GV82" s="17">
        <f>GU82*VLOOKUP('Données projet'!$B$18,Paramètres!$A$1:$I$89,3,0)*VLOOKUP('Données projet'!$B$18,Paramètres!$A$1:$I$89,5,0)</f>
        <v>352.57247999999981</v>
      </c>
      <c r="GW82" s="13">
        <f t="shared" si="105"/>
        <v>82.091985615781226</v>
      </c>
      <c r="GX82" s="20">
        <f t="shared" si="82"/>
        <v>757.04061094748533</v>
      </c>
      <c r="GY82" s="59">
        <f t="shared" si="83"/>
        <v>1037.2617862880895</v>
      </c>
      <c r="GZ82" s="59">
        <f ca="1">AVERAGE(OFFSET($GY$3,0,0,'Données projet'!$E$18+1,1))-AVERAGE(OFFSET($H$3,0,0,'Données projet'!$E$18+1,1))</f>
        <v>542.25674729323623</v>
      </c>
      <c r="HA82" s="59">
        <f t="shared" si="106"/>
        <v>614.73906555680685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0</v>
      </c>
      <c r="HH82" s="21">
        <f>EXP(-LN(2)/25)*HH81+(1-EXP(-LN(2)/25))/(LN(2)/25)*Calculateur!HC82*Calculateur!HE82*VLOOKUP('Données projet'!$B$18,Paramètres!$A$1:$I$89,3,0)*0.475*44/12</f>
        <v>0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0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2.8499999999999996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10.449999999999998</v>
      </c>
      <c r="H83" s="67">
        <f t="shared" si="56"/>
        <v>214.86666666666667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66.4859932638321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-1.0231815394945443E-12</v>
      </c>
      <c r="O83" s="13">
        <f>N83*VLOOKUP('Données projet'!$B$9,Paramètres!$A$1:$I$89,3,0)*VLOOKUP('Données projet'!$B$9,Paramètres!$A$1:$I$89,5,0)</f>
        <v>-8.9385139290243408E-13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686.80970545599644</v>
      </c>
      <c r="T83" s="59">
        <f t="shared" si="88"/>
        <v>636.16485232937737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173.59972803582355</v>
      </c>
      <c r="AA83" s="21">
        <f>EXP(-LN(2)/25)*AA82+(1-EXP(-LN(2)/25))/(LN(2)/25)*Calculateur!V83*Calculateur!X83*VLOOKUP('Données projet'!$B$9,Paramètres!$A$1:$I$89,3,0)*0.475*44/12</f>
        <v>22.820975999514403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196.42070403533796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66.4859932638321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6.4444444444444446</v>
      </c>
      <c r="AI83" s="13">
        <f>IF('Données projet'!$A$62&gt;35,AI82+AH83-AQ82,IF(A83&lt;'Données projet'!$A$62,$AF$205^A83,IF(A83='Données projet'!$A$62,'Données projet'!$B$62,AI82+AH83-AQ82)))</f>
        <v>197.88888888888894</v>
      </c>
      <c r="AJ83" s="13">
        <f>AI83*VLOOKUP('Données projet'!$B$10,Paramètres!$A$1:$I$89,3,0)*VLOOKUP('Données projet'!$B$10,Paramètres!$A$1:$I$89,5,0)</f>
        <v>179.04986666666673</v>
      </c>
      <c r="AK83" s="13">
        <f t="shared" si="89"/>
        <v>45.110733936942161</v>
      </c>
      <c r="AL83" s="20">
        <f t="shared" si="58"/>
        <v>390.41304605128545</v>
      </c>
      <c r="AM83" s="59">
        <f t="shared" si="59"/>
        <v>670.86168801866984</v>
      </c>
      <c r="AN83" s="59">
        <f ca="1">AVERAGE(OFFSET($AM$3,0,0,'Données projet'!$E$10+1,1))-AVERAGE(OFFSET($H$3,0,0,'Données projet'!$E$10+1,1))</f>
        <v>323.67375363913726</v>
      </c>
      <c r="AO83" s="59">
        <f t="shared" si="90"/>
        <v>266.03902815735029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30.883257467735412</v>
      </c>
      <c r="AV83" s="21">
        <f>EXP(-LN(2)/25)*AV82+(1-EXP(-LN(2)/25))/(LN(2)/25)*Calculateur!AQ83*Calculateur!AS83*VLOOKUP('Données projet'!$B$10,Paramètres!$A$1:$I$89,3,0)*0.475*44/12</f>
        <v>26.375919353801159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57.25917682153657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66.4859932638321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371.46495716091965</v>
      </c>
      <c r="BJ83" s="59">
        <f t="shared" si="92"/>
        <v>579.95059529269417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111.09429695680785</v>
      </c>
      <c r="BQ83" s="21">
        <f>EXP(-LN(2)/25)*BQ82+(1-EXP(-LN(2)/25))/(LN(2)/25)*Calculateur!BL83*Calculateur!BN83*VLOOKUP('Données projet'!$B$11,Paramètres!$A$1:$I$89,3,0)*0.475*44/12</f>
        <v>26.106872397302627</v>
      </c>
      <c r="BR83" s="21">
        <f>EXP(-LN(2)/2)*BR82+(1-EXP(-LN(2)/2))/(LN(2)/2)*BL83*BO83*VLOOKUP('Données projet'!$B$11,Paramètres!$A$1:$I$89,3,0)*0.475*44/12</f>
        <v>2.0948995569204076E-4</v>
      </c>
      <c r="BS83" s="22">
        <f t="shared" si="63"/>
        <v>137.20137884406617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66.4859932638321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180.18752244216969</v>
      </c>
      <c r="CE83" s="59">
        <f t="shared" si="94"/>
        <v>350.12096474554676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134.14763506240183</v>
      </c>
      <c r="CL83" s="21">
        <f>EXP(-LN(2)/25)*CL82+(1-EXP(-LN(2)/25))/(LN(2)/25)*Calculateur!CG83*Calculateur!CI83*VLOOKUP('Données projet'!$B$12,Paramètres!$A$1:$I$89,3,0)*0.475*44/12</f>
        <v>46.547959670051696</v>
      </c>
      <c r="CM83" s="21">
        <f>EXP(-LN(2)/2)*CM82+(1-EXP(-LN(2)/2))/(LN(2)/2)*CG83*CJ83*VLOOKUP('Données projet'!$B$12,Paramètres!$A$1:$I$89,3,0)*0.475*44/12</f>
        <v>1.5915979824575869E-4</v>
      </c>
      <c r="CN83" s="22">
        <f t="shared" si="66"/>
        <v>180.69575389225176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66.4859932638321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5.6843418860808015E-14</v>
      </c>
      <c r="CU83" s="17">
        <f>CT83*VLOOKUP('Données projet'!$B$13,Paramètres!$A$1:$I$89,3,0)*VLOOKUP('Données projet'!$B$13,Paramètres!$A$1:$I$89,5,0)</f>
        <v>4.5224624045658861E-14</v>
      </c>
      <c r="CV83" s="13">
        <f t="shared" si="95"/>
        <v>7.4514601661523691E-13</v>
      </c>
      <c r="CW83" s="20">
        <f t="shared" si="67"/>
        <v>1.3765621991510601E-12</v>
      </c>
      <c r="CX83" s="59">
        <f t="shared" si="68"/>
        <v>280.44864196738575</v>
      </c>
      <c r="CY83" s="59">
        <f ca="1">AVERAGE(OFFSET($CX$3,0,0,'Données projet'!$E$13+1,1))-AVERAGE(OFFSET($H$3,0,0,'Données projet'!$E$13+1,1))</f>
        <v>284.31574332240928</v>
      </c>
      <c r="CZ83" s="59">
        <f t="shared" si="96"/>
        <v>403.96994631683913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564.89431177738913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564.89431177738913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66.4859932638321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>
        <f>DO83*VLOOKUP('Données projet'!$B$14,Paramètres!$A$1:$I$89,3,0)*VLOOKUP('Données projet'!$B$14,Paramètres!$A$1:$I$89,5,0)</f>
        <v>0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190.9519472160006</v>
      </c>
      <c r="DU83" s="59">
        <f t="shared" si="98"/>
        <v>170.61553500287511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120.95708219095667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120.95708219095667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66.4859932638321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390</v>
      </c>
      <c r="EH83" s="12">
        <f>VLOOKUP(A83,'Données projet'!$A$191:$I$211,9,0)</f>
        <v>71</v>
      </c>
      <c r="EI83" s="12">
        <f t="array" ref="EI83">INDEX(EH:EH,MIN(IF(ISNUMBER(EH83:EH279),ROW(EH83:EH279),"")))</f>
        <v>71</v>
      </c>
      <c r="EJ83" s="12">
        <f>IF('Données projet'!$A$192&gt;35,EJ82+EI83-ER82,IF(A83&lt;'Données projet'!$A$192,$EG$205^A83,IF(A83='Données projet'!$A$192,'Données projet'!$B$192,EJ82+EI83-ER82)))</f>
        <v>390</v>
      </c>
      <c r="EK83" s="17">
        <f>EJ83*VLOOKUP('Données projet'!$B$15,Paramètres!$A$1:$I$89,3,0)*VLOOKUP('Données projet'!$B$15,Paramètres!$A$1:$I$89,5,0)</f>
        <v>334.62000000000006</v>
      </c>
      <c r="EL83" s="13">
        <f t="shared" si="99"/>
        <v>78.387374628661505</v>
      </c>
      <c r="EM83" s="20">
        <f t="shared" si="73"/>
        <v>719.32117747825214</v>
      </c>
      <c r="EN83" s="59">
        <f t="shared" si="74"/>
        <v>999.76981944563659</v>
      </c>
      <c r="EO83" s="59">
        <f ca="1">AVERAGE(OFFSET($EN$3,0,0,'Données projet'!$E$15+1,1))-AVERAGE(OFFSET($H$3,0,0,'Données projet'!$E$15+1,1))</f>
        <v>331.94255128154623</v>
      </c>
      <c r="EP83" s="59">
        <f t="shared" si="100"/>
        <v>258.40809812013964</v>
      </c>
      <c r="EQ83" s="15">
        <f>IF(ISNA(VLOOKUP(A83,'Données projet'!$A$191:$I$211,3,0)),0,VLOOKUP(A83,'Données projet'!$A$191:$I$211,3,0))</f>
        <v>13</v>
      </c>
      <c r="ER83" s="15">
        <f>IF(ISNA(VLOOKUP(A83,'Données projet'!$A$191:$I$211,4,0)),0,VLOOKUP(A83,'Données projet'!$A$191:$I$211,4,0))</f>
        <v>356</v>
      </c>
      <c r="ES83" s="16">
        <f>IF(ISNA(VLOOKUP(A83,'Données projet'!$A$191:$I$211,5,0)),0%,VLOOKUP(A83,'Données projet'!$A$191:$I$211,5,0)*VLOOKUP('Données projet'!$B$15,Paramètres!$A$1:$I$89,7,0))</f>
        <v>0.42400000000000004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705.50412982848809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705.50412982848809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66.4859932638321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>
        <f>FE83*VLOOKUP('Données projet'!$B$16,Paramètres!$A$1:$I$89,3,0)*VLOOKUP('Données projet'!$B$16,Paramètres!$A$1:$I$89,5,0)</f>
        <v>0</v>
      </c>
      <c r="FG83" s="13" t="e">
        <f t="shared" si="101"/>
        <v>#NUM!</v>
      </c>
      <c r="FH83" s="20" t="e">
        <f t="shared" si="76"/>
        <v>#NUM!</v>
      </c>
      <c r="FI83" s="59" t="e">
        <f t="shared" si="77"/>
        <v>#NUM!</v>
      </c>
      <c r="FJ83" s="59">
        <f ca="1">AVERAGE(OFFSET($FI$3,0,0,'Données projet'!$E$16+1,1))-AVERAGE(OFFSET($H$3,0,0,'Données projet'!$E$16+1,1))</f>
        <v>290.72311302449236</v>
      </c>
      <c r="FK83" s="59">
        <f t="shared" si="102"/>
        <v>352.32552988394434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464.94057199913874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464.94057199913874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66.4859932638321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>
        <f>FZ83*VLOOKUP('Données projet'!$B$17,Paramètres!$A$1:$I$89,3,0)*VLOOKUP('Données projet'!$B$17,Paramètres!$A$1:$I$89,5,0)</f>
        <v>0</v>
      </c>
      <c r="GB83" s="13" t="e">
        <f t="shared" si="103"/>
        <v>#NUM!</v>
      </c>
      <c r="GC83" s="20" t="e">
        <f t="shared" si="79"/>
        <v>#NUM!</v>
      </c>
      <c r="GD83" s="59" t="e">
        <f t="shared" si="80"/>
        <v>#NUM!</v>
      </c>
      <c r="GE83" s="59">
        <f ca="1">AVERAGE(OFFSET($GD$3,0,0,'Données projet'!$E$17+1,1))-AVERAGE(OFFSET($H$3,0,0,'Données projet'!$E$17+1,1))</f>
        <v>123.03972959251965</v>
      </c>
      <c r="GF83" s="59">
        <f t="shared" si="104"/>
        <v>178.27657680839445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101.05760721706321</v>
      </c>
      <c r="GM83" s="21">
        <f>EXP(-LN(2)/25)*GM82+(1-EXP(-LN(2)/25))/(LN(2)/25)*Calculateur!GH83*Calculateur!GJ83*VLOOKUP('Données projet'!$B$17,Paramètres!$A$1:$I$89,3,0)*0.475*44/12</f>
        <v>25.457297121249805</v>
      </c>
      <c r="GN83" s="21">
        <f>EXP(-LN(2)/2)*GN82+(1-EXP(-LN(2)/2))/(LN(2)/2)*GH83*GK83*VLOOKUP('Données projet'!$B$17,Paramètres!$A$1:$I$89,3,0)*0.475*44/12</f>
        <v>0.31942998652808308</v>
      </c>
      <c r="GO83" s="21">
        <f t="shared" si="81"/>
        <v>126.83433432484109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66.4859932638321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578</v>
      </c>
      <c r="GS83" s="12">
        <f>VLOOKUP(A83,'Données projet'!$A$269:$I$289,9,0)</f>
        <v>52.4</v>
      </c>
      <c r="GT83" s="12">
        <f t="array" ref="GT83">INDEX(GS:GS,MIN(IF(ISNUMBER(GS83:GS279),ROW(GS83:GS279),"")))</f>
        <v>52.4</v>
      </c>
      <c r="GU83" s="12">
        <f>IF('Données projet'!$A$270&gt;35,GU82+GT83-HC82,IF(A83&lt;'Données projet'!$A$270,$GR$205^A83,IF(A83='Données projet'!$A$270,'Données projet'!$B$270,GU82+GT83-HC82)))</f>
        <v>577.99999999999966</v>
      </c>
      <c r="GV83" s="17">
        <f>GU83*VLOOKUP('Données projet'!$B$18,Paramètres!$A$1:$I$89,3,0)*VLOOKUP('Données projet'!$B$18,Paramètres!$A$1:$I$89,5,0)</f>
        <v>387.72239999999977</v>
      </c>
      <c r="GW83" s="13">
        <f t="shared" si="105"/>
        <v>89.283072113397623</v>
      </c>
      <c r="GX83" s="20">
        <f t="shared" si="82"/>
        <v>830.78453059750052</v>
      </c>
      <c r="GY83" s="59">
        <f t="shared" si="83"/>
        <v>1111.2331725648849</v>
      </c>
      <c r="GZ83" s="59">
        <f ca="1">AVERAGE(OFFSET($GY$3,0,0,'Données projet'!$E$18+1,1))-AVERAGE(OFFSET($H$3,0,0,'Données projet'!$E$18+1,1))</f>
        <v>542.25674729323623</v>
      </c>
      <c r="HA83" s="59">
        <f t="shared" si="106"/>
        <v>614.73906555680685</v>
      </c>
      <c r="HB83" s="15">
        <f>IF(ISNA(VLOOKUP(A83,'Données projet'!$A$269:$I$289,3,0)),0,VLOOKUP(A83,'Données projet'!$A$269:$I$289,3,0))</f>
        <v>4</v>
      </c>
      <c r="HC83" s="15">
        <f>IF(ISNA(VLOOKUP(A83,'Données projet'!$A$269:$I$289,4,0)),0,VLOOKUP(A83,'Données projet'!$A$269:$I$289,4,0))</f>
        <v>527</v>
      </c>
      <c r="HD83" s="16">
        <f>IF(ISNA(VLOOKUP(A83,'Données projet'!$A$269:$I$289,5,0)),0%,VLOOKUP(A83,'Données projet'!$A$269:$I$289,5,0)*VLOOKUP('Données projet'!$B$18,Paramètres!$A$1:$I$89,7,0))</f>
        <v>0.318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124.27331963357354</v>
      </c>
      <c r="HH83" s="21">
        <f>EXP(-LN(2)/25)*HH82+(1-EXP(-LN(2)/25))/(LN(2)/25)*Calculateur!HC83*Calculateur!HE83*VLOOKUP('Données projet'!$B$18,Paramètres!$A$1:$I$89,3,0)*0.475*44/12</f>
        <v>0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124.27331963357354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2.8499999999999996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10.449999999999998</v>
      </c>
      <c r="H84" s="67">
        <f t="shared" si="56"/>
        <v>214.86666666666667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66.546953424562489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-1.0231815394945443E-12</v>
      </c>
      <c r="O84" s="13">
        <f>N84*VLOOKUP('Données projet'!$B$9,Paramètres!$A$1:$I$89,3,0)*VLOOKUP('Données projet'!$B$9,Paramètres!$A$1:$I$89,5,0)</f>
        <v>-8.9385139290243408E-13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686.80970545599644</v>
      </c>
      <c r="T84" s="59">
        <f t="shared" si="88"/>
        <v>636.16485232937737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170.19554325441985</v>
      </c>
      <c r="AA84" s="21">
        <f>EXP(-LN(2)/25)*AA83+(1-EXP(-LN(2)/25))/(LN(2)/25)*Calculateur!V84*Calculateur!X84*VLOOKUP('Données projet'!$B$9,Paramètres!$A$1:$I$89,3,0)*0.475*44/12</f>
        <v>22.196935210704712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192.39247846512455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66.546953424562489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6.4444444444444446</v>
      </c>
      <c r="AI84" s="13">
        <f>IF('Données projet'!$A$62&gt;35,AI83+AH84-AQ83,IF(A84&lt;'Données projet'!$A$62,$AF$205^A84,IF(A84='Données projet'!$A$62,'Données projet'!$B$62,AI83+AH84-AQ83)))</f>
        <v>204.3333333333334</v>
      </c>
      <c r="AJ84" s="13">
        <f>AI84*VLOOKUP('Données projet'!$B$10,Paramètres!$A$1:$I$89,3,0)*VLOOKUP('Données projet'!$B$10,Paramètres!$A$1:$I$89,5,0)</f>
        <v>184.88080000000005</v>
      </c>
      <c r="AK84" s="13">
        <f t="shared" si="89"/>
        <v>46.40637762364517</v>
      </c>
      <c r="AL84" s="20">
        <f t="shared" si="58"/>
        <v>402.82516769451541</v>
      </c>
      <c r="AM84" s="59">
        <f t="shared" si="59"/>
        <v>683.49733025124453</v>
      </c>
      <c r="AN84" s="59">
        <f ca="1">AVERAGE(OFFSET($AM$3,0,0,'Données projet'!$E$10+1,1))-AVERAGE(OFFSET($H$3,0,0,'Données projet'!$E$10+1,1))</f>
        <v>323.67375363913726</v>
      </c>
      <c r="AO84" s="59">
        <f t="shared" si="90"/>
        <v>266.03902815735029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30.277655625720183</v>
      </c>
      <c r="AV84" s="21">
        <f>EXP(-LN(2)/25)*AV83+(1-EXP(-LN(2)/25))/(LN(2)/25)*Calculateur!AQ84*Calculateur!AS84*VLOOKUP('Données projet'!$B$10,Paramètres!$A$1:$I$89,3,0)*0.475*44/12</f>
        <v>25.65466845202215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55.932324077742336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66.546953424562489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371.46495716091965</v>
      </c>
      <c r="BJ84" s="59">
        <f t="shared" si="92"/>
        <v>579.95059529269417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108.91580555431517</v>
      </c>
      <c r="BQ84" s="21">
        <f>EXP(-LN(2)/25)*BQ83+(1-EXP(-LN(2)/25))/(LN(2)/25)*Calculateur!BL84*Calculateur!BN84*VLOOKUP('Données projet'!$B$11,Paramètres!$A$1:$I$89,3,0)*0.475*44/12</f>
        <v>25.392978598697635</v>
      </c>
      <c r="BR84" s="21">
        <f>EXP(-LN(2)/2)*BR83+(1-EXP(-LN(2)/2))/(LN(2)/2)*BL84*BO84*VLOOKUP('Données projet'!$B$11,Paramètres!$A$1:$I$89,3,0)*0.475*44/12</f>
        <v>1.481317682603114E-4</v>
      </c>
      <c r="BS84" s="22">
        <f t="shared" si="63"/>
        <v>134.30893228478106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66.546953424562489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180.18752244216969</v>
      </c>
      <c r="CE84" s="59">
        <f t="shared" si="94"/>
        <v>350.12096474554676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131.51708176080626</v>
      </c>
      <c r="CL84" s="21">
        <f>EXP(-LN(2)/25)*CL83+(1-EXP(-LN(2)/25))/(LN(2)/25)*Calculateur!CG84*Calculateur!CI84*VLOOKUP('Données projet'!$B$12,Paramètres!$A$1:$I$89,3,0)*0.475*44/12</f>
        <v>45.275103265023318</v>
      </c>
      <c r="CM84" s="21">
        <f>EXP(-LN(2)/2)*CM83+(1-EXP(-LN(2)/2))/(LN(2)/2)*CG84*CJ84*VLOOKUP('Données projet'!$B$12,Paramètres!$A$1:$I$89,3,0)*0.475*44/12</f>
        <v>1.1254297263185874E-4</v>
      </c>
      <c r="CN84" s="22">
        <f t="shared" si="66"/>
        <v>176.79229756880221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66.546953424562489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5.6843418860808015E-14</v>
      </c>
      <c r="CU84" s="17">
        <f>CT84*VLOOKUP('Données projet'!$B$13,Paramètres!$A$1:$I$89,3,0)*VLOOKUP('Données projet'!$B$13,Paramètres!$A$1:$I$89,5,0)</f>
        <v>4.5224624045658861E-14</v>
      </c>
      <c r="CV84" s="13">
        <f t="shared" si="95"/>
        <v>7.4514601661523691E-13</v>
      </c>
      <c r="CW84" s="20">
        <f t="shared" si="67"/>
        <v>1.3765621991510601E-12</v>
      </c>
      <c r="CX84" s="59">
        <f t="shared" si="68"/>
        <v>280.67216255673048</v>
      </c>
      <c r="CY84" s="59">
        <f ca="1">AVERAGE(OFFSET($CX$3,0,0,'Données projet'!$E$13+1,1))-AVERAGE(OFFSET($H$3,0,0,'Données projet'!$E$13+1,1))</f>
        <v>284.31574332240928</v>
      </c>
      <c r="CZ84" s="59">
        <f t="shared" si="96"/>
        <v>403.96994631683913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553.81707887494304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553.81707887494304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66.546953424562489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>
        <f>DO84*VLOOKUP('Données projet'!$B$14,Paramètres!$A$1:$I$89,3,0)*VLOOKUP('Données projet'!$B$14,Paramètres!$A$1:$I$89,5,0)</f>
        <v>0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190.9519472160006</v>
      </c>
      <c r="DU84" s="59">
        <f t="shared" si="98"/>
        <v>170.61553500287511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118.58518758572731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118.58518758572731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66.546953424562489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74.2</v>
      </c>
      <c r="EJ84" s="12">
        <f>IF('Données projet'!$A$192&gt;35,EJ83+EI84-ER83,IF(A84&lt;'Données projet'!$A$192,$EG$205^A84,IF(A84='Données projet'!$A$192,'Données projet'!$B$192,EJ83+EI84-ER83)))</f>
        <v>108.19999999999999</v>
      </c>
      <c r="EK84" s="17">
        <f>EJ84*VLOOKUP('Données projet'!$B$15,Paramètres!$A$1:$I$89,3,0)*VLOOKUP('Données projet'!$B$15,Paramètres!$A$1:$I$89,5,0)</f>
        <v>92.835599999999999</v>
      </c>
      <c r="EL84" s="13">
        <f t="shared" si="99"/>
        <v>25.247863875710912</v>
      </c>
      <c r="EM84" s="20">
        <f t="shared" si="73"/>
        <v>205.66203291686315</v>
      </c>
      <c r="EN84" s="59">
        <f t="shared" si="74"/>
        <v>486.33419547359227</v>
      </c>
      <c r="EO84" s="59">
        <f ca="1">AVERAGE(OFFSET($EN$3,0,0,'Données projet'!$E$15+1,1))-AVERAGE(OFFSET($H$3,0,0,'Données projet'!$E$15+1,1))</f>
        <v>331.94255128154623</v>
      </c>
      <c r="EP84" s="59">
        <f t="shared" si="100"/>
        <v>258.40809812013964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691.66962415758053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691.66962415758053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66.546953424562489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>
        <f>FE84*VLOOKUP('Données projet'!$B$16,Paramètres!$A$1:$I$89,3,0)*VLOOKUP('Données projet'!$B$16,Paramètres!$A$1:$I$89,5,0)</f>
        <v>0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290.72311302449236</v>
      </c>
      <c r="FK84" s="59">
        <f t="shared" si="102"/>
        <v>352.32552988394434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455.82337096798278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455.82337096798278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66.546953424562489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>
        <f>FZ84*VLOOKUP('Données projet'!$B$17,Paramètres!$A$1:$I$89,3,0)*VLOOKUP('Données projet'!$B$17,Paramètres!$A$1:$I$89,5,0)</f>
        <v>0</v>
      </c>
      <c r="GB84" s="13" t="e">
        <f t="shared" si="103"/>
        <v>#NUM!</v>
      </c>
      <c r="GC84" s="20" t="e">
        <f t="shared" si="79"/>
        <v>#NUM!</v>
      </c>
      <c r="GD84" s="59" t="e">
        <f t="shared" si="80"/>
        <v>#NUM!</v>
      </c>
      <c r="GE84" s="59">
        <f ca="1">AVERAGE(OFFSET($GD$3,0,0,'Données projet'!$E$17+1,1))-AVERAGE(OFFSET($H$3,0,0,'Données projet'!$E$17+1,1))</f>
        <v>123.03972959251965</v>
      </c>
      <c r="GF84" s="59">
        <f t="shared" si="104"/>
        <v>178.27657680839445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99.075929178590656</v>
      </c>
      <c r="GM84" s="21">
        <f>EXP(-LN(2)/25)*GM83+(1-EXP(-LN(2)/25))/(LN(2)/25)*Calculateur!GH84*Calculateur!GJ84*VLOOKUP('Données projet'!$B$17,Paramètres!$A$1:$I$89,3,0)*0.475*44/12</f>
        <v>24.761165992728156</v>
      </c>
      <c r="GN84" s="21">
        <f>EXP(-LN(2)/2)*GN83+(1-EXP(-LN(2)/2))/(LN(2)/2)*GH84*GK84*VLOOKUP('Données projet'!$B$17,Paramètres!$A$1:$I$89,3,0)*0.475*44/12</f>
        <v>0.22587110958833509</v>
      </c>
      <c r="GO84" s="21">
        <f t="shared" si="81"/>
        <v>124.06296628090715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66.546953424562489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54.9</v>
      </c>
      <c r="GU84" s="12">
        <f>IF('Données projet'!$A$270&gt;35,GU83+GT84-HC83,IF(A84&lt;'Données projet'!$A$270,$GR$205^A84,IF(A84='Données projet'!$A$270,'Données projet'!$B$270,GU83+GT84-HC83)))</f>
        <v>105.89999999999964</v>
      </c>
      <c r="GV84" s="17">
        <f>GU84*VLOOKUP('Données projet'!$B$18,Paramètres!$A$1:$I$89,3,0)*VLOOKUP('Données projet'!$B$18,Paramètres!$A$1:$I$89,5,0)</f>
        <v>71.037719999999752</v>
      </c>
      <c r="GW84" s="13">
        <f t="shared" si="105"/>
        <v>19.930938895187982</v>
      </c>
      <c r="GX84" s="20">
        <f t="shared" si="82"/>
        <v>158.43708090911863</v>
      </c>
      <c r="GY84" s="59">
        <f t="shared" si="83"/>
        <v>439.10924346584773</v>
      </c>
      <c r="GZ84" s="59">
        <f ca="1">AVERAGE(OFFSET($GY$3,0,0,'Données projet'!$E$18+1,1))-AVERAGE(OFFSET($H$3,0,0,'Données projet'!$E$18+1,1))</f>
        <v>542.25674729323623</v>
      </c>
      <c r="HA84" s="59">
        <f t="shared" si="106"/>
        <v>614.73906555680685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121.83639563479959</v>
      </c>
      <c r="HH84" s="21">
        <f>EXP(-LN(2)/25)*HH83+(1-EXP(-LN(2)/25))/(LN(2)/25)*Calculateur!HC84*Calculateur!HE84*VLOOKUP('Données projet'!$B$18,Paramètres!$A$1:$I$89,3,0)*0.475*44/12</f>
        <v>0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121.83639563479959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2.8499999999999996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10.449999999999998</v>
      </c>
      <c r="H85" s="67">
        <f t="shared" si="56"/>
        <v>214.86666666666667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66.606856062790712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-1.0231815394945443E-12</v>
      </c>
      <c r="O85" s="13">
        <f>N85*VLOOKUP('Données projet'!$B$9,Paramètres!$A$1:$I$89,3,0)*VLOOKUP('Données projet'!$B$9,Paramètres!$A$1:$I$89,5,0)</f>
        <v>-8.9385139290243408E-13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686.80970545599644</v>
      </c>
      <c r="T85" s="59">
        <f t="shared" si="88"/>
        <v>636.16485232937737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166.85811246023178</v>
      </c>
      <c r="AA85" s="21">
        <f>EXP(-LN(2)/25)*AA84+(1-EXP(-LN(2)/25))/(LN(2)/25)*Calculateur!V85*Calculateur!X85*VLOOKUP('Données projet'!$B$9,Paramètres!$A$1:$I$89,3,0)*0.475*44/12</f>
        <v>21.589958850081899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188.44807131031368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66.606856062790712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6.4444444444444446</v>
      </c>
      <c r="AI85" s="13">
        <f>IF('Données projet'!$A$62&gt;35,AI84+AH85-AQ84,IF(A85&lt;'Données projet'!$A$62,$AF$205^A85,IF(A85='Données projet'!$A$62,'Données projet'!$B$62,AI84+AH85-AQ84)))</f>
        <v>210.77777777777786</v>
      </c>
      <c r="AJ85" s="13">
        <f>AI85*VLOOKUP('Données projet'!$B$10,Paramètres!$A$1:$I$89,3,0)*VLOOKUP('Données projet'!$B$10,Paramètres!$A$1:$I$89,5,0)</f>
        <v>190.7117333333334</v>
      </c>
      <c r="AK85" s="13">
        <f t="shared" si="89"/>
        <v>47.697272728026732</v>
      </c>
      <c r="AL85" s="20">
        <f t="shared" si="58"/>
        <v>415.22901889020221</v>
      </c>
      <c r="AM85" s="59">
        <f t="shared" si="59"/>
        <v>696.12082445376814</v>
      </c>
      <c r="AN85" s="59">
        <f ca="1">AVERAGE(OFFSET($AM$3,0,0,'Données projet'!$E$10+1,1))-AVERAGE(OFFSET($H$3,0,0,'Données projet'!$E$10+1,1))</f>
        <v>323.67375363913726</v>
      </c>
      <c r="AO85" s="59">
        <f t="shared" si="90"/>
        <v>266.03902815735029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29.683929266446224</v>
      </c>
      <c r="AV85" s="21">
        <f>EXP(-LN(2)/25)*AV84+(1-EXP(-LN(2)/25))/(LN(2)/25)*Calculateur!AQ85*Calculateur!AS85*VLOOKUP('Données projet'!$B$10,Paramètres!$A$1:$I$89,3,0)*0.475*44/12</f>
        <v>24.953140194081225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54.637069460527449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66.606856062790712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371.46495716091965</v>
      </c>
      <c r="BJ85" s="59">
        <f t="shared" si="92"/>
        <v>579.95059529269417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106.78003303947682</v>
      </c>
      <c r="BQ85" s="21">
        <f>EXP(-LN(2)/25)*BQ84+(1-EXP(-LN(2)/25))/(LN(2)/25)*Calculateur!BL85*Calculateur!BN85*VLOOKUP('Données projet'!$B$11,Paramètres!$A$1:$I$89,3,0)*0.475*44/12</f>
        <v>24.69860626355754</v>
      </c>
      <c r="BR85" s="21">
        <f>EXP(-LN(2)/2)*BR84+(1-EXP(-LN(2)/2))/(LN(2)/2)*BL85*BO85*VLOOKUP('Données projet'!$B$11,Paramètres!$A$1:$I$89,3,0)*0.475*44/12</f>
        <v>1.0474497784602038E-4</v>
      </c>
      <c r="BS85" s="22">
        <f t="shared" si="63"/>
        <v>131.4787440480122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66.606856062790712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180.18752244216969</v>
      </c>
      <c r="CE85" s="59">
        <f t="shared" si="94"/>
        <v>350.12096474554676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128.93811200497592</v>
      </c>
      <c r="CL85" s="21">
        <f>EXP(-LN(2)/25)*CL84+(1-EXP(-LN(2)/25))/(LN(2)/25)*Calculateur!CG85*Calculateur!CI85*VLOOKUP('Données projet'!$B$12,Paramètres!$A$1:$I$89,3,0)*0.475*44/12</f>
        <v>44.037053185327053</v>
      </c>
      <c r="CM85" s="21">
        <f>EXP(-LN(2)/2)*CM84+(1-EXP(-LN(2)/2))/(LN(2)/2)*CG85*CJ85*VLOOKUP('Données projet'!$B$12,Paramètres!$A$1:$I$89,3,0)*0.475*44/12</f>
        <v>7.9579899122879345E-5</v>
      </c>
      <c r="CN85" s="22">
        <f t="shared" si="66"/>
        <v>172.9752447702021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66.606856062790712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5.6843418860808015E-14</v>
      </c>
      <c r="CU85" s="17">
        <f>CT85*VLOOKUP('Données projet'!$B$13,Paramètres!$A$1:$I$89,3,0)*VLOOKUP('Données projet'!$B$13,Paramètres!$A$1:$I$89,5,0)</f>
        <v>4.5224624045658861E-14</v>
      </c>
      <c r="CV85" s="13">
        <f t="shared" si="95"/>
        <v>7.4514601661523691E-13</v>
      </c>
      <c r="CW85" s="20">
        <f t="shared" si="67"/>
        <v>1.3765621991510601E-12</v>
      </c>
      <c r="CX85" s="59">
        <f t="shared" si="68"/>
        <v>280.89180556356729</v>
      </c>
      <c r="CY85" s="59">
        <f ca="1">AVERAGE(OFFSET($CX$3,0,0,'Données projet'!$E$13+1,1))-AVERAGE(OFFSET($H$3,0,0,'Données projet'!$E$13+1,1))</f>
        <v>284.31574332240928</v>
      </c>
      <c r="CZ85" s="59">
        <f t="shared" si="96"/>
        <v>403.96994631683913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542.95706375326904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542.95706375326904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66.606856062790712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>
        <f>DO85*VLOOKUP('Données projet'!$B$14,Paramètres!$A$1:$I$89,3,0)*VLOOKUP('Données projet'!$B$14,Paramètres!$A$1:$I$89,5,0)</f>
        <v>0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190.9519472160006</v>
      </c>
      <c r="DU85" s="59">
        <f t="shared" si="98"/>
        <v>170.61553500287511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116.25980438699365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116.25980438699365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66.606856062790712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74.2</v>
      </c>
      <c r="EJ85" s="12">
        <f>IF('Données projet'!$A$192&gt;35,EJ84+EI85-ER84,IF(A85&lt;'Données projet'!$A$192,$EG$205^A85,IF(A85='Données projet'!$A$192,'Données projet'!$B$192,EJ84+EI85-ER84)))</f>
        <v>182.39999999999998</v>
      </c>
      <c r="EK85" s="17">
        <f>EJ85*VLOOKUP('Données projet'!$B$15,Paramètres!$A$1:$I$89,3,0)*VLOOKUP('Données projet'!$B$15,Paramètres!$A$1:$I$89,5,0)</f>
        <v>156.4992</v>
      </c>
      <c r="EL85" s="13">
        <f t="shared" si="99"/>
        <v>40.051886402928389</v>
      </c>
      <c r="EM85" s="20">
        <f t="shared" si="73"/>
        <v>342.32647548510022</v>
      </c>
      <c r="EN85" s="59">
        <f t="shared" si="74"/>
        <v>623.21828104866609</v>
      </c>
      <c r="EO85" s="59">
        <f ca="1">AVERAGE(OFFSET($EN$3,0,0,'Données projet'!$E$15+1,1))-AVERAGE(OFFSET($H$3,0,0,'Données projet'!$E$15+1,1))</f>
        <v>331.94255128154623</v>
      </c>
      <c r="EP85" s="59">
        <f t="shared" si="100"/>
        <v>258.40809812013964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678.10640470466421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678.10640470466421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66.606856062790712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>
        <f>FE85*VLOOKUP('Données projet'!$B$16,Paramètres!$A$1:$I$89,3,0)*VLOOKUP('Données projet'!$B$16,Paramètres!$A$1:$I$89,5,0)</f>
        <v>0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290.72311302449236</v>
      </c>
      <c r="FK85" s="59">
        <f t="shared" si="102"/>
        <v>352.32552988394434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446.88495268810425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446.88495268810425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66.606856062790712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>
        <f>FZ85*VLOOKUP('Données projet'!$B$17,Paramètres!$A$1:$I$89,3,0)*VLOOKUP('Données projet'!$B$17,Paramètres!$A$1:$I$89,5,0)</f>
        <v>0</v>
      </c>
      <c r="GB85" s="13" t="e">
        <f t="shared" si="103"/>
        <v>#NUM!</v>
      </c>
      <c r="GC85" s="20" t="e">
        <f t="shared" si="79"/>
        <v>#NUM!</v>
      </c>
      <c r="GD85" s="59" t="e">
        <f t="shared" si="80"/>
        <v>#NUM!</v>
      </c>
      <c r="GE85" s="59">
        <f ca="1">AVERAGE(OFFSET($GD$3,0,0,'Données projet'!$E$17+1,1))-AVERAGE(OFFSET($H$3,0,0,'Données projet'!$E$17+1,1))</f>
        <v>123.03972959251965</v>
      </c>
      <c r="GF85" s="59">
        <f t="shared" si="104"/>
        <v>178.27657680839445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97.133110637748288</v>
      </c>
      <c r="GM85" s="21">
        <f>EXP(-LN(2)/25)*GM84+(1-EXP(-LN(2)/25))/(LN(2)/25)*Calculateur!GH85*Calculateur!GJ85*VLOOKUP('Données projet'!$B$17,Paramètres!$A$1:$I$89,3,0)*0.475*44/12</f>
        <v>24.084070606523877</v>
      </c>
      <c r="GN85" s="21">
        <f>EXP(-LN(2)/2)*GN84+(1-EXP(-LN(2)/2))/(LN(2)/2)*GH85*GK85*VLOOKUP('Données projet'!$B$17,Paramètres!$A$1:$I$89,3,0)*0.475*44/12</f>
        <v>0.15971499326404157</v>
      </c>
      <c r="GO85" s="21">
        <f t="shared" si="81"/>
        <v>121.37689623753622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66.606856062790712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54.9</v>
      </c>
      <c r="GU85" s="12">
        <f>IF('Données projet'!$A$270&gt;35,GU84+GT85-HC84,IF(A85&lt;'Données projet'!$A$270,$GR$205^A85,IF(A85='Données projet'!$A$270,'Données projet'!$B$270,GU84+GT85-HC84)))</f>
        <v>160.79999999999964</v>
      </c>
      <c r="GV85" s="17">
        <f>GU85*VLOOKUP('Données projet'!$B$18,Paramètres!$A$1:$I$89,3,0)*VLOOKUP('Données projet'!$B$18,Paramètres!$A$1:$I$89,5,0)</f>
        <v>107.86463999999977</v>
      </c>
      <c r="GW85" s="13">
        <f t="shared" si="105"/>
        <v>28.827304541881357</v>
      </c>
      <c r="GX85" s="20">
        <f t="shared" si="82"/>
        <v>238.07180341044295</v>
      </c>
      <c r="GY85" s="59">
        <f t="shared" si="83"/>
        <v>518.96360897400882</v>
      </c>
      <c r="GZ85" s="59">
        <f ca="1">AVERAGE(OFFSET($GY$3,0,0,'Données projet'!$E$18+1,1))-AVERAGE(OFFSET($H$3,0,0,'Données projet'!$E$18+1,1))</f>
        <v>542.25674729323623</v>
      </c>
      <c r="HA85" s="59">
        <f t="shared" si="106"/>
        <v>614.73906555680685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119.44725822926472</v>
      </c>
      <c r="HH85" s="21">
        <f>EXP(-LN(2)/25)*HH84+(1-EXP(-LN(2)/25))/(LN(2)/25)*Calculateur!HC85*Calculateur!HE85*VLOOKUP('Données projet'!$B$18,Paramètres!$A$1:$I$89,3,0)*0.475*44/12</f>
        <v>0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119.44725822926472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2.8499999999999996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10.449999999999998</v>
      </c>
      <c r="H86" s="67">
        <f t="shared" si="56"/>
        <v>214.86666666666667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66.665719524167898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-1.0231815394945443E-12</v>
      </c>
      <c r="O86" s="13">
        <f>N86*VLOOKUP('Données projet'!$B$9,Paramètres!$A$1:$I$89,3,0)*VLOOKUP('Données projet'!$B$9,Paramètres!$A$1:$I$89,5,0)</f>
        <v>-8.9385139290243408E-13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686.80970545599644</v>
      </c>
      <c r="T86" s="59">
        <f t="shared" si="88"/>
        <v>636.16485232937737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163.58612664828595</v>
      </c>
      <c r="AA86" s="21">
        <f>EXP(-LN(2)/25)*AA85+(1-EXP(-LN(2)/25))/(LN(2)/25)*Calculateur!V86*Calculateur!X86*VLOOKUP('Données projet'!$B$9,Paramètres!$A$1:$I$89,3,0)*0.475*44/12</f>
        <v>20.99958028995982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184.58570693824578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66.665719524167898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6.4444444444444446</v>
      </c>
      <c r="AI86" s="13">
        <f>IF('Données projet'!$A$62&gt;35,AI85+AH86-AQ85,IF(A86&lt;'Données projet'!$A$62,$AF$205^A86,IF(A86='Données projet'!$A$62,'Données projet'!$B$62,AI85+AH86-AQ85)))</f>
        <v>217.22222222222231</v>
      </c>
      <c r="AJ86" s="13">
        <f>AI86*VLOOKUP('Données projet'!$B$10,Paramètres!$A$1:$I$89,3,0)*VLOOKUP('Données projet'!$B$10,Paramètres!$A$1:$I$89,5,0)</f>
        <v>196.54266666666675</v>
      </c>
      <c r="AK86" s="13">
        <f t="shared" si="89"/>
        <v>48.983581098767061</v>
      </c>
      <c r="AL86" s="20">
        <f t="shared" si="58"/>
        <v>427.62488152479727</v>
      </c>
      <c r="AM86" s="59">
        <f t="shared" si="59"/>
        <v>708.73251978007966</v>
      </c>
      <c r="AN86" s="59">
        <f ca="1">AVERAGE(OFFSET($AM$3,0,0,'Données projet'!$E$10+1,1))-AVERAGE(OFFSET($H$3,0,0,'Données projet'!$E$10+1,1))</f>
        <v>323.67375363913726</v>
      </c>
      <c r="AO86" s="59">
        <f t="shared" si="90"/>
        <v>266.03902815735029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29.101845518940305</v>
      </c>
      <c r="AV86" s="21">
        <f>EXP(-LN(2)/25)*AV85+(1-EXP(-LN(2)/25))/(LN(2)/25)*Calculateur!AQ86*Calculateur!AS86*VLOOKUP('Données projet'!$B$10,Paramètres!$A$1:$I$89,3,0)*0.475*44/12</f>
        <v>24.270795263245464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53.372640782185769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66.665719524167898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371.46495716091965</v>
      </c>
      <c r="BJ86" s="59">
        <f t="shared" si="92"/>
        <v>579.95059529269417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104.68614172096184</v>
      </c>
      <c r="BQ86" s="21">
        <f>EXP(-LN(2)/25)*BQ85+(1-EXP(-LN(2)/25))/(LN(2)/25)*Calculateur!BL86*Calculateur!BN86*VLOOKUP('Données projet'!$B$11,Paramètres!$A$1:$I$89,3,0)*0.475*44/12</f>
        <v>24.023221576437304</v>
      </c>
      <c r="BR86" s="21">
        <f>EXP(-LN(2)/2)*BR85+(1-EXP(-LN(2)/2))/(LN(2)/2)*BL86*BO86*VLOOKUP('Données projet'!$B$11,Paramètres!$A$1:$I$89,3,0)*0.475*44/12</f>
        <v>7.4065884130155701E-5</v>
      </c>
      <c r="BS86" s="22">
        <f t="shared" si="63"/>
        <v>128.70943736328326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66.665719524167898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180.18752244216969</v>
      </c>
      <c r="CE86" s="59">
        <f t="shared" si="94"/>
        <v>350.12096474554676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126.40971427304117</v>
      </c>
      <c r="CL86" s="21">
        <f>EXP(-LN(2)/25)*CL85+(1-EXP(-LN(2)/25))/(LN(2)/25)*Calculateur!CG86*Calculateur!CI86*VLOOKUP('Données projet'!$B$12,Paramètres!$A$1:$I$89,3,0)*0.475*44/12</f>
        <v>42.832857650166304</v>
      </c>
      <c r="CM86" s="21">
        <f>EXP(-LN(2)/2)*CM85+(1-EXP(-LN(2)/2))/(LN(2)/2)*CG86*CJ86*VLOOKUP('Données projet'!$B$12,Paramètres!$A$1:$I$89,3,0)*0.475*44/12</f>
        <v>5.6271486315929371E-5</v>
      </c>
      <c r="CN86" s="22">
        <f t="shared" si="66"/>
        <v>169.24262819469382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66.665719524167898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5.6843418860808015E-14</v>
      </c>
      <c r="CU86" s="17">
        <f>CT86*VLOOKUP('Données projet'!$B$13,Paramètres!$A$1:$I$89,3,0)*VLOOKUP('Données projet'!$B$13,Paramètres!$A$1:$I$89,5,0)</f>
        <v>4.5224624045658861E-14</v>
      </c>
      <c r="CV86" s="13">
        <f t="shared" si="95"/>
        <v>7.4514601661523691E-13</v>
      </c>
      <c r="CW86" s="20">
        <f t="shared" si="67"/>
        <v>1.3765621991510601E-12</v>
      </c>
      <c r="CX86" s="59">
        <f t="shared" si="68"/>
        <v>281.10763825528369</v>
      </c>
      <c r="CY86" s="59">
        <f ca="1">AVERAGE(OFFSET($CX$3,0,0,'Données projet'!$E$13+1,1))-AVERAGE(OFFSET($H$3,0,0,'Données projet'!$E$13+1,1))</f>
        <v>284.31574332240928</v>
      </c>
      <c r="CZ86" s="59">
        <f t="shared" si="96"/>
        <v>403.96994631683913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532.31000690417591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532.31000690417591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66.665719524167898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>
        <f>DO86*VLOOKUP('Données projet'!$B$14,Paramètres!$A$1:$I$89,3,0)*VLOOKUP('Données projet'!$B$14,Paramètres!$A$1:$I$89,5,0)</f>
        <v>0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190.9519472160006</v>
      </c>
      <c r="DU86" s="59">
        <f t="shared" si="98"/>
        <v>170.61553500287511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113.98002053444345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113.98002053444345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66.665719524167898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74.2</v>
      </c>
      <c r="EJ86" s="12">
        <f>IF('Données projet'!$A$192&gt;35,EJ85+EI86-ER85,IF(A86&lt;'Données projet'!$A$192,$EG$205^A86,IF(A86='Données projet'!$A$192,'Données projet'!$B$192,EJ85+EI86-ER85)))</f>
        <v>256.59999999999997</v>
      </c>
      <c r="EK86" s="17">
        <f>EJ86*VLOOKUP('Données projet'!$B$15,Paramètres!$A$1:$I$89,3,0)*VLOOKUP('Données projet'!$B$15,Paramètres!$A$1:$I$89,5,0)</f>
        <v>220.1628</v>
      </c>
      <c r="EL86" s="13">
        <f t="shared" si="99"/>
        <v>54.150267972743848</v>
      </c>
      <c r="EM86" s="20">
        <f t="shared" si="73"/>
        <v>477.76192671919557</v>
      </c>
      <c r="EN86" s="59">
        <f t="shared" si="74"/>
        <v>758.86956497447795</v>
      </c>
      <c r="EO86" s="59">
        <f ca="1">AVERAGE(OFFSET($EN$3,0,0,'Données projet'!$E$15+1,1))-AVERAGE(OFFSET($H$3,0,0,'Données projet'!$E$15+1,1))</f>
        <v>331.94255128154623</v>
      </c>
      <c r="EP86" s="59">
        <f t="shared" si="100"/>
        <v>258.40809812013964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664.80915171247261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664.80915171247261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66.665719524167898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>
        <f>FE86*VLOOKUP('Données projet'!$B$16,Paramètres!$A$1:$I$89,3,0)*VLOOKUP('Données projet'!$B$16,Paramètres!$A$1:$I$89,5,0)</f>
        <v>0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290.72311302449236</v>
      </c>
      <c r="FK86" s="59">
        <f t="shared" si="102"/>
        <v>352.32552988394434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438.12181133879733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438.12181133879733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66.665719524167898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>
        <f>FZ86*VLOOKUP('Données projet'!$B$17,Paramètres!$A$1:$I$89,3,0)*VLOOKUP('Données projet'!$B$17,Paramètres!$A$1:$I$89,5,0)</f>
        <v>0</v>
      </c>
      <c r="GB86" s="13" t="e">
        <f t="shared" si="103"/>
        <v>#NUM!</v>
      </c>
      <c r="GC86" s="20" t="e">
        <f t="shared" si="79"/>
        <v>#NUM!</v>
      </c>
      <c r="GD86" s="59" t="e">
        <f t="shared" si="80"/>
        <v>#NUM!</v>
      </c>
      <c r="GE86" s="59">
        <f ca="1">AVERAGE(OFFSET($GD$3,0,0,'Données projet'!$E$17+1,1))-AVERAGE(OFFSET($H$3,0,0,'Données projet'!$E$17+1,1))</f>
        <v>123.03972959251965</v>
      </c>
      <c r="GF86" s="59">
        <f t="shared" si="104"/>
        <v>178.27657680839445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95.228389583489545</v>
      </c>
      <c r="GM86" s="21">
        <f>EXP(-LN(2)/25)*GM85+(1-EXP(-LN(2)/25))/(LN(2)/25)*Calculateur!GH86*Calculateur!GJ86*VLOOKUP('Données projet'!$B$17,Paramètres!$A$1:$I$89,3,0)*0.475*44/12</f>
        <v>23.425490429262254</v>
      </c>
      <c r="GN86" s="21">
        <f>EXP(-LN(2)/2)*GN85+(1-EXP(-LN(2)/2))/(LN(2)/2)*GH86*GK86*VLOOKUP('Données projet'!$B$17,Paramètres!$A$1:$I$89,3,0)*0.475*44/12</f>
        <v>0.11293555479416756</v>
      </c>
      <c r="GO86" s="21">
        <f t="shared" si="81"/>
        <v>118.76681556754596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66.665719524167898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54.9</v>
      </c>
      <c r="GU86" s="12">
        <f>IF('Données projet'!$A$270&gt;35,GU85+GT86-HC85,IF(A86&lt;'Données projet'!$A$270,$GR$205^A86,IF(A86='Données projet'!$A$270,'Données projet'!$B$270,GU85+GT86-HC85)))</f>
        <v>215.69999999999965</v>
      </c>
      <c r="GV86" s="17">
        <f>GU86*VLOOKUP('Données projet'!$B$18,Paramètres!$A$1:$I$89,3,0)*VLOOKUP('Données projet'!$B$18,Paramètres!$A$1:$I$89,5,0)</f>
        <v>144.69155999999978</v>
      </c>
      <c r="GW86" s="13">
        <f t="shared" si="105"/>
        <v>37.369705519464979</v>
      </c>
      <c r="GX86" s="20">
        <f t="shared" si="82"/>
        <v>317.09003744640114</v>
      </c>
      <c r="GY86" s="59">
        <f t="shared" si="83"/>
        <v>598.19767570168347</v>
      </c>
      <c r="GZ86" s="59">
        <f ca="1">AVERAGE(OFFSET($GY$3,0,0,'Données projet'!$E$18+1,1))-AVERAGE(OFFSET($H$3,0,0,'Données projet'!$E$18+1,1))</f>
        <v>542.25674729323623</v>
      </c>
      <c r="HA86" s="59">
        <f t="shared" si="106"/>
        <v>614.73906555680685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117.10497035102246</v>
      </c>
      <c r="HH86" s="21">
        <f>EXP(-LN(2)/25)*HH85+(1-EXP(-LN(2)/25))/(LN(2)/25)*Calculateur!HC86*Calculateur!HE86*VLOOKUP('Données projet'!$B$18,Paramètres!$A$1:$I$89,3,0)*0.475*44/12</f>
        <v>0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117.10497035102246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2.8499999999999996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10.449999999999998</v>
      </c>
      <c r="H87" s="67">
        <f t="shared" si="56"/>
        <v>214.86666666666667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66.723561836089175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-1.0231815394945443E-12</v>
      </c>
      <c r="O87" s="13">
        <f>N87*VLOOKUP('Données projet'!$B$9,Paramètres!$A$1:$I$89,3,0)*VLOOKUP('Données projet'!$B$9,Paramètres!$A$1:$I$89,5,0)</f>
        <v>-8.9385139290243408E-13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686.80970545599644</v>
      </c>
      <c r="T87" s="59">
        <f t="shared" si="88"/>
        <v>636.16485232937737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160.37830248239808</v>
      </c>
      <c r="AA87" s="21">
        <f>EXP(-LN(2)/25)*AA86+(1-EXP(-LN(2)/25))/(LN(2)/25)*Calculateur!V87*Calculateur!X87*VLOOKUP('Données projet'!$B$9,Paramètres!$A$1:$I$89,3,0)*0.475*44/12</f>
        <v>20.425345662610937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180.80364814500902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66.723561836089175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6.4444444444444446</v>
      </c>
      <c r="AI87" s="13">
        <f>IF('Données projet'!$A$62&gt;35,AI86+AH87-AQ86,IF(A87&lt;'Données projet'!$A$62,$AF$205^A87,IF(A87='Données projet'!$A$62,'Données projet'!$B$62,AI86+AH87-AQ86)))</f>
        <v>223.66666666666677</v>
      </c>
      <c r="AJ87" s="13">
        <f>AI87*VLOOKUP('Données projet'!$B$10,Paramètres!$A$1:$I$89,3,0)*VLOOKUP('Données projet'!$B$10,Paramètres!$A$1:$I$89,5,0)</f>
        <v>202.3736000000001</v>
      </c>
      <c r="AK87" s="13">
        <f t="shared" si="89"/>
        <v>50.265454435353256</v>
      </c>
      <c r="AL87" s="20">
        <f t="shared" si="58"/>
        <v>440.01301980824041</v>
      </c>
      <c r="AM87" s="59">
        <f t="shared" si="59"/>
        <v>721.33274654056731</v>
      </c>
      <c r="AN87" s="59">
        <f ca="1">AVERAGE(OFFSET($AM$3,0,0,'Données projet'!$E$10+1,1))-AVERAGE(OFFSET($H$3,0,0,'Données projet'!$E$10+1,1))</f>
        <v>323.67375363913726</v>
      </c>
      <c r="AO87" s="59">
        <f t="shared" si="90"/>
        <v>266.03902815735029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28.531176078686947</v>
      </c>
      <c r="AV87" s="21">
        <f>EXP(-LN(2)/25)*AV86+(1-EXP(-LN(2)/25))/(LN(2)/25)*Calculateur!AQ87*Calculateur!AS87*VLOOKUP('Données projet'!$B$10,Paramètres!$A$1:$I$89,3,0)*0.475*44/12</f>
        <v>23.607109090426366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52.138285169113317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66.723561836089175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371.46495716091965</v>
      </c>
      <c r="BJ87" s="59">
        <f t="shared" si="92"/>
        <v>579.95059529269417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102.63331033405535</v>
      </c>
      <c r="BQ87" s="21">
        <f>EXP(-LN(2)/25)*BQ86+(1-EXP(-LN(2)/25))/(LN(2)/25)*Calculateur!BL87*Calculateur!BN87*VLOOKUP('Données projet'!$B$11,Paramètres!$A$1:$I$89,3,0)*0.475*44/12</f>
        <v>23.366305319103308</v>
      </c>
      <c r="BR87" s="21">
        <f>EXP(-LN(2)/2)*BR86+(1-EXP(-LN(2)/2))/(LN(2)/2)*BL87*BO87*VLOOKUP('Données projet'!$B$11,Paramètres!$A$1:$I$89,3,0)*0.475*44/12</f>
        <v>5.2372488923010191E-5</v>
      </c>
      <c r="BS87" s="22">
        <f t="shared" si="63"/>
        <v>125.99966802564758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66.723561836089175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180.18752244216969</v>
      </c>
      <c r="CE87" s="59">
        <f t="shared" si="94"/>
        <v>350.12096474554676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123.93089687845932</v>
      </c>
      <c r="CL87" s="21">
        <f>EXP(-LN(2)/25)*CL86+(1-EXP(-LN(2)/25))/(LN(2)/25)*Calculateur!CG87*Calculateur!CI87*VLOOKUP('Données projet'!$B$12,Paramètres!$A$1:$I$89,3,0)*0.475*44/12</f>
        <v>41.661590905240416</v>
      </c>
      <c r="CM87" s="21">
        <f>EXP(-LN(2)/2)*CM86+(1-EXP(-LN(2)/2))/(LN(2)/2)*CG87*CJ87*VLOOKUP('Données projet'!$B$12,Paramètres!$A$1:$I$89,3,0)*0.475*44/12</f>
        <v>3.9789949561439672E-5</v>
      </c>
      <c r="CN87" s="22">
        <f t="shared" si="66"/>
        <v>165.59252757364931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66.723561836089175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5.6843418860808015E-14</v>
      </c>
      <c r="CU87" s="17">
        <f>CT87*VLOOKUP('Données projet'!$B$13,Paramètres!$A$1:$I$89,3,0)*VLOOKUP('Données projet'!$B$13,Paramètres!$A$1:$I$89,5,0)</f>
        <v>4.5224624045658861E-14</v>
      </c>
      <c r="CV87" s="13">
        <f t="shared" si="95"/>
        <v>7.4514601661523691E-13</v>
      </c>
      <c r="CW87" s="20">
        <f t="shared" si="67"/>
        <v>1.3765621991510601E-12</v>
      </c>
      <c r="CX87" s="59">
        <f t="shared" si="68"/>
        <v>281.31972673232832</v>
      </c>
      <c r="CY87" s="59">
        <f ca="1">AVERAGE(OFFSET($CX$3,0,0,'Données projet'!$E$13+1,1))-AVERAGE(OFFSET($H$3,0,0,'Données projet'!$E$13+1,1))</f>
        <v>284.31574332240928</v>
      </c>
      <c r="CZ87" s="59">
        <f t="shared" si="96"/>
        <v>403.96994631683913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521.87173234583008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521.87173234583008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66.723561836089175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>
        <f>DO87*VLOOKUP('Données projet'!$B$14,Paramètres!$A$1:$I$89,3,0)*VLOOKUP('Données projet'!$B$14,Paramètres!$A$1:$I$89,5,0)</f>
        <v>0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190.9519472160006</v>
      </c>
      <c r="DU87" s="59">
        <f t="shared" si="98"/>
        <v>170.61553500287511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111.74494185271092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111.74494185271092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66.723561836089175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74.2</v>
      </c>
      <c r="EJ87" s="12">
        <f>IF('Données projet'!$A$192&gt;35,EJ86+EI87-ER86,IF(A87&lt;'Données projet'!$A$192,$EG$205^A87,IF(A87='Données projet'!$A$192,'Données projet'!$B$192,EJ86+EI87-ER86)))</f>
        <v>330.79999999999995</v>
      </c>
      <c r="EK87" s="17">
        <f>EJ87*VLOOKUP('Données projet'!$B$15,Paramètres!$A$1:$I$89,3,0)*VLOOKUP('Données projet'!$B$15,Paramètres!$A$1:$I$89,5,0)</f>
        <v>283.82639999999998</v>
      </c>
      <c r="EL87" s="13">
        <f t="shared" si="99"/>
        <v>67.774997306157204</v>
      </c>
      <c r="EM87" s="20">
        <f t="shared" si="73"/>
        <v>612.37243364155711</v>
      </c>
      <c r="EN87" s="59">
        <f t="shared" si="74"/>
        <v>893.69216037388401</v>
      </c>
      <c r="EO87" s="59">
        <f ca="1">AVERAGE(OFFSET($EN$3,0,0,'Données projet'!$E$15+1,1))-AVERAGE(OFFSET($H$3,0,0,'Données projet'!$E$15+1,1))</f>
        <v>331.94255128154623</v>
      </c>
      <c r="EP87" s="59">
        <f t="shared" si="100"/>
        <v>258.40809812013964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651.77264974093441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651.77264974093441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66.723561836089175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>
        <f>FE87*VLOOKUP('Données projet'!$B$16,Paramètres!$A$1:$I$89,3,0)*VLOOKUP('Données projet'!$B$16,Paramètres!$A$1:$I$89,5,0)</f>
        <v>0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290.72311302449236</v>
      </c>
      <c r="FK87" s="59">
        <f t="shared" si="102"/>
        <v>352.32552988394434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429.53050984636184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429.53050984636184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66.723561836089175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>
        <f>FZ87*VLOOKUP('Données projet'!$B$17,Paramètres!$A$1:$I$89,3,0)*VLOOKUP('Données projet'!$B$17,Paramètres!$A$1:$I$89,5,0)</f>
        <v>0</v>
      </c>
      <c r="GB87" s="13" t="e">
        <f t="shared" si="103"/>
        <v>#NUM!</v>
      </c>
      <c r="GC87" s="20" t="e">
        <f t="shared" si="79"/>
        <v>#NUM!</v>
      </c>
      <c r="GD87" s="59" t="e">
        <f t="shared" si="80"/>
        <v>#NUM!</v>
      </c>
      <c r="GE87" s="59">
        <f ca="1">AVERAGE(OFFSET($GD$3,0,0,'Données projet'!$E$17+1,1))-AVERAGE(OFFSET($H$3,0,0,'Données projet'!$E$17+1,1))</f>
        <v>123.03972959251965</v>
      </c>
      <c r="GF87" s="59">
        <f t="shared" si="104"/>
        <v>178.27657680839445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93.361018947339687</v>
      </c>
      <c r="GM87" s="21">
        <f>EXP(-LN(2)/25)*GM86+(1-EXP(-LN(2)/25))/(LN(2)/25)*Calculateur!GH87*Calculateur!GJ87*VLOOKUP('Données projet'!$B$17,Paramètres!$A$1:$I$89,3,0)*0.475*44/12</f>
        <v>22.784919161581076</v>
      </c>
      <c r="GN87" s="21">
        <f>EXP(-LN(2)/2)*GN86+(1-EXP(-LN(2)/2))/(LN(2)/2)*GH87*GK87*VLOOKUP('Données projet'!$B$17,Paramètres!$A$1:$I$89,3,0)*0.475*44/12</f>
        <v>7.9857496632020797E-2</v>
      </c>
      <c r="GO87" s="21">
        <f t="shared" si="81"/>
        <v>116.22579560555278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66.723561836089175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54.9</v>
      </c>
      <c r="GU87" s="12">
        <f>IF('Données projet'!$A$270&gt;35,GU86+GT87-HC86,IF(A87&lt;'Données projet'!$A$270,$GR$205^A87,IF(A87='Données projet'!$A$270,'Données projet'!$B$270,GU86+GT87-HC86)))</f>
        <v>270.59999999999962</v>
      </c>
      <c r="GV87" s="17">
        <f>GU87*VLOOKUP('Données projet'!$B$18,Paramètres!$A$1:$I$89,3,0)*VLOOKUP('Données projet'!$B$18,Paramètres!$A$1:$I$89,5,0)</f>
        <v>181.51847999999976</v>
      </c>
      <c r="GW87" s="13">
        <f t="shared" si="105"/>
        <v>45.659854640601061</v>
      </c>
      <c r="GX87" s="20">
        <f t="shared" si="82"/>
        <v>395.66893283237977</v>
      </c>
      <c r="GY87" s="59">
        <f t="shared" si="83"/>
        <v>676.98865956470672</v>
      </c>
      <c r="GZ87" s="59">
        <f ca="1">AVERAGE(OFFSET($GY$3,0,0,'Données projet'!$E$18+1,1))-AVERAGE(OFFSET($H$3,0,0,'Données projet'!$E$18+1,1))</f>
        <v>542.25674729323623</v>
      </c>
      <c r="HA87" s="59">
        <f t="shared" si="106"/>
        <v>614.73906555680685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114.80861330941799</v>
      </c>
      <c r="HH87" s="21">
        <f>EXP(-LN(2)/25)*HH86+(1-EXP(-LN(2)/25))/(LN(2)/25)*Calculateur!HC87*Calculateur!HE87*VLOOKUP('Données projet'!$B$18,Paramètres!$A$1:$I$89,3,0)*0.475*44/12</f>
        <v>0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114.80861330941799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2.8499999999999996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10.449999999999998</v>
      </c>
      <c r="H88" s="67">
        <f t="shared" si="56"/>
        <v>214.86666666666667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66.780400713214661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-1.0231815394945443E-12</v>
      </c>
      <c r="O88" s="13">
        <f>N88*VLOOKUP('Données projet'!$B$9,Paramètres!$A$1:$I$89,3,0)*VLOOKUP('Données projet'!$B$9,Paramètres!$A$1:$I$89,5,0)</f>
        <v>-8.9385139290243408E-13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686.80970545599644</v>
      </c>
      <c r="T88" s="59">
        <f t="shared" si="88"/>
        <v>636.16485232937737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157.23338179182375</v>
      </c>
      <c r="AA88" s="21">
        <f>EXP(-LN(2)/25)*AA87+(1-EXP(-LN(2)/25))/(LN(2)/25)*Calculateur!V88*Calculateur!X88*VLOOKUP('Données projet'!$B$9,Paramètres!$A$1:$I$89,3,0)*0.475*44/12</f>
        <v>19.866813511344596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177.10019530316833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66.780400713214661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6.4444444444444446</v>
      </c>
      <c r="AI88" s="13">
        <f>IF('Données projet'!$A$62&gt;35,AI87+AH88-AQ87,IF(A88&lt;'Données projet'!$A$62,$AF$205^A88,IF(A88='Données projet'!$A$62,'Données projet'!$B$62,AI87+AH88-AQ87)))</f>
        <v>230.11111111111123</v>
      </c>
      <c r="AJ88" s="13">
        <f>AI88*VLOOKUP('Données projet'!$B$10,Paramètres!$A$1:$I$89,3,0)*VLOOKUP('Données projet'!$B$10,Paramètres!$A$1:$I$89,5,0)</f>
        <v>208.20453333333342</v>
      </c>
      <c r="AK88" s="13">
        <f t="shared" si="89"/>
        <v>51.543035198379727</v>
      </c>
      <c r="AL88" s="20">
        <f t="shared" si="58"/>
        <v>452.39368185940026</v>
      </c>
      <c r="AM88" s="59">
        <f t="shared" si="59"/>
        <v>733.92181780785404</v>
      </c>
      <c r="AN88" s="59">
        <f ca="1">AVERAGE(OFFSET($AM$3,0,0,'Données projet'!$E$10+1,1))-AVERAGE(OFFSET($H$3,0,0,'Données projet'!$E$10+1,1))</f>
        <v>323.67375363913726</v>
      </c>
      <c r="AO88" s="59">
        <f t="shared" si="90"/>
        <v>266.03902815735029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27.971697118082968</v>
      </c>
      <c r="AV88" s="21">
        <f>EXP(-LN(2)/25)*AV87+(1-EXP(-LN(2)/25))/(LN(2)/25)*Calculateur!AQ88*Calculateur!AS88*VLOOKUP('Données projet'!$B$10,Paramètres!$A$1:$I$89,3,0)*0.475*44/12</f>
        <v>22.961571450904746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50.933268568987714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66.780400713214661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371.46495716091965</v>
      </c>
      <c r="BJ88" s="59">
        <f t="shared" si="92"/>
        <v>579.95059529269417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100.62073371854258</v>
      </c>
      <c r="BQ88" s="21">
        <f>EXP(-LN(2)/25)*BQ87+(1-EXP(-LN(2)/25))/(LN(2)/25)*Calculateur!BL88*Calculateur!BN88*VLOOKUP('Données projet'!$B$11,Paramètres!$A$1:$I$89,3,0)*0.475*44/12</f>
        <v>22.727352471371837</v>
      </c>
      <c r="BR88" s="21">
        <f>EXP(-LN(2)/2)*BR87+(1-EXP(-LN(2)/2))/(LN(2)/2)*BL88*BO88*VLOOKUP('Données projet'!$B$11,Paramètres!$A$1:$I$89,3,0)*0.475*44/12</f>
        <v>3.703294206507785E-5</v>
      </c>
      <c r="BS88" s="22">
        <f t="shared" si="63"/>
        <v>123.34812322285649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66.780400713214661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180.18752244216969</v>
      </c>
      <c r="CE88" s="59">
        <f t="shared" si="94"/>
        <v>350.12096474554676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121.5006875810559</v>
      </c>
      <c r="CL88" s="21">
        <f>EXP(-LN(2)/25)*CL87+(1-EXP(-LN(2)/25))/(LN(2)/25)*Calculateur!CG88*Calculateur!CI88*VLOOKUP('Données projet'!$B$12,Paramètres!$A$1:$I$89,3,0)*0.475*44/12</f>
        <v>40.522352511048773</v>
      </c>
      <c r="CM88" s="21">
        <f>EXP(-LN(2)/2)*CM87+(1-EXP(-LN(2)/2))/(LN(2)/2)*CG88*CJ88*VLOOKUP('Données projet'!$B$12,Paramètres!$A$1:$I$89,3,0)*0.475*44/12</f>
        <v>2.8135743157964685E-5</v>
      </c>
      <c r="CN88" s="22">
        <f t="shared" si="66"/>
        <v>162.02306822784783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66.780400713214661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5.6843418860808015E-14</v>
      </c>
      <c r="CU88" s="17">
        <f>CT88*VLOOKUP('Données projet'!$B$13,Paramètres!$A$1:$I$89,3,0)*VLOOKUP('Données projet'!$B$13,Paramètres!$A$1:$I$89,5,0)</f>
        <v>4.5224624045658861E-14</v>
      </c>
      <c r="CV88" s="13">
        <f t="shared" si="95"/>
        <v>7.4514601661523691E-13</v>
      </c>
      <c r="CW88" s="20">
        <f t="shared" si="67"/>
        <v>1.3765621991510601E-12</v>
      </c>
      <c r="CX88" s="59">
        <f t="shared" si="68"/>
        <v>281.52813594845514</v>
      </c>
      <c r="CY88" s="59">
        <f ca="1">AVERAGE(OFFSET($CX$3,0,0,'Données projet'!$E$13+1,1))-AVERAGE(OFFSET($H$3,0,0,'Données projet'!$E$13+1,1))</f>
        <v>284.31574332240928</v>
      </c>
      <c r="CZ88" s="59">
        <f t="shared" si="96"/>
        <v>403.96994631683913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511.63814598485453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511.63814598485453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66.780400713214661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>
        <f>DO88*VLOOKUP('Données projet'!$B$14,Paramètres!$A$1:$I$89,3,0)*VLOOKUP('Données projet'!$B$14,Paramètres!$A$1:$I$89,5,0)</f>
        <v>0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190.9519472160006</v>
      </c>
      <c r="DU88" s="59">
        <f t="shared" si="98"/>
        <v>170.61553500287511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109.55369170066378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109.55369170066378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66.780400713214661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>
        <f>VLOOKUP(A88,'Données projet'!$A$191:$I$211,2,0)</f>
        <v>405</v>
      </c>
      <c r="EH88" s="12">
        <f>VLOOKUP(A88,'Données projet'!$A$191:$I$211,9,0)</f>
        <v>74.2</v>
      </c>
      <c r="EI88" s="12">
        <f t="array" ref="EI88">INDEX(EH:EH,MIN(IF(ISNUMBER(EH88:EH284),ROW(EH88:EH284),"")))</f>
        <v>74.2</v>
      </c>
      <c r="EJ88" s="12">
        <f>IF('Données projet'!$A$192&gt;35,EJ87+EI88-ER87,IF(A88&lt;'Données projet'!$A$192,$EG$205^A88,IF(A88='Données projet'!$A$192,'Données projet'!$B$192,EJ87+EI88-ER87)))</f>
        <v>404.99999999999994</v>
      </c>
      <c r="EK88" s="17">
        <f>EJ88*VLOOKUP('Données projet'!$B$15,Paramètres!$A$1:$I$89,3,0)*VLOOKUP('Données projet'!$B$15,Paramètres!$A$1:$I$89,5,0)</f>
        <v>347.49</v>
      </c>
      <c r="EL88" s="13">
        <f t="shared" si="99"/>
        <v>81.045459877391451</v>
      </c>
      <c r="EM88" s="20">
        <f t="shared" si="73"/>
        <v>746.36592595312356</v>
      </c>
      <c r="EN88" s="59">
        <f t="shared" si="74"/>
        <v>1027.8940619015773</v>
      </c>
      <c r="EO88" s="59">
        <f ca="1">AVERAGE(OFFSET($EN$3,0,0,'Données projet'!$E$15+1,1))-AVERAGE(OFFSET($H$3,0,0,'Données projet'!$E$15+1,1))</f>
        <v>331.94255128154623</v>
      </c>
      <c r="EP88" s="59">
        <f t="shared" si="100"/>
        <v>258.40809812013964</v>
      </c>
      <c r="EQ88" s="15">
        <f>IF(ISNA(VLOOKUP(A88,'Données projet'!$A$191:$I$211,3,0)),0,VLOOKUP(A88,'Données projet'!$A$191:$I$211,3,0))</f>
        <v>14</v>
      </c>
      <c r="ER88" s="15">
        <f>IF(ISNA(VLOOKUP(A88,'Données projet'!$A$191:$I$211,4,0)),0,VLOOKUP(A88,'Données projet'!$A$191:$I$211,4,0))</f>
        <v>372</v>
      </c>
      <c r="ES88" s="16">
        <f>IF(ISNA(VLOOKUP(A88,'Données projet'!$A$191:$I$211,5,0)),0%,VLOOKUP(A88,'Données projet'!$A$191:$I$211,5,0)*VLOOKUP('Données projet'!$B$15,Paramètres!$A$1:$I$89,7,0))</f>
        <v>0.42400000000000004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788.59578189728802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788.59578189728802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66.780400713214661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>
        <f>FE88*VLOOKUP('Données projet'!$B$16,Paramètres!$A$1:$I$89,3,0)*VLOOKUP('Données projet'!$B$16,Paramètres!$A$1:$I$89,5,0)</f>
        <v>0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290.72311302449236</v>
      </c>
      <c r="FK88" s="59">
        <f t="shared" si="102"/>
        <v>352.32552988394434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421.10767853601652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421.10767853601652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66.780400713214661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>
        <f>FZ88*VLOOKUP('Données projet'!$B$17,Paramètres!$A$1:$I$89,3,0)*VLOOKUP('Données projet'!$B$17,Paramètres!$A$1:$I$89,5,0)</f>
        <v>0</v>
      </c>
      <c r="GB88" s="13" t="e">
        <f t="shared" si="103"/>
        <v>#NUM!</v>
      </c>
      <c r="GC88" s="20" t="e">
        <f t="shared" si="79"/>
        <v>#NUM!</v>
      </c>
      <c r="GD88" s="59" t="e">
        <f t="shared" si="80"/>
        <v>#NUM!</v>
      </c>
      <c r="GE88" s="59">
        <f ca="1">AVERAGE(OFFSET($GD$3,0,0,'Données projet'!$E$17+1,1))-AVERAGE(OFFSET($H$3,0,0,'Données projet'!$E$17+1,1))</f>
        <v>123.03972959251965</v>
      </c>
      <c r="GF88" s="59">
        <f t="shared" si="104"/>
        <v>178.27657680839445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91.530266310381108</v>
      </c>
      <c r="GM88" s="21">
        <f>EXP(-LN(2)/25)*GM87+(1-EXP(-LN(2)/25))/(LN(2)/25)*Calculateur!GH88*Calculateur!GJ88*VLOOKUP('Données projet'!$B$17,Paramètres!$A$1:$I$89,3,0)*0.475*44/12</f>
        <v>22.161864348900817</v>
      </c>
      <c r="GN88" s="21">
        <f>EXP(-LN(2)/2)*GN87+(1-EXP(-LN(2)/2))/(LN(2)/2)*GH88*GK88*VLOOKUP('Données projet'!$B$17,Paramètres!$A$1:$I$89,3,0)*0.475*44/12</f>
        <v>5.6467777397083786E-2</v>
      </c>
      <c r="GO88" s="21">
        <f t="shared" si="81"/>
        <v>113.74859843667902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66.780400713214661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54.9</v>
      </c>
      <c r="GU88" s="12">
        <f>IF('Données projet'!$A$270&gt;35,GU87+GT88-HC87,IF(A88&lt;'Données projet'!$A$270,$GR$205^A88,IF(A88='Données projet'!$A$270,'Données projet'!$B$270,GU87+GT88-HC87)))</f>
        <v>325.4999999999996</v>
      </c>
      <c r="GV88" s="17">
        <f>GU88*VLOOKUP('Données projet'!$B$18,Paramètres!$A$1:$I$89,3,0)*VLOOKUP('Données projet'!$B$18,Paramètres!$A$1:$I$89,5,0)</f>
        <v>218.34539999999976</v>
      </c>
      <c r="GW88" s="13">
        <f t="shared" si="105"/>
        <v>53.75510873195573</v>
      </c>
      <c r="GX88" s="20">
        <f t="shared" si="82"/>
        <v>473.90838604148911</v>
      </c>
      <c r="GY88" s="59">
        <f t="shared" si="83"/>
        <v>755.43652198994289</v>
      </c>
      <c r="GZ88" s="59">
        <f ca="1">AVERAGE(OFFSET($GY$3,0,0,'Données projet'!$E$18+1,1))-AVERAGE(OFFSET($H$3,0,0,'Données projet'!$E$18+1,1))</f>
        <v>542.25674729323623</v>
      </c>
      <c r="HA88" s="59">
        <f t="shared" si="106"/>
        <v>614.73906555680685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112.55728642875989</v>
      </c>
      <c r="HH88" s="21">
        <f>EXP(-LN(2)/25)*HH87+(1-EXP(-LN(2)/25))/(LN(2)/25)*Calculateur!HC88*Calculateur!HE88*VLOOKUP('Données projet'!$B$18,Paramètres!$A$1:$I$89,3,0)*0.475*44/12</f>
        <v>0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112.55728642875989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2.8499999999999996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10.449999999999998</v>
      </c>
      <c r="H89" s="67">
        <f t="shared" si="56"/>
        <v>214.86666666666667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66.836253562894726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-1.0231815394945443E-12</v>
      </c>
      <c r="O89" s="13">
        <f>N89*VLOOKUP('Données projet'!$B$9,Paramètres!$A$1:$I$89,3,0)*VLOOKUP('Données projet'!$B$9,Paramètres!$A$1:$I$89,5,0)</f>
        <v>-8.9385139290243408E-13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686.80970545599644</v>
      </c>
      <c r="T89" s="59">
        <f t="shared" si="88"/>
        <v>636.16485232937737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154.15013107777935</v>
      </c>
      <c r="AA89" s="21">
        <f>EXP(-LN(2)/25)*AA88+(1-EXP(-LN(2)/25))/(LN(2)/25)*Calculateur!V89*Calculateur!X89*VLOOKUP('Données projet'!$B$9,Paramètres!$A$1:$I$89,3,0)*0.475*44/12</f>
        <v>19.323554451126562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173.47368552890592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66.836253562894726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6.4444444444444446</v>
      </c>
      <c r="AI89" s="13">
        <f>IF('Données projet'!$A$62&gt;35,AI88+AH89-AQ88,IF(A89&lt;'Données projet'!$A$62,$AF$205^A89,IF(A89='Données projet'!$A$62,'Données projet'!$B$62,AI88+AH89-AQ88)))</f>
        <v>236.55555555555569</v>
      </c>
      <c r="AJ89" s="13">
        <f>AI89*VLOOKUP('Données projet'!$B$10,Paramètres!$A$1:$I$89,3,0)*VLOOKUP('Données projet'!$B$10,Paramètres!$A$1:$I$89,5,0)</f>
        <v>214.03546666666676</v>
      </c>
      <c r="AK89" s="13">
        <f t="shared" si="89"/>
        <v>52.816457415007392</v>
      </c>
      <c r="AL89" s="20">
        <f t="shared" si="58"/>
        <v>464.76710110891577</v>
      </c>
      <c r="AM89" s="59">
        <f t="shared" si="59"/>
        <v>746.5000308395297</v>
      </c>
      <c r="AN89" s="59">
        <f ca="1">AVERAGE(OFFSET($AM$3,0,0,'Données projet'!$E$10+1,1))-AVERAGE(OFFSET($H$3,0,0,'Données projet'!$E$10+1,1))</f>
        <v>323.67375363913726</v>
      </c>
      <c r="AO89" s="59">
        <f t="shared" si="90"/>
        <v>266.03902815735029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27.423189198647965</v>
      </c>
      <c r="AV89" s="21">
        <f>EXP(-LN(2)/25)*AV88+(1-EXP(-LN(2)/25))/(LN(2)/25)*Calculateur!AQ89*Calculateur!AS89*VLOOKUP('Données projet'!$B$10,Paramètres!$A$1:$I$89,3,0)*0.475*44/12</f>
        <v>22.333686072083193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49.756875270731157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66.836253562894726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371.46495716091965</v>
      </c>
      <c r="BJ89" s="59">
        <f t="shared" si="92"/>
        <v>579.95059529269417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98.647622502909485</v>
      </c>
      <c r="BQ89" s="21">
        <f>EXP(-LN(2)/25)*BQ88+(1-EXP(-LN(2)/25))/(LN(2)/25)*Calculateur!BL89*Calculateur!BN89*VLOOKUP('Données projet'!$B$11,Paramètres!$A$1:$I$89,3,0)*0.475*44/12</f>
        <v>22.105871822862653</v>
      </c>
      <c r="BR89" s="21">
        <f>EXP(-LN(2)/2)*BR88+(1-EXP(-LN(2)/2))/(LN(2)/2)*BL89*BO89*VLOOKUP('Données projet'!$B$11,Paramètres!$A$1:$I$89,3,0)*0.475*44/12</f>
        <v>2.6186244461505095E-5</v>
      </c>
      <c r="BS89" s="22">
        <f t="shared" si="63"/>
        <v>120.75352051201659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66.836253562894726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180.18752244216969</v>
      </c>
      <c r="CE89" s="59">
        <f t="shared" si="94"/>
        <v>350.12096474554676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119.11813320569325</v>
      </c>
      <c r="CL89" s="21">
        <f>EXP(-LN(2)/25)*CL88+(1-EXP(-LN(2)/25))/(LN(2)/25)*Calculateur!CG89*Calculateur!CI89*VLOOKUP('Données projet'!$B$12,Paramètres!$A$1:$I$89,3,0)*0.475*44/12</f>
        <v>39.414266650656238</v>
      </c>
      <c r="CM89" s="21">
        <f>EXP(-LN(2)/2)*CM88+(1-EXP(-LN(2)/2))/(LN(2)/2)*CG89*CJ89*VLOOKUP('Données projet'!$B$12,Paramètres!$A$1:$I$89,3,0)*0.475*44/12</f>
        <v>1.9894974780719836E-5</v>
      </c>
      <c r="CN89" s="22">
        <f t="shared" si="66"/>
        <v>158.53241975132426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66.836253562894726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5.6843418860808015E-14</v>
      </c>
      <c r="CU89" s="17">
        <f>CT89*VLOOKUP('Données projet'!$B$13,Paramètres!$A$1:$I$89,3,0)*VLOOKUP('Données projet'!$B$13,Paramètres!$A$1:$I$89,5,0)</f>
        <v>4.5224624045658861E-14</v>
      </c>
      <c r="CV89" s="13">
        <f t="shared" si="95"/>
        <v>7.4514601661523691E-13</v>
      </c>
      <c r="CW89" s="20">
        <f t="shared" si="67"/>
        <v>1.3765621991510601E-12</v>
      </c>
      <c r="CX89" s="59">
        <f t="shared" si="68"/>
        <v>281.73292973061535</v>
      </c>
      <c r="CY89" s="59">
        <f ca="1">AVERAGE(OFFSET($CX$3,0,0,'Données projet'!$E$13+1,1))-AVERAGE(OFFSET($H$3,0,0,'Données projet'!$E$13+1,1))</f>
        <v>284.31574332240928</v>
      </c>
      <c r="CZ89" s="59">
        <f t="shared" si="96"/>
        <v>403.96994631683913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501.60523401054638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501.60523401054638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66.836253562894726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>
        <f>DO89*VLOOKUP('Données projet'!$B$14,Paramètres!$A$1:$I$89,3,0)*VLOOKUP('Données projet'!$B$14,Paramètres!$A$1:$I$89,5,0)</f>
        <v>0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190.9519472160006</v>
      </c>
      <c r="DU89" s="59">
        <f t="shared" si="98"/>
        <v>170.61553500287511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107.40541062756766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107.40541062756766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66.836253562894726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77.400000000000006</v>
      </c>
      <c r="EJ89" s="12">
        <f>IF('Données projet'!$A$192&gt;35,EJ88+EI89-ER88,IF(A89&lt;'Données projet'!$A$192,$EG$205^A89,IF(A89='Données projet'!$A$192,'Données projet'!$B$192,EJ88+EI89-ER88)))</f>
        <v>110.39999999999998</v>
      </c>
      <c r="EK89" s="17">
        <f>EJ89*VLOOKUP('Données projet'!$B$15,Paramètres!$A$1:$I$89,3,0)*VLOOKUP('Données projet'!$B$15,Paramètres!$A$1:$I$89,5,0)</f>
        <v>94.723199999999991</v>
      </c>
      <c r="EL89" s="13">
        <f t="shared" si="99"/>
        <v>25.700933959119112</v>
      </c>
      <c r="EM89" s="20">
        <f t="shared" si="73"/>
        <v>209.7386999787991</v>
      </c>
      <c r="EN89" s="59">
        <f t="shared" si="74"/>
        <v>491.47162970941309</v>
      </c>
      <c r="EO89" s="59">
        <f ca="1">AVERAGE(OFFSET($EN$3,0,0,'Données projet'!$E$15+1,1))-AVERAGE(OFFSET($H$3,0,0,'Données projet'!$E$15+1,1))</f>
        <v>331.94255128154623</v>
      </c>
      <c r="EP89" s="59">
        <f t="shared" si="100"/>
        <v>258.40809812013964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773.13189961021476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773.13189961021476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66.836253562894726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>
        <f>FE89*VLOOKUP('Données projet'!$B$16,Paramètres!$A$1:$I$89,3,0)*VLOOKUP('Données projet'!$B$16,Paramètres!$A$1:$I$89,5,0)</f>
        <v>0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290.72311302449236</v>
      </c>
      <c r="FK89" s="59">
        <f t="shared" si="102"/>
        <v>352.32552988394434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412.85001381024728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412.85001381024728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66.836253562894726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>
        <f>FZ89*VLOOKUP('Données projet'!$B$17,Paramètres!$A$1:$I$89,3,0)*VLOOKUP('Données projet'!$B$17,Paramètres!$A$1:$I$89,5,0)</f>
        <v>0</v>
      </c>
      <c r="GB89" s="13" t="e">
        <f t="shared" si="103"/>
        <v>#NUM!</v>
      </c>
      <c r="GC89" s="20" t="e">
        <f t="shared" si="79"/>
        <v>#NUM!</v>
      </c>
      <c r="GD89" s="59" t="e">
        <f t="shared" si="80"/>
        <v>#NUM!</v>
      </c>
      <c r="GE89" s="59">
        <f ca="1">AVERAGE(OFFSET($GD$3,0,0,'Données projet'!$E$17+1,1))-AVERAGE(OFFSET($H$3,0,0,'Données projet'!$E$17+1,1))</f>
        <v>123.03972959251965</v>
      </c>
      <c r="GF89" s="59">
        <f t="shared" si="104"/>
        <v>178.27657680839445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89.735413615984427</v>
      </c>
      <c r="GM89" s="21">
        <f>EXP(-LN(2)/25)*GM88+(1-EXP(-LN(2)/25))/(LN(2)/25)*Calculateur!GH89*Calculateur!GJ89*VLOOKUP('Données projet'!$B$17,Paramètres!$A$1:$I$89,3,0)*0.475*44/12</f>
        <v>21.55584700283833</v>
      </c>
      <c r="GN89" s="21">
        <f>EXP(-LN(2)/2)*GN88+(1-EXP(-LN(2)/2))/(LN(2)/2)*GH89*GK89*VLOOKUP('Données projet'!$B$17,Paramètres!$A$1:$I$89,3,0)*0.475*44/12</f>
        <v>3.9928748316010398E-2</v>
      </c>
      <c r="GO89" s="21">
        <f t="shared" si="81"/>
        <v>111.33118936713878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66.836253562894726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54.9</v>
      </c>
      <c r="GU89" s="12">
        <f>IF('Données projet'!$A$270&gt;35,GU88+GT89-HC88,IF(A89&lt;'Données projet'!$A$270,$GR$205^A89,IF(A89='Données projet'!$A$270,'Données projet'!$B$270,GU88+GT89-HC88)))</f>
        <v>380.39999999999958</v>
      </c>
      <c r="GV89" s="17">
        <f>GU89*VLOOKUP('Données projet'!$B$18,Paramètres!$A$1:$I$89,3,0)*VLOOKUP('Données projet'!$B$18,Paramètres!$A$1:$I$89,5,0)</f>
        <v>255.1723199999997</v>
      </c>
      <c r="GW89" s="13">
        <f t="shared" si="105"/>
        <v>61.692191842312965</v>
      </c>
      <c r="GX89" s="20">
        <f t="shared" si="82"/>
        <v>551.87235812536119</v>
      </c>
      <c r="GY89" s="59">
        <f t="shared" si="83"/>
        <v>833.60528785597512</v>
      </c>
      <c r="GZ89" s="59">
        <f ca="1">AVERAGE(OFFSET($GY$3,0,0,'Données projet'!$E$18+1,1))-AVERAGE(OFFSET($H$3,0,0,'Données projet'!$E$18+1,1))</f>
        <v>542.25674729323623</v>
      </c>
      <c r="HA89" s="59">
        <f t="shared" si="106"/>
        <v>614.73906555680685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110.3501066950577</v>
      </c>
      <c r="HH89" s="21">
        <f>EXP(-LN(2)/25)*HH88+(1-EXP(-LN(2)/25))/(LN(2)/25)*Calculateur!HC89*Calculateur!HE89*VLOOKUP('Données projet'!$B$18,Paramètres!$A$1:$I$89,3,0)*0.475*44/12</f>
        <v>0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110.3501066950577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2.8499999999999996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10.449999999999998</v>
      </c>
      <c r="H90" s="67">
        <f t="shared" si="56"/>
        <v>214.86666666666667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66.89113749050108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-1.0231815394945443E-12</v>
      </c>
      <c r="O90" s="13">
        <f>N90*VLOOKUP('Données projet'!$B$9,Paramètres!$A$1:$I$89,3,0)*VLOOKUP('Données projet'!$B$9,Paramètres!$A$1:$I$89,5,0)</f>
        <v>-8.9385139290243408E-13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686.80970545599644</v>
      </c>
      <c r="T90" s="59">
        <f t="shared" si="88"/>
        <v>636.16485232937737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151.12734102964012</v>
      </c>
      <c r="AA90" s="21">
        <f>EXP(-LN(2)/25)*AA89+(1-EXP(-LN(2)/25))/(LN(2)/25)*Calculateur!V90*Calculateur!X90*VLOOKUP('Données projet'!$B$9,Paramètres!$A$1:$I$89,3,0)*0.475*44/12</f>
        <v>18.795150838478943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169.92249186811907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66.89113749050108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>
        <f>VLOOKUP(A90,'Données projet'!$A$61:$I$81,2,0)</f>
        <v>243</v>
      </c>
      <c r="AG90" s="12">
        <f>VLOOKUP(A90,'Données projet'!$A$61:$I$81,9,0)</f>
        <v>6.4444444444444446</v>
      </c>
      <c r="AH90" s="12">
        <f t="array" ref="AH90">INDEX(AG:AG,MIN(IF(ISNUMBER(AG90:AG286),ROW(AG90:AG286),"")))</f>
        <v>6.4444444444444446</v>
      </c>
      <c r="AI90" s="13">
        <f>IF('Données projet'!$A$62&gt;35,AI89+AH90-AQ89,IF(A90&lt;'Données projet'!$A$62,$AF$205^A90,IF(A90='Données projet'!$A$62,'Données projet'!$B$62,AI89+AH90-AQ89)))</f>
        <v>243.00000000000014</v>
      </c>
      <c r="AJ90" s="13">
        <f>AI90*VLOOKUP('Données projet'!$B$10,Paramètres!$A$1:$I$89,3,0)*VLOOKUP('Données projet'!$B$10,Paramètres!$A$1:$I$89,5,0)</f>
        <v>219.86640000000014</v>
      </c>
      <c r="AK90" s="13">
        <f t="shared" si="89"/>
        <v>54.085847394182466</v>
      </c>
      <c r="AL90" s="20">
        <f t="shared" si="58"/>
        <v>477.13349754486808</v>
      </c>
      <c r="AM90" s="59">
        <f t="shared" si="59"/>
        <v>759.06766834337213</v>
      </c>
      <c r="AN90" s="59">
        <f ca="1">AVERAGE(OFFSET($AM$3,0,0,'Données projet'!$E$10+1,1))-AVERAGE(OFFSET($H$3,0,0,'Données projet'!$E$10+1,1))</f>
        <v>323.67375363913726</v>
      </c>
      <c r="AO90" s="59">
        <f t="shared" si="90"/>
        <v>266.03902815735029</v>
      </c>
      <c r="AP90" s="15">
        <f>IF(ISNA(VLOOKUP(A90,'Données projet'!$A$61:$I$81,3,0)),0,VLOOKUP(A90,'Données projet'!$A$61:$I$81,3,0))</f>
        <v>8</v>
      </c>
      <c r="AQ90" s="15">
        <f>IF(ISNA(VLOOKUP(A90,'Données projet'!$A$61:$I$81,4,0)),0,VLOOKUP(A90,'Données projet'!$A$61:$I$81,4,0))</f>
        <v>39</v>
      </c>
      <c r="AR90" s="16">
        <f>IF(ISNA(VLOOKUP(A90,'Données projet'!$A$61:$I$81,5,0)),0%,VLOOKUP(A90,'Données projet'!$A$61:$I$81,5,0)*VLOOKUP('Données projet'!$B$10,Paramètres!$A$1:$I$89,7,0))</f>
        <v>0.215</v>
      </c>
      <c r="AS90" s="16">
        <f>IF(ISNA(VLOOKUP(A90,'Données projet'!$A$61:$I$81,6,0)),0%,VLOOKUP(A90,'Données projet'!$A$61:$I$81,6,0)*VLOOKUP('Données projet'!$B$10,Paramètres!$A$1:$I$89,7,0))</f>
        <v>0.17200000000000001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35.272362375937135</v>
      </c>
      <c r="AV90" s="21">
        <f>EXP(-LN(2)/25)*AV89+(1-EXP(-LN(2)/25))/(LN(2)/25)*Calculateur!AQ90*Calculateur!AS90*VLOOKUP('Données projet'!$B$10,Paramètres!$A$1:$I$89,3,0)*0.475*44/12</f>
        <v>28.406092388632512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63.678454764569651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66.89113749050108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371.46495716091965</v>
      </c>
      <c r="BJ90" s="59">
        <f t="shared" si="92"/>
        <v>579.95059529269417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96.713202794735949</v>
      </c>
      <c r="BQ90" s="21">
        <f>EXP(-LN(2)/25)*BQ89+(1-EXP(-LN(2)/25))/(LN(2)/25)*Calculateur!BL90*Calculateur!BN90*VLOOKUP('Données projet'!$B$11,Paramètres!$A$1:$I$89,3,0)*0.475*44/12</f>
        <v>21.5013855953692</v>
      </c>
      <c r="BR90" s="21">
        <f>EXP(-LN(2)/2)*BR89+(1-EXP(-LN(2)/2))/(LN(2)/2)*BL90*BO90*VLOOKUP('Données projet'!$B$11,Paramètres!$A$1:$I$89,3,0)*0.475*44/12</f>
        <v>1.8516471032538925E-5</v>
      </c>
      <c r="BS90" s="22">
        <f t="shared" si="63"/>
        <v>118.21460690657618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66.89113749050108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180.18752244216969</v>
      </c>
      <c r="CE90" s="59">
        <f t="shared" si="94"/>
        <v>350.12096474554676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116.78229926841679</v>
      </c>
      <c r="CL90" s="21">
        <f>EXP(-LN(2)/25)*CL89+(1-EXP(-LN(2)/25))/(LN(2)/25)*Calculateur!CG90*Calculateur!CI90*VLOOKUP('Données projet'!$B$12,Paramètres!$A$1:$I$89,3,0)*0.475*44/12</f>
        <v>38.336481456387844</v>
      </c>
      <c r="CM90" s="21">
        <f>EXP(-LN(2)/2)*CM89+(1-EXP(-LN(2)/2))/(LN(2)/2)*CG90*CJ90*VLOOKUP('Données projet'!$B$12,Paramètres!$A$1:$I$89,3,0)*0.475*44/12</f>
        <v>1.4067871578982343E-5</v>
      </c>
      <c r="CN90" s="22">
        <f t="shared" si="66"/>
        <v>155.11879479267623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66.89113749050108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5.6843418860808015E-14</v>
      </c>
      <c r="CU90" s="17">
        <f>CT90*VLOOKUP('Données projet'!$B$13,Paramètres!$A$1:$I$89,3,0)*VLOOKUP('Données projet'!$B$13,Paramètres!$A$1:$I$89,5,0)</f>
        <v>4.5224624045658861E-14</v>
      </c>
      <c r="CV90" s="13">
        <f t="shared" si="95"/>
        <v>7.4514601661523691E-13</v>
      </c>
      <c r="CW90" s="20">
        <f t="shared" si="67"/>
        <v>1.3765621991510601E-12</v>
      </c>
      <c r="CX90" s="59">
        <f t="shared" si="68"/>
        <v>281.93417079850536</v>
      </c>
      <c r="CY90" s="59">
        <f ca="1">AVERAGE(OFFSET($CX$3,0,0,'Données projet'!$E$13+1,1))-AVERAGE(OFFSET($H$3,0,0,'Données projet'!$E$13+1,1))</f>
        <v>284.31574332240928</v>
      </c>
      <c r="CZ90" s="59">
        <f t="shared" si="96"/>
        <v>403.96994631683913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491.76906132058235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491.76906132058235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66.89113749050108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>
        <f>DO90*VLOOKUP('Données projet'!$B$14,Paramètres!$A$1:$I$89,3,0)*VLOOKUP('Données projet'!$B$14,Paramètres!$A$1:$I$89,5,0)</f>
        <v>0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190.9519472160006</v>
      </c>
      <c r="DU90" s="59">
        <f t="shared" si="98"/>
        <v>170.61553500287511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105.29925603599288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105.29925603599288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66.89113749050108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77.400000000000006</v>
      </c>
      <c r="EJ90" s="12">
        <f>IF('Données projet'!$A$192&gt;35,EJ89+EI90-ER89,IF(A90&lt;'Données projet'!$A$192,$EG$205^A90,IF(A90='Données projet'!$A$192,'Données projet'!$B$192,EJ89+EI90-ER89)))</f>
        <v>187.79999999999998</v>
      </c>
      <c r="EK90" s="17">
        <f>EJ90*VLOOKUP('Données projet'!$B$15,Paramètres!$A$1:$I$89,3,0)*VLOOKUP('Données projet'!$B$15,Paramètres!$A$1:$I$89,5,0)</f>
        <v>161.13239999999999</v>
      </c>
      <c r="EL90" s="13">
        <f t="shared" si="99"/>
        <v>41.097826455139838</v>
      </c>
      <c r="EM90" s="20">
        <f t="shared" si="73"/>
        <v>352.21764440936846</v>
      </c>
      <c r="EN90" s="59">
        <f t="shared" si="74"/>
        <v>634.15181520787246</v>
      </c>
      <c r="EO90" s="59">
        <f ca="1">AVERAGE(OFFSET($EN$3,0,0,'Données projet'!$E$15+1,1))-AVERAGE(OFFSET($H$3,0,0,'Données projet'!$E$15+1,1))</f>
        <v>331.94255128154623</v>
      </c>
      <c r="EP90" s="59">
        <f t="shared" si="100"/>
        <v>258.40809812013964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757.97125462275415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757.97125462275415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66.89113749050108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>
        <f>FE90*VLOOKUP('Données projet'!$B$16,Paramètres!$A$1:$I$89,3,0)*VLOOKUP('Données projet'!$B$16,Paramètres!$A$1:$I$89,5,0)</f>
        <v>0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290.72311302449236</v>
      </c>
      <c r="FK90" s="59">
        <f t="shared" si="102"/>
        <v>352.32552988394434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404.75427685307221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404.75427685307221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66.89113749050108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>
        <f>FZ90*VLOOKUP('Données projet'!$B$17,Paramètres!$A$1:$I$89,3,0)*VLOOKUP('Données projet'!$B$17,Paramètres!$A$1:$I$89,5,0)</f>
        <v>0</v>
      </c>
      <c r="GB90" s="13" t="e">
        <f t="shared" si="103"/>
        <v>#NUM!</v>
      </c>
      <c r="GC90" s="20" t="e">
        <f t="shared" si="79"/>
        <v>#NUM!</v>
      </c>
      <c r="GD90" s="59" t="e">
        <f t="shared" si="80"/>
        <v>#NUM!</v>
      </c>
      <c r="GE90" s="59">
        <f ca="1">AVERAGE(OFFSET($GD$3,0,0,'Données projet'!$E$17+1,1))-AVERAGE(OFFSET($H$3,0,0,'Données projet'!$E$17+1,1))</f>
        <v>123.03972959251965</v>
      </c>
      <c r="GF90" s="59">
        <f t="shared" si="104"/>
        <v>178.27657680839445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87.975756888172825</v>
      </c>
      <c r="GM90" s="21">
        <f>EXP(-LN(2)/25)*GM89+(1-EXP(-LN(2)/25))/(LN(2)/25)*Calculateur!GH90*Calculateur!GJ90*VLOOKUP('Données projet'!$B$17,Paramètres!$A$1:$I$89,3,0)*0.475*44/12</f>
        <v>20.966401232972988</v>
      </c>
      <c r="GN90" s="21">
        <f>EXP(-LN(2)/2)*GN89+(1-EXP(-LN(2)/2))/(LN(2)/2)*GH90*GK90*VLOOKUP('Données projet'!$B$17,Paramètres!$A$1:$I$89,3,0)*0.475*44/12</f>
        <v>2.8233888698541893E-2</v>
      </c>
      <c r="GO90" s="21">
        <f t="shared" si="81"/>
        <v>108.97039200984435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66.89113749050108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54.9</v>
      </c>
      <c r="GU90" s="12">
        <f>IF('Données projet'!$A$270&gt;35,GU89+GT90-HC89,IF(A90&lt;'Données projet'!$A$270,$GR$205^A90,IF(A90='Données projet'!$A$270,'Données projet'!$B$270,GU89+GT90-HC89)))</f>
        <v>435.29999999999956</v>
      </c>
      <c r="GV90" s="17">
        <f>GU90*VLOOKUP('Données projet'!$B$18,Paramètres!$A$1:$I$89,3,0)*VLOOKUP('Données projet'!$B$18,Paramètres!$A$1:$I$89,5,0)</f>
        <v>291.9992399999997</v>
      </c>
      <c r="GW90" s="13">
        <f t="shared" si="105"/>
        <v>69.496567294189489</v>
      </c>
      <c r="GX90" s="20">
        <f t="shared" si="82"/>
        <v>629.60519770404619</v>
      </c>
      <c r="GY90" s="59">
        <f t="shared" si="83"/>
        <v>911.53936850255013</v>
      </c>
      <c r="GZ90" s="59">
        <f ca="1">AVERAGE(OFFSET($GY$3,0,0,'Données projet'!$E$18+1,1))-AVERAGE(OFFSET($H$3,0,0,'Données projet'!$E$18+1,1))</f>
        <v>542.25674729323623</v>
      </c>
      <c r="HA90" s="59">
        <f t="shared" si="106"/>
        <v>614.73906555680685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108.1862084096867</v>
      </c>
      <c r="HH90" s="21">
        <f>EXP(-LN(2)/25)*HH89+(1-EXP(-LN(2)/25))/(LN(2)/25)*Calculateur!HC90*Calculateur!HE90*VLOOKUP('Données projet'!$B$18,Paramètres!$A$1:$I$89,3,0)*0.475*44/12</f>
        <v>0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108.1862084096867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2.8499999999999996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10.449999999999998</v>
      </c>
      <c r="H91" s="67">
        <f t="shared" si="56"/>
        <v>214.86666666666667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66.945069304665566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-1.0231815394945443E-12</v>
      </c>
      <c r="O91" s="13">
        <f>N91*VLOOKUP('Données projet'!$B$9,Paramètres!$A$1:$I$89,3,0)*VLOOKUP('Données projet'!$B$9,Paramètres!$A$1:$I$89,5,0)</f>
        <v>-8.9385139290243408E-13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686.80970545599644</v>
      </c>
      <c r="T91" s="59">
        <f t="shared" si="88"/>
        <v>636.16485232937737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148.16382605062503</v>
      </c>
      <c r="AA91" s="21">
        <f>EXP(-LN(2)/25)*AA90+(1-EXP(-LN(2)/25))/(LN(2)/25)*Calculateur!V91*Calculateur!X91*VLOOKUP('Données projet'!$B$9,Paramètres!$A$1:$I$89,3,0)*0.475*44/12</f>
        <v>18.281196450406711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166.44502250103176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66.945069304665566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6.1</v>
      </c>
      <c r="AI91" s="13">
        <f>IF('Données projet'!$A$62&gt;35,AI90+AH91-AQ90,IF(A91&lt;'Données projet'!$A$62,$AF$205^A91,IF(A91='Données projet'!$A$62,'Données projet'!$B$62,AI90+AH91-AQ90)))</f>
        <v>210.10000000000014</v>
      </c>
      <c r="AJ91" s="13">
        <f>AI91*VLOOKUP('Données projet'!$B$10,Paramètres!$A$1:$I$89,3,0)*VLOOKUP('Données projet'!$B$10,Paramètres!$A$1:$I$89,5,0)</f>
        <v>190.09848000000014</v>
      </c>
      <c r="AK91" s="13">
        <f t="shared" si="89"/>
        <v>47.561724724324939</v>
      </c>
      <c r="AL91" s="20">
        <f t="shared" si="58"/>
        <v>413.92485656153281</v>
      </c>
      <c r="AM91" s="59">
        <f t="shared" si="59"/>
        <v>696.0567773453065</v>
      </c>
      <c r="AN91" s="59">
        <f ca="1">AVERAGE(OFFSET($AM$3,0,0,'Données projet'!$E$10+1,1))-AVERAGE(OFFSET($H$3,0,0,'Données projet'!$E$10+1,1))</f>
        <v>323.67375363913726</v>
      </c>
      <c r="AO91" s="59">
        <f t="shared" si="90"/>
        <v>266.03902815735029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34.580692863761726</v>
      </c>
      <c r="AV91" s="21">
        <f>EXP(-LN(2)/25)*AV90+(1-EXP(-LN(2)/25))/(LN(2)/25)*Calculateur!AQ91*Calculateur!AS91*VLOOKUP('Données projet'!$B$10,Paramètres!$A$1:$I$89,3,0)*0.475*44/12</f>
        <v>27.629326298453879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62.210019162215602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66.945069304665566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371.46495716091965</v>
      </c>
      <c r="BJ91" s="59">
        <f t="shared" si="92"/>
        <v>579.95059529269417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94.816715877160178</v>
      </c>
      <c r="BQ91" s="21">
        <f>EXP(-LN(2)/25)*BQ90+(1-EXP(-LN(2)/25))/(LN(2)/25)*Calculateur!BL91*Calculateur!BN91*VLOOKUP('Données projet'!$B$11,Paramètres!$A$1:$I$89,3,0)*0.475*44/12</f>
        <v>20.913429075555104</v>
      </c>
      <c r="BR91" s="21">
        <f>EXP(-LN(2)/2)*BR90+(1-EXP(-LN(2)/2))/(LN(2)/2)*BL91*BO91*VLOOKUP('Données projet'!$B$11,Paramètres!$A$1:$I$89,3,0)*0.475*44/12</f>
        <v>1.3093122230752548E-5</v>
      </c>
      <c r="BS91" s="22">
        <f t="shared" si="63"/>
        <v>115.73015804583751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66.945069304665566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180.18752244216969</v>
      </c>
      <c r="CE91" s="59">
        <f t="shared" si="94"/>
        <v>350.12096474554676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114.49226960993229</v>
      </c>
      <c r="CL91" s="21">
        <f>EXP(-LN(2)/25)*CL90+(1-EXP(-LN(2)/25))/(LN(2)/25)*Calculateur!CG91*Calculateur!CI91*VLOOKUP('Données projet'!$B$12,Paramètres!$A$1:$I$89,3,0)*0.475*44/12</f>
        <v>37.288168354934975</v>
      </c>
      <c r="CM91" s="21">
        <f>EXP(-LN(2)/2)*CM90+(1-EXP(-LN(2)/2))/(LN(2)/2)*CG91*CJ91*VLOOKUP('Données projet'!$B$12,Paramètres!$A$1:$I$89,3,0)*0.475*44/12</f>
        <v>9.9474873903599181E-6</v>
      </c>
      <c r="CN91" s="22">
        <f t="shared" si="66"/>
        <v>151.78044791235467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66.945069304665566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5.6843418860808015E-14</v>
      </c>
      <c r="CU91" s="17">
        <f>CT91*VLOOKUP('Données projet'!$B$13,Paramètres!$A$1:$I$89,3,0)*VLOOKUP('Données projet'!$B$13,Paramètres!$A$1:$I$89,5,0)</f>
        <v>4.5224624045658861E-14</v>
      </c>
      <c r="CV91" s="13">
        <f t="shared" si="95"/>
        <v>7.4514601661523691E-13</v>
      </c>
      <c r="CW91" s="20">
        <f t="shared" si="67"/>
        <v>1.3765621991510601E-12</v>
      </c>
      <c r="CX91" s="59">
        <f t="shared" si="68"/>
        <v>282.13192078377512</v>
      </c>
      <c r="CY91" s="59">
        <f ca="1">AVERAGE(OFFSET($CX$3,0,0,'Données projet'!$E$13+1,1))-AVERAGE(OFFSET($H$3,0,0,'Données projet'!$E$13+1,1))</f>
        <v>284.31574332240928</v>
      </c>
      <c r="CZ91" s="59">
        <f t="shared" si="96"/>
        <v>403.96994631683913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482.12576997759561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482.12576997759561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66.945069304665566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>
        <f>DO91*VLOOKUP('Données projet'!$B$14,Paramètres!$A$1:$I$89,3,0)*VLOOKUP('Données projet'!$B$14,Paramètres!$A$1:$I$89,5,0)</f>
        <v>0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190.9519472160006</v>
      </c>
      <c r="DU91" s="59">
        <f t="shared" si="98"/>
        <v>170.61553500287511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103.23440185133143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103.23440185133143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66.945069304665566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77.400000000000006</v>
      </c>
      <c r="EJ91" s="12">
        <f>IF('Données projet'!$A$192&gt;35,EJ90+EI91-ER90,IF(A91&lt;'Données projet'!$A$192,$EG$205^A91,IF(A91='Données projet'!$A$192,'Données projet'!$B$192,EJ90+EI91-ER90)))</f>
        <v>265.2</v>
      </c>
      <c r="EK91" s="17">
        <f>EJ91*VLOOKUP('Données projet'!$B$15,Paramètres!$A$1:$I$89,3,0)*VLOOKUP('Données projet'!$B$15,Paramètres!$A$1:$I$89,5,0)</f>
        <v>227.54160000000002</v>
      </c>
      <c r="EL91" s="13">
        <f t="shared" si="99"/>
        <v>55.750785974779468</v>
      </c>
      <c r="EM91" s="20">
        <f t="shared" si="73"/>
        <v>493.4009055727409</v>
      </c>
      <c r="EN91" s="59">
        <f t="shared" si="74"/>
        <v>775.53282635651465</v>
      </c>
      <c r="EO91" s="59">
        <f ca="1">AVERAGE(OFFSET($EN$3,0,0,'Données projet'!$E$15+1,1))-AVERAGE(OFFSET($H$3,0,0,'Données projet'!$E$15+1,1))</f>
        <v>331.94255128154623</v>
      </c>
      <c r="EP91" s="59">
        <f t="shared" si="100"/>
        <v>258.40809812013964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743.1079006364173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743.1079006364173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66.945069304665566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>
        <f>FE91*VLOOKUP('Données projet'!$B$16,Paramètres!$A$1:$I$89,3,0)*VLOOKUP('Données projet'!$B$16,Paramètres!$A$1:$I$89,5,0)</f>
        <v>0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290.72311302449236</v>
      </c>
      <c r="FK91" s="59">
        <f t="shared" si="102"/>
        <v>352.32552988394434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396.8172923597154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396.8172923597154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66.945069304665566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>
        <f>FZ91*VLOOKUP('Données projet'!$B$17,Paramètres!$A$1:$I$89,3,0)*VLOOKUP('Données projet'!$B$17,Paramètres!$A$1:$I$89,5,0)</f>
        <v>0</v>
      </c>
      <c r="GB91" s="13" t="e">
        <f t="shared" si="103"/>
        <v>#NUM!</v>
      </c>
      <c r="GC91" s="20" t="e">
        <f t="shared" si="79"/>
        <v>#NUM!</v>
      </c>
      <c r="GD91" s="59" t="e">
        <f t="shared" si="80"/>
        <v>#NUM!</v>
      </c>
      <c r="GE91" s="59">
        <f ca="1">AVERAGE(OFFSET($GD$3,0,0,'Données projet'!$E$17+1,1))-AVERAGE(OFFSET($H$3,0,0,'Données projet'!$E$17+1,1))</f>
        <v>123.03972959251965</v>
      </c>
      <c r="GF91" s="59">
        <f t="shared" si="104"/>
        <v>178.27657680839445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86.250605955508988</v>
      </c>
      <c r="GM91" s="21">
        <f>EXP(-LN(2)/25)*GM90+(1-EXP(-LN(2)/25))/(LN(2)/25)*Calculateur!GH91*Calculateur!GJ91*VLOOKUP('Données projet'!$B$17,Paramètres!$A$1:$I$89,3,0)*0.475*44/12</f>
        <v>20.39307388868222</v>
      </c>
      <c r="GN91" s="21">
        <f>EXP(-LN(2)/2)*GN90+(1-EXP(-LN(2)/2))/(LN(2)/2)*GH91*GK91*VLOOKUP('Données projet'!$B$17,Paramètres!$A$1:$I$89,3,0)*0.475*44/12</f>
        <v>1.9964374158005199E-2</v>
      </c>
      <c r="GO91" s="21">
        <f t="shared" si="81"/>
        <v>106.66364421834922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66.945069304665566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54.9</v>
      </c>
      <c r="GU91" s="12">
        <f>IF('Données projet'!$A$270&gt;35,GU90+GT91-HC90,IF(A91&lt;'Données projet'!$A$270,$GR$205^A91,IF(A91='Données projet'!$A$270,'Données projet'!$B$270,GU90+GT91-HC90)))</f>
        <v>490.19999999999953</v>
      </c>
      <c r="GV91" s="17">
        <f>GU91*VLOOKUP('Données projet'!$B$18,Paramètres!$A$1:$I$89,3,0)*VLOOKUP('Données projet'!$B$18,Paramètres!$A$1:$I$89,5,0)</f>
        <v>328.82615999999967</v>
      </c>
      <c r="GW91" s="13">
        <f t="shared" si="105"/>
        <v>77.186889741885111</v>
      </c>
      <c r="GX91" s="20">
        <f t="shared" si="82"/>
        <v>707.139394967116</v>
      </c>
      <c r="GY91" s="59">
        <f t="shared" si="83"/>
        <v>989.2713157508897</v>
      </c>
      <c r="GZ91" s="59">
        <f ca="1">AVERAGE(OFFSET($GY$3,0,0,'Données projet'!$E$18+1,1))-AVERAGE(OFFSET($H$3,0,0,'Données projet'!$E$18+1,1))</f>
        <v>542.25674729323623</v>
      </c>
      <c r="HA91" s="59">
        <f t="shared" si="106"/>
        <v>614.73906555680685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106.06474284984419</v>
      </c>
      <c r="HH91" s="21">
        <f>EXP(-LN(2)/25)*HH90+(1-EXP(-LN(2)/25))/(LN(2)/25)*Calculateur!HC91*Calculateur!HE91*VLOOKUP('Données projet'!$B$18,Paramètres!$A$1:$I$89,3,0)*0.475*44/12</f>
        <v>0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106.06474284984419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2.8499999999999996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10.449999999999998</v>
      </c>
      <c r="H92" s="67">
        <f t="shared" si="56"/>
        <v>214.86666666666667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66.998065522427751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-1.0231815394945443E-12</v>
      </c>
      <c r="O92" s="13">
        <f>N92*VLOOKUP('Données projet'!$B$9,Paramètres!$A$1:$I$89,3,0)*VLOOKUP('Données projet'!$B$9,Paramètres!$A$1:$I$89,5,0)</f>
        <v>-8.9385139290243408E-13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686.80970545599644</v>
      </c>
      <c r="T92" s="59">
        <f t="shared" si="88"/>
        <v>636.16485232937737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145.25842379278276</v>
      </c>
      <c r="AA92" s="21">
        <f>EXP(-LN(2)/25)*AA91+(1-EXP(-LN(2)/25))/(LN(2)/25)*Calculateur!V92*Calculateur!X92*VLOOKUP('Données projet'!$B$9,Paramètres!$A$1:$I$89,3,0)*0.475*44/12</f>
        <v>17.781296172104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163.03971996488676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66.998065522427751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6.1</v>
      </c>
      <c r="AI92" s="13">
        <f>IF('Données projet'!$A$62&gt;35,AI91+AH92-AQ91,IF(A92&lt;'Données projet'!$A$62,$AF$205^A92,IF(A92='Données projet'!$A$62,'Données projet'!$B$62,AI91+AH92-AQ91)))</f>
        <v>216.20000000000013</v>
      </c>
      <c r="AJ92" s="13">
        <f>AI92*VLOOKUP('Données projet'!$B$10,Paramètres!$A$1:$I$89,3,0)*VLOOKUP('Données projet'!$B$10,Paramètres!$A$1:$I$89,5,0)</f>
        <v>195.61776000000012</v>
      </c>
      <c r="AK92" s="13">
        <f t="shared" si="89"/>
        <v>48.779845723631205</v>
      </c>
      <c r="AL92" s="20">
        <f t="shared" si="58"/>
        <v>425.65916330199121</v>
      </c>
      <c r="AM92" s="59">
        <f t="shared" si="59"/>
        <v>707.9854035508929</v>
      </c>
      <c r="AN92" s="59">
        <f ca="1">AVERAGE(OFFSET($AM$3,0,0,'Données projet'!$E$10+1,1))-AVERAGE(OFFSET($H$3,0,0,'Données projet'!$E$10+1,1))</f>
        <v>323.67375363913726</v>
      </c>
      <c r="AO92" s="59">
        <f t="shared" si="90"/>
        <v>266.03902815735029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33.902586568843333</v>
      </c>
      <c r="AV92" s="21">
        <f>EXP(-LN(2)/25)*AV91+(1-EXP(-LN(2)/25))/(LN(2)/25)*Calculateur!AQ92*Calculateur!AS92*VLOOKUP('Données projet'!$B$10,Paramètres!$A$1:$I$89,3,0)*0.475*44/12</f>
        <v>26.873800917859537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60.776387486702873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66.998065522427751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371.46495716091965</v>
      </c>
      <c r="BJ92" s="59">
        <f t="shared" si="92"/>
        <v>579.95059529269417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92.957417911295266</v>
      </c>
      <c r="BQ92" s="21">
        <f>EXP(-LN(2)/25)*BQ91+(1-EXP(-LN(2)/25))/(LN(2)/25)*Calculateur!BL92*Calculateur!BN92*VLOOKUP('Données projet'!$B$11,Paramètres!$A$1:$I$89,3,0)*0.475*44/12</f>
        <v>20.341550257694614</v>
      </c>
      <c r="BR92" s="21">
        <f>EXP(-LN(2)/2)*BR91+(1-EXP(-LN(2)/2))/(LN(2)/2)*BL92*BO92*VLOOKUP('Données projet'!$B$11,Paramètres!$A$1:$I$89,3,0)*0.475*44/12</f>
        <v>9.2582355162694626E-6</v>
      </c>
      <c r="BS92" s="22">
        <f t="shared" si="63"/>
        <v>113.29897742722541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66.998065522427751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180.18752244216969</v>
      </c>
      <c r="CE92" s="59">
        <f t="shared" si="94"/>
        <v>350.12096474554676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112.24714603627051</v>
      </c>
      <c r="CL92" s="21">
        <f>EXP(-LN(2)/25)*CL91+(1-EXP(-LN(2)/25))/(LN(2)/25)*Calculateur!CG92*Calculateur!CI92*VLOOKUP('Données projet'!$B$12,Paramètres!$A$1:$I$89,3,0)*0.475*44/12</f>
        <v>36.268521430369724</v>
      </c>
      <c r="CM92" s="21">
        <f>EXP(-LN(2)/2)*CM91+(1-EXP(-LN(2)/2))/(LN(2)/2)*CG92*CJ92*VLOOKUP('Données projet'!$B$12,Paramètres!$A$1:$I$89,3,0)*0.475*44/12</f>
        <v>7.0339357894911713E-6</v>
      </c>
      <c r="CN92" s="22">
        <f t="shared" si="66"/>
        <v>148.51567450057601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66.998065522427751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5.6843418860808015E-14</v>
      </c>
      <c r="CU92" s="17">
        <f>CT92*VLOOKUP('Données projet'!$B$13,Paramètres!$A$1:$I$89,3,0)*VLOOKUP('Données projet'!$B$13,Paramètres!$A$1:$I$89,5,0)</f>
        <v>4.5224624045658861E-14</v>
      </c>
      <c r="CV92" s="13">
        <f t="shared" si="95"/>
        <v>7.4514601661523691E-13</v>
      </c>
      <c r="CW92" s="20">
        <f t="shared" si="67"/>
        <v>1.3765621991510601E-12</v>
      </c>
      <c r="CX92" s="59">
        <f t="shared" si="68"/>
        <v>282.3262402489031</v>
      </c>
      <c r="CY92" s="59">
        <f ca="1">AVERAGE(OFFSET($CX$3,0,0,'Données projet'!$E$13+1,1))-AVERAGE(OFFSET($H$3,0,0,'Données projet'!$E$13+1,1))</f>
        <v>284.31574332240928</v>
      </c>
      <c r="CZ92" s="59">
        <f t="shared" si="96"/>
        <v>403.96994631683913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472.67157769601789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472.67157769601789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66.998065522427751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>
        <f>DO92*VLOOKUP('Données projet'!$B$14,Paramètres!$A$1:$I$89,3,0)*VLOOKUP('Données projet'!$B$14,Paramètres!$A$1:$I$89,5,0)</f>
        <v>0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190.9519472160006</v>
      </c>
      <c r="DU92" s="59">
        <f t="shared" si="98"/>
        <v>170.61553500287511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101.21003819779449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101.21003819779449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66.998065522427751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77.400000000000006</v>
      </c>
      <c r="EJ92" s="12">
        <f>IF('Données projet'!$A$192&gt;35,EJ91+EI92-ER91,IF(A92&lt;'Données projet'!$A$192,$EG$205^A92,IF(A92='Données projet'!$A$192,'Données projet'!$B$192,EJ91+EI92-ER91)))</f>
        <v>342.6</v>
      </c>
      <c r="EK92" s="17">
        <f>EJ92*VLOOKUP('Données projet'!$B$15,Paramètres!$A$1:$I$89,3,0)*VLOOKUP('Données projet'!$B$15,Paramètres!$A$1:$I$89,5,0)</f>
        <v>293.95080000000007</v>
      </c>
      <c r="EL92" s="13">
        <f t="shared" si="99"/>
        <v>69.906819290922996</v>
      </c>
      <c r="EM92" s="20">
        <f t="shared" si="73"/>
        <v>633.71868693169097</v>
      </c>
      <c r="EN92" s="59">
        <f t="shared" si="74"/>
        <v>916.04492718059271</v>
      </c>
      <c r="EO92" s="59">
        <f ca="1">AVERAGE(OFFSET($EN$3,0,0,'Données projet'!$E$15+1,1))-AVERAGE(OFFSET($H$3,0,0,'Données projet'!$E$15+1,1))</f>
        <v>331.94255128154623</v>
      </c>
      <c r="EP92" s="59">
        <f t="shared" si="100"/>
        <v>258.40809812013964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728.53600795600175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728.53600795600175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66.998065522427751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>
        <f>FE92*VLOOKUP('Données projet'!$B$16,Paramètres!$A$1:$I$89,3,0)*VLOOKUP('Données projet'!$B$16,Paramètres!$A$1:$I$89,5,0)</f>
        <v>0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290.72311302449236</v>
      </c>
      <c r="FK92" s="59">
        <f t="shared" si="102"/>
        <v>352.32552988394434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389.03594729119078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389.03594729119078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66.998065522427751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>
        <f>FZ92*VLOOKUP('Données projet'!$B$17,Paramètres!$A$1:$I$89,3,0)*VLOOKUP('Données projet'!$B$17,Paramètres!$A$1:$I$89,5,0)</f>
        <v>0</v>
      </c>
      <c r="GB92" s="13" t="e">
        <f t="shared" si="103"/>
        <v>#NUM!</v>
      </c>
      <c r="GC92" s="20" t="e">
        <f t="shared" si="79"/>
        <v>#NUM!</v>
      </c>
      <c r="GD92" s="59" t="e">
        <f t="shared" si="80"/>
        <v>#NUM!</v>
      </c>
      <c r="GE92" s="59">
        <f ca="1">AVERAGE(OFFSET($GD$3,0,0,'Données projet'!$E$17+1,1))-AVERAGE(OFFSET($H$3,0,0,'Données projet'!$E$17+1,1))</f>
        <v>123.03972959251965</v>
      </c>
      <c r="GF92" s="59">
        <f t="shared" si="104"/>
        <v>178.27657680839445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84.559284180396517</v>
      </c>
      <c r="GM92" s="21">
        <f>EXP(-LN(2)/25)*GM91+(1-EXP(-LN(2)/25))/(LN(2)/25)*Calculateur!GH92*Calculateur!GJ92*VLOOKUP('Données projet'!$B$17,Paramètres!$A$1:$I$89,3,0)*0.475*44/12</f>
        <v>19.835424210771059</v>
      </c>
      <c r="GN92" s="21">
        <f>EXP(-LN(2)/2)*GN91+(1-EXP(-LN(2)/2))/(LN(2)/2)*GH92*GK92*VLOOKUP('Données projet'!$B$17,Paramètres!$A$1:$I$89,3,0)*0.475*44/12</f>
        <v>1.4116944349270947E-2</v>
      </c>
      <c r="GO92" s="21">
        <f t="shared" si="81"/>
        <v>104.40882533551684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66.998065522427751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54.9</v>
      </c>
      <c r="GU92" s="12">
        <f>IF('Données projet'!$A$270&gt;35,GU91+GT92-HC91,IF(A92&lt;'Données projet'!$A$270,$GR$205^A92,IF(A92='Données projet'!$A$270,'Données projet'!$B$270,GU91+GT92-HC91)))</f>
        <v>545.09999999999957</v>
      </c>
      <c r="GV92" s="17">
        <f>GU92*VLOOKUP('Données projet'!$B$18,Paramètres!$A$1:$I$89,3,0)*VLOOKUP('Données projet'!$B$18,Paramètres!$A$1:$I$89,5,0)</f>
        <v>365.6530799999997</v>
      </c>
      <c r="GW92" s="13">
        <f t="shared" si="105"/>
        <v>84.777389949036333</v>
      </c>
      <c r="GX92" s="20">
        <f t="shared" si="82"/>
        <v>784.49973516123771</v>
      </c>
      <c r="GY92" s="59">
        <f t="shared" si="83"/>
        <v>1066.8259754101396</v>
      </c>
      <c r="GZ92" s="59">
        <f ca="1">AVERAGE(OFFSET($GY$3,0,0,'Données projet'!$E$18+1,1))-AVERAGE(OFFSET($H$3,0,0,'Données projet'!$E$18+1,1))</f>
        <v>542.25674729323623</v>
      </c>
      <c r="HA92" s="59">
        <f t="shared" si="106"/>
        <v>614.73906555680685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103.98487793566397</v>
      </c>
      <c r="HH92" s="21">
        <f>EXP(-LN(2)/25)*HH91+(1-EXP(-LN(2)/25))/(LN(2)/25)*Calculateur!HC92*Calculateur!HE92*VLOOKUP('Données projet'!$B$18,Paramètres!$A$1:$I$89,3,0)*0.475*44/12</f>
        <v>0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103.98487793566397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2.8499999999999996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10.449999999999998</v>
      </c>
      <c r="H93" s="67">
        <f t="shared" si="56"/>
        <v>214.86666666666667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67.050142374293571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-1.0231815394945443E-12</v>
      </c>
      <c r="O93" s="13">
        <f>N93*VLOOKUP('Données projet'!$B$9,Paramètres!$A$1:$I$89,3,0)*VLOOKUP('Données projet'!$B$9,Paramètres!$A$1:$I$89,5,0)</f>
        <v>-8.9385139290243408E-13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686.80970545599644</v>
      </c>
      <c r="T93" s="59">
        <f t="shared" si="88"/>
        <v>636.16485232937737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142.40999470109639</v>
      </c>
      <c r="AA93" s="21">
        <f>EXP(-LN(2)/25)*AA92+(1-EXP(-LN(2)/25))/(LN(2)/25)*Calculateur!V93*Calculateur!X93*VLOOKUP('Données projet'!$B$9,Paramètres!$A$1:$I$89,3,0)*0.475*44/12</f>
        <v>17.29506569320009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159.70506039429648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67.050142374293571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6.1</v>
      </c>
      <c r="AI93" s="13">
        <f>IF('Données projet'!$A$62&gt;35,AI92+AH93-AQ92,IF(A93&lt;'Données projet'!$A$62,$AF$205^A93,IF(A93='Données projet'!$A$62,'Données projet'!$B$62,AI92+AH93-AQ92)))</f>
        <v>222.30000000000013</v>
      </c>
      <c r="AJ93" s="13">
        <f>AI93*VLOOKUP('Données projet'!$B$10,Paramètres!$A$1:$I$89,3,0)*VLOOKUP('Données projet'!$B$10,Paramètres!$A$1:$I$89,5,0)</f>
        <v>201.1370400000001</v>
      </c>
      <c r="AK93" s="13">
        <f t="shared" si="89"/>
        <v>49.99397219474514</v>
      </c>
      <c r="AL93" s="20">
        <f t="shared" si="58"/>
        <v>437.38651290584789</v>
      </c>
      <c r="AM93" s="59">
        <f t="shared" si="59"/>
        <v>719.90370161159103</v>
      </c>
      <c r="AN93" s="59">
        <f ca="1">AVERAGE(OFFSET($AM$3,0,0,'Données projet'!$E$10+1,1))-AVERAGE(OFFSET($H$3,0,0,'Données projet'!$E$10+1,1))</f>
        <v>323.67375363913726</v>
      </c>
      <c r="AO93" s="59">
        <f t="shared" si="90"/>
        <v>266.03902815735029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33.237777524764283</v>
      </c>
      <c r="AV93" s="21">
        <f>EXP(-LN(2)/25)*AV92+(1-EXP(-LN(2)/25))/(LN(2)/25)*Calculateur!AQ93*Calculateur!AS93*VLOOKUP('Données projet'!$B$10,Paramètres!$A$1:$I$89,3,0)*0.475*44/12</f>
        <v>26.138935418528899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59.376712943293185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67.050142374293571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371.46495716091965</v>
      </c>
      <c r="BJ93" s="59">
        <f t="shared" si="92"/>
        <v>579.95059529269417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91.134579644481192</v>
      </c>
      <c r="BQ93" s="21">
        <f>EXP(-LN(2)/25)*BQ92+(1-EXP(-LN(2)/25))/(LN(2)/25)*Calculateur!BL93*Calculateur!BN93*VLOOKUP('Données projet'!$B$11,Paramètres!$A$1:$I$89,3,0)*0.475*44/12</f>
        <v>19.785309496182318</v>
      </c>
      <c r="BR93" s="21">
        <f>EXP(-LN(2)/2)*BR92+(1-EXP(-LN(2)/2))/(LN(2)/2)*BL93*BO93*VLOOKUP('Données projet'!$B$11,Paramètres!$A$1:$I$89,3,0)*0.475*44/12</f>
        <v>6.5465611153762739E-6</v>
      </c>
      <c r="BS93" s="22">
        <f t="shared" si="63"/>
        <v>110.91989568722462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67.050142374293571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180.18752244216969</v>
      </c>
      <c r="CE93" s="59">
        <f t="shared" si="94"/>
        <v>350.12096474554676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110.04604796649807</v>
      </c>
      <c r="CL93" s="21">
        <f>EXP(-LN(2)/25)*CL92+(1-EXP(-LN(2)/25))/(LN(2)/25)*Calculateur!CG93*Calculateur!CI93*VLOOKUP('Données projet'!$B$12,Paramètres!$A$1:$I$89,3,0)*0.475*44/12</f>
        <v>35.276756804577616</v>
      </c>
      <c r="CM93" s="21">
        <f>EXP(-LN(2)/2)*CM92+(1-EXP(-LN(2)/2))/(LN(2)/2)*CG93*CJ93*VLOOKUP('Données projet'!$B$12,Paramètres!$A$1:$I$89,3,0)*0.475*44/12</f>
        <v>4.9737436951799591E-6</v>
      </c>
      <c r="CN93" s="22">
        <f t="shared" si="66"/>
        <v>145.32280974481938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67.050142374293571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5.6843418860808015E-14</v>
      </c>
      <c r="CU93" s="17">
        <f>CT93*VLOOKUP('Données projet'!$B$13,Paramètres!$A$1:$I$89,3,0)*VLOOKUP('Données projet'!$B$13,Paramètres!$A$1:$I$89,5,0)</f>
        <v>4.5224624045658861E-14</v>
      </c>
      <c r="CV93" s="13">
        <f t="shared" si="95"/>
        <v>7.4514601661523691E-13</v>
      </c>
      <c r="CW93" s="20">
        <f t="shared" si="67"/>
        <v>1.3765621991510601E-12</v>
      </c>
      <c r="CX93" s="59">
        <f t="shared" si="68"/>
        <v>282.51718870574445</v>
      </c>
      <c r="CY93" s="59">
        <f ca="1">AVERAGE(OFFSET($CX$3,0,0,'Données projet'!$E$13+1,1))-AVERAGE(OFFSET($H$3,0,0,'Données projet'!$E$13+1,1))</f>
        <v>284.31574332240928</v>
      </c>
      <c r="CZ93" s="59">
        <f t="shared" si="96"/>
        <v>403.96994631683913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463.402776358594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463.402776358594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67.050142374293571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>
        <f>DO93*VLOOKUP('Données projet'!$B$14,Paramètres!$A$1:$I$89,3,0)*VLOOKUP('Données projet'!$B$14,Paramètres!$A$1:$I$89,5,0)</f>
        <v>0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190.9519472160006</v>
      </c>
      <c r="DU93" s="59">
        <f t="shared" si="98"/>
        <v>170.61553500287511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99.225371080763509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99.225371080763509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67.050142374293571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420</v>
      </c>
      <c r="EH93" s="12">
        <f>VLOOKUP(A93,'Données projet'!$A$191:$I$211,9,0)</f>
        <v>77.400000000000006</v>
      </c>
      <c r="EI93" s="12">
        <f t="array" ref="EI93">INDEX(EH:EH,MIN(IF(ISNUMBER(EH93:EH289),ROW(EH93:EH289),"")))</f>
        <v>77.400000000000006</v>
      </c>
      <c r="EJ93" s="12">
        <f>IF('Données projet'!$A$192&gt;35,EJ92+EI93-ER92,IF(A93&lt;'Données projet'!$A$192,$EG$205^A93,IF(A93='Données projet'!$A$192,'Données projet'!$B$192,EJ92+EI93-ER92)))</f>
        <v>420</v>
      </c>
      <c r="EK93" s="17">
        <f>EJ93*VLOOKUP('Données projet'!$B$15,Paramètres!$A$1:$I$89,3,0)*VLOOKUP('Données projet'!$B$15,Paramètres!$A$1:$I$89,5,0)</f>
        <v>360.36000000000007</v>
      </c>
      <c r="EL93" s="13">
        <f t="shared" si="99"/>
        <v>83.692107728969603</v>
      </c>
      <c r="EM93" s="20">
        <f t="shared" si="73"/>
        <v>773.39075429462207</v>
      </c>
      <c r="EN93" s="59">
        <f t="shared" si="74"/>
        <v>1055.9079430003651</v>
      </c>
      <c r="EO93" s="59">
        <f ca="1">AVERAGE(OFFSET($EN$3,0,0,'Données projet'!$E$15+1,1))-AVERAGE(OFFSET($H$3,0,0,'Données projet'!$E$15+1,1))</f>
        <v>331.94255128154623</v>
      </c>
      <c r="EP93" s="59">
        <f t="shared" si="100"/>
        <v>258.40809812013964</v>
      </c>
      <c r="EQ93" s="15">
        <f>IF(ISNA(VLOOKUP(A93,'Données projet'!$A$191:$I$211,3,0)),0,VLOOKUP(A93,'Données projet'!$A$191:$I$211,3,0))</f>
        <v>15</v>
      </c>
      <c r="ER93" s="15">
        <f>IF(ISNA(VLOOKUP(A93,'Données projet'!$A$191:$I$211,4,0)),0,VLOOKUP(A93,'Données projet'!$A$191:$I$211,4,0))</f>
        <v>389</v>
      </c>
      <c r="ES93" s="16">
        <f>IF(ISNA(VLOOKUP(A93,'Données projet'!$A$191:$I$211,5,0)),0%,VLOOKUP(A93,'Données projet'!$A$191:$I$211,5,0)*VLOOKUP('Données projet'!$B$15,Paramètres!$A$1:$I$89,7,0))</f>
        <v>0.42400000000000004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870.69059924407111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870.69059924407111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67.050142374293571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>
        <f>FE93*VLOOKUP('Données projet'!$B$16,Paramètres!$A$1:$I$89,3,0)*VLOOKUP('Données projet'!$B$16,Paramètres!$A$1:$I$89,5,0)</f>
        <v>0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290.72311302449236</v>
      </c>
      <c r="FK93" s="59">
        <f t="shared" si="102"/>
        <v>352.32552988394434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381.40718965330808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381.40718965330808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67.050142374293571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>
        <f>FZ93*VLOOKUP('Données projet'!$B$17,Paramètres!$A$1:$I$89,3,0)*VLOOKUP('Données projet'!$B$17,Paramètres!$A$1:$I$89,5,0)</f>
        <v>0</v>
      </c>
      <c r="GB93" s="13" t="e">
        <f t="shared" si="103"/>
        <v>#NUM!</v>
      </c>
      <c r="GC93" s="20" t="e">
        <f t="shared" si="79"/>
        <v>#NUM!</v>
      </c>
      <c r="GD93" s="59" t="e">
        <f t="shared" si="80"/>
        <v>#NUM!</v>
      </c>
      <c r="GE93" s="59">
        <f ca="1">AVERAGE(OFFSET($GD$3,0,0,'Données projet'!$E$17+1,1))-AVERAGE(OFFSET($H$3,0,0,'Données projet'!$E$17+1,1))</f>
        <v>123.03972959251965</v>
      </c>
      <c r="GF93" s="59">
        <f t="shared" si="104"/>
        <v>178.27657680839445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82.901128193689573</v>
      </c>
      <c r="GM93" s="21">
        <f>EXP(-LN(2)/25)*GM92+(1-EXP(-LN(2)/25))/(LN(2)/25)*Calculateur!GH93*Calculateur!GJ93*VLOOKUP('Données projet'!$B$17,Paramètres!$A$1:$I$89,3,0)*0.475*44/12</f>
        <v>19.293023492627899</v>
      </c>
      <c r="GN93" s="21">
        <f>EXP(-LN(2)/2)*GN92+(1-EXP(-LN(2)/2))/(LN(2)/2)*GH93*GK93*VLOOKUP('Données projet'!$B$17,Paramètres!$A$1:$I$89,3,0)*0.475*44/12</f>
        <v>9.9821870790025996E-3</v>
      </c>
      <c r="GO93" s="21">
        <f t="shared" si="81"/>
        <v>102.20413387339647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67.050142374293571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>
        <f>VLOOKUP(A93,'Données projet'!$A$269:$I$289,2,0)</f>
        <v>600</v>
      </c>
      <c r="GS93" s="12">
        <f>VLOOKUP(A93,'Données projet'!$A$269:$I$289,9,0)</f>
        <v>54.9</v>
      </c>
      <c r="GT93" s="12">
        <f t="array" ref="GT93">INDEX(GS:GS,MIN(IF(ISNUMBER(GS93:GS289),ROW(GS93:GS289),"")))</f>
        <v>54.9</v>
      </c>
      <c r="GU93" s="12">
        <f>IF('Données projet'!$A$270&gt;35,GU92+GT93-HC92,IF(A93&lt;'Données projet'!$A$270,$GR$205^A93,IF(A93='Données projet'!$A$270,'Données projet'!$B$270,GU92+GT93-HC92)))</f>
        <v>599.99999999999955</v>
      </c>
      <c r="GV93" s="17">
        <f>GU93*VLOOKUP('Données projet'!$B$18,Paramètres!$A$1:$I$89,3,0)*VLOOKUP('Données projet'!$B$18,Paramètres!$A$1:$I$89,5,0)</f>
        <v>402.47999999999968</v>
      </c>
      <c r="GW93" s="13">
        <f t="shared" si="105"/>
        <v>92.279266155243036</v>
      </c>
      <c r="GX93" s="20">
        <f t="shared" si="82"/>
        <v>861.70572188704773</v>
      </c>
      <c r="GY93" s="59">
        <f t="shared" si="83"/>
        <v>1144.2229105927909</v>
      </c>
      <c r="GZ93" s="59">
        <f ca="1">AVERAGE(OFFSET($GY$3,0,0,'Données projet'!$E$18+1,1))-AVERAGE(OFFSET($H$3,0,0,'Données projet'!$E$18+1,1))</f>
        <v>542.25674729323623</v>
      </c>
      <c r="HA93" s="59">
        <f t="shared" si="106"/>
        <v>614.73906555680685</v>
      </c>
      <c r="HB93" s="15">
        <f>IF(ISNA(VLOOKUP(A93,'Données projet'!$A$269:$I$289,3,0)),0,VLOOKUP(A93,'Données projet'!$A$269:$I$289,3,0))</f>
        <v>5</v>
      </c>
      <c r="HC93" s="15">
        <f>IF(ISNA(VLOOKUP(A93,'Données projet'!$A$269:$I$289,4,0)),0,VLOOKUP(A93,'Données projet'!$A$269:$I$289,4,0))</f>
        <v>553</v>
      </c>
      <c r="HD93" s="16">
        <f>IF(ISNA(VLOOKUP(A93,'Données projet'!$A$269:$I$289,5,0)),0%,VLOOKUP(A93,'Données projet'!$A$269:$I$289,5,0)*VLOOKUP('Données projet'!$B$18,Paramètres!$A$1:$I$89,7,0))</f>
        <v>0.42400000000000004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275.81839944052177</v>
      </c>
      <c r="HH93" s="21">
        <f>EXP(-LN(2)/25)*HH92+(1-EXP(-LN(2)/25))/(LN(2)/25)*Calculateur!HC93*Calculateur!HE93*VLOOKUP('Données projet'!$B$18,Paramètres!$A$1:$I$89,3,0)*0.475*44/12</f>
        <v>0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275.81839944052177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2.8499999999999996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10.449999999999998</v>
      </c>
      <c r="H94" s="67">
        <f t="shared" si="56"/>
        <v>214.86666666666667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67.101315809205914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-1.0231815394945443E-12</v>
      </c>
      <c r="O94" s="13">
        <f>N94*VLOOKUP('Données projet'!$B$9,Paramètres!$A$1:$I$89,3,0)*VLOOKUP('Données projet'!$B$9,Paramètres!$A$1:$I$89,5,0)</f>
        <v>-8.9385139290243408E-13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686.80970545599644</v>
      </c>
      <c r="T94" s="59">
        <f t="shared" si="88"/>
        <v>636.16485232937737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139.61742156652781</v>
      </c>
      <c r="AA94" s="21">
        <f>EXP(-LN(2)/25)*AA93+(1-EXP(-LN(2)/25))/(LN(2)/25)*Calculateur!V94*Calculateur!X94*VLOOKUP('Données projet'!$B$9,Paramètres!$A$1:$I$89,3,0)*0.475*44/12</f>
        <v>16.822131212311557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156.43955277883936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67.101315809205914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6.1</v>
      </c>
      <c r="AI94" s="13">
        <f>IF('Données projet'!$A$62&gt;35,AI93+AH94-AQ93,IF(A94&lt;'Données projet'!$A$62,$AF$205^A94,IF(A94='Données projet'!$A$62,'Données projet'!$B$62,AI93+AH94-AQ93)))</f>
        <v>228.40000000000012</v>
      </c>
      <c r="AJ94" s="13">
        <f>AI94*VLOOKUP('Données projet'!$B$10,Paramètres!$A$1:$I$89,3,0)*VLOOKUP('Données projet'!$B$10,Paramètres!$A$1:$I$89,5,0)</f>
        <v>206.65632000000011</v>
      </c>
      <c r="AK94" s="13">
        <f t="shared" si="89"/>
        <v>51.20422634371343</v>
      </c>
      <c r="AL94" s="20">
        <f t="shared" si="58"/>
        <v>449.107118215301</v>
      </c>
      <c r="AM94" s="59">
        <f t="shared" si="59"/>
        <v>731.81194284905598</v>
      </c>
      <c r="AN94" s="59">
        <f ca="1">AVERAGE(OFFSET($AM$3,0,0,'Données projet'!$E$10+1,1))-AVERAGE(OFFSET($H$3,0,0,'Données projet'!$E$10+1,1))</f>
        <v>323.67375363913726</v>
      </c>
      <c r="AO94" s="59">
        <f t="shared" si="90"/>
        <v>266.03902815735029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32.58600498054615</v>
      </c>
      <c r="AV94" s="21">
        <f>EXP(-LN(2)/25)*AV93+(1-EXP(-LN(2)/25))/(LN(2)/25)*Calculateur!AQ94*Calculateur!AS94*VLOOKUP('Données projet'!$B$10,Paramètres!$A$1:$I$89,3,0)*0.475*44/12</f>
        <v>25.424164854922353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58.010169835468503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67.101315809205914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371.46495716091965</v>
      </c>
      <c r="BJ94" s="59">
        <f t="shared" si="92"/>
        <v>579.95059529269417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89.347486124257784</v>
      </c>
      <c r="BQ94" s="21">
        <f>EXP(-LN(2)/25)*BQ93+(1-EXP(-LN(2)/25))/(LN(2)/25)*Calculateur!BL94*Calculateur!BN94*VLOOKUP('Données projet'!$B$11,Paramètres!$A$1:$I$89,3,0)*0.475*44/12</f>
        <v>19.244279167545006</v>
      </c>
      <c r="BR94" s="21">
        <f>EXP(-LN(2)/2)*BR93+(1-EXP(-LN(2)/2))/(LN(2)/2)*BL94*BO94*VLOOKUP('Données projet'!$B$11,Paramètres!$A$1:$I$89,3,0)*0.475*44/12</f>
        <v>4.6291177581347313E-6</v>
      </c>
      <c r="BS94" s="22">
        <f t="shared" si="63"/>
        <v>108.59176992092054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67.101315809205914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180.18752244216969</v>
      </c>
      <c r="CE94" s="59">
        <f t="shared" si="94"/>
        <v>350.12096474554676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107.88811208733661</v>
      </c>
      <c r="CL94" s="21">
        <f>EXP(-LN(2)/25)*CL93+(1-EXP(-LN(2)/25))/(LN(2)/25)*Calculateur!CG94*Calculateur!CI94*VLOOKUP('Données projet'!$B$12,Paramètres!$A$1:$I$89,3,0)*0.475*44/12</f>
        <v>34.312112034632428</v>
      </c>
      <c r="CM94" s="21">
        <f>EXP(-LN(2)/2)*CM93+(1-EXP(-LN(2)/2))/(LN(2)/2)*CG94*CJ94*VLOOKUP('Données projet'!$B$12,Paramètres!$A$1:$I$89,3,0)*0.475*44/12</f>
        <v>3.5169678947455857E-6</v>
      </c>
      <c r="CN94" s="22">
        <f t="shared" si="66"/>
        <v>142.20022763893692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67.101315809205914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5.6843418860808015E-14</v>
      </c>
      <c r="CU94" s="17">
        <f>CT94*VLOOKUP('Données projet'!$B$13,Paramètres!$A$1:$I$89,3,0)*VLOOKUP('Données projet'!$B$13,Paramètres!$A$1:$I$89,5,0)</f>
        <v>4.5224624045658861E-14</v>
      </c>
      <c r="CV94" s="13">
        <f t="shared" si="95"/>
        <v>7.4514601661523691E-13</v>
      </c>
      <c r="CW94" s="20">
        <f t="shared" si="67"/>
        <v>1.3765621991510601E-12</v>
      </c>
      <c r="CX94" s="59">
        <f t="shared" si="68"/>
        <v>282.70482463375635</v>
      </c>
      <c r="CY94" s="59">
        <f ca="1">AVERAGE(OFFSET($CX$3,0,0,'Données projet'!$E$13+1,1))-AVERAGE(OFFSET($H$3,0,0,'Données projet'!$E$13+1,1))</f>
        <v>284.31574332240928</v>
      </c>
      <c r="CZ94" s="59">
        <f t="shared" si="96"/>
        <v>403.96994631683913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454.31573056198641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454.31573056198641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67.101315809205914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>
        <f>DO94*VLOOKUP('Données projet'!$B$14,Paramètres!$A$1:$I$89,3,0)*VLOOKUP('Données projet'!$B$14,Paramètres!$A$1:$I$89,5,0)</f>
        <v>0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190.9519472160006</v>
      </c>
      <c r="DU94" s="59">
        <f t="shared" si="98"/>
        <v>170.61553500287511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97.279622075370099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97.279622075370099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67.101315809205914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80.400000000000006</v>
      </c>
      <c r="EJ94" s="12">
        <f>IF('Données projet'!$A$192&gt;35,EJ93+EI94-ER93,IF(A94&lt;'Données projet'!$A$192,$EG$205^A94,IF(A94='Données projet'!$A$192,'Données projet'!$B$192,EJ93+EI94-ER93)))</f>
        <v>111.39999999999998</v>
      </c>
      <c r="EK94" s="17">
        <f>EJ94*VLOOKUP('Données projet'!$B$15,Paramètres!$A$1:$I$89,3,0)*VLOOKUP('Données projet'!$B$15,Paramètres!$A$1:$I$89,5,0)</f>
        <v>95.581199999999981</v>
      </c>
      <c r="EL94" s="13">
        <f t="shared" si="99"/>
        <v>25.906526473917108</v>
      </c>
      <c r="EM94" s="20">
        <f t="shared" si="73"/>
        <v>211.59112360873894</v>
      </c>
      <c r="EN94" s="59">
        <f t="shared" si="74"/>
        <v>494.29594824249392</v>
      </c>
      <c r="EO94" s="59">
        <f ca="1">AVERAGE(OFFSET($EN$3,0,0,'Données projet'!$E$15+1,1))-AVERAGE(OFFSET($H$3,0,0,'Données projet'!$E$15+1,1))</f>
        <v>331.94255128154623</v>
      </c>
      <c r="EP94" s="59">
        <f t="shared" si="100"/>
        <v>258.40809812013964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853.61688766172176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853.61688766172176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67.101315809205914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>
        <f>FE94*VLOOKUP('Données projet'!$B$16,Paramètres!$A$1:$I$89,3,0)*VLOOKUP('Données projet'!$B$16,Paramètres!$A$1:$I$89,5,0)</f>
        <v>0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290.72311302449236</v>
      </c>
      <c r="FK94" s="59">
        <f t="shared" si="102"/>
        <v>352.32552988394434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373.92802729962153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373.92802729962153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67.101315809205914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>
        <f>FZ94*VLOOKUP('Données projet'!$B$17,Paramètres!$A$1:$I$89,3,0)*VLOOKUP('Données projet'!$B$17,Paramètres!$A$1:$I$89,5,0)</f>
        <v>0</v>
      </c>
      <c r="GB94" s="13" t="e">
        <f t="shared" si="103"/>
        <v>#NUM!</v>
      </c>
      <c r="GC94" s="20" t="e">
        <f t="shared" si="79"/>
        <v>#NUM!</v>
      </c>
      <c r="GD94" s="59" t="e">
        <f t="shared" si="80"/>
        <v>#NUM!</v>
      </c>
      <c r="GE94" s="59">
        <f ca="1">AVERAGE(OFFSET($GD$3,0,0,'Données projet'!$E$17+1,1))-AVERAGE(OFFSET($H$3,0,0,'Données projet'!$E$17+1,1))</f>
        <v>123.03972959251965</v>
      </c>
      <c r="GF94" s="59">
        <f t="shared" si="104"/>
        <v>178.27657680839445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81.275487634506675</v>
      </c>
      <c r="GM94" s="21">
        <f>EXP(-LN(2)/25)*GM93+(1-EXP(-LN(2)/25))/(LN(2)/25)*Calculateur!GH94*Calculateur!GJ94*VLOOKUP('Données projet'!$B$17,Paramètres!$A$1:$I$89,3,0)*0.475*44/12</f>
        <v>18.765454750645979</v>
      </c>
      <c r="GN94" s="21">
        <f>EXP(-LN(2)/2)*GN93+(1-EXP(-LN(2)/2))/(LN(2)/2)*GH94*GK94*VLOOKUP('Données projet'!$B$17,Paramètres!$A$1:$I$89,3,0)*0.475*44/12</f>
        <v>7.0584721746354733E-3</v>
      </c>
      <c r="GO94" s="21">
        <f t="shared" si="81"/>
        <v>100.04800085732728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67.101315809205914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57.2</v>
      </c>
      <c r="GU94" s="12">
        <f>IF('Données projet'!$A$270&gt;35,GU93+GT94-HC93,IF(A94&lt;'Données projet'!$A$270,$GR$205^A94,IF(A94='Données projet'!$A$270,'Données projet'!$B$270,GU93+GT94-HC93)))</f>
        <v>104.19999999999959</v>
      </c>
      <c r="GV94" s="17">
        <f>GU94*VLOOKUP('Données projet'!$B$18,Paramètres!$A$1:$I$89,3,0)*VLOOKUP('Données projet'!$B$18,Paramètres!$A$1:$I$89,5,0)</f>
        <v>69.897359999999736</v>
      </c>
      <c r="GW94" s="13">
        <f t="shared" si="105"/>
        <v>19.647966265515922</v>
      </c>
      <c r="GX94" s="20">
        <f t="shared" si="82"/>
        <v>155.95810991243977</v>
      </c>
      <c r="GY94" s="59">
        <f t="shared" si="83"/>
        <v>438.66293454619472</v>
      </c>
      <c r="GZ94" s="59">
        <f ca="1">AVERAGE(OFFSET($GY$3,0,0,'Données projet'!$E$18+1,1))-AVERAGE(OFFSET($H$3,0,0,'Données projet'!$E$18+1,1))</f>
        <v>542.25674729323623</v>
      </c>
      <c r="HA94" s="59">
        <f t="shared" si="106"/>
        <v>614.73906555680685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270.4097688601052</v>
      </c>
      <c r="HH94" s="21">
        <f>EXP(-LN(2)/25)*HH93+(1-EXP(-LN(2)/25))/(LN(2)/25)*Calculateur!HC94*Calculateur!HE94*VLOOKUP('Données projet'!$B$18,Paramètres!$A$1:$I$89,3,0)*0.475*44/12</f>
        <v>0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270.4097688601052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2.8499999999999996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10.449999999999998</v>
      </c>
      <c r="H95" s="67">
        <f t="shared" si="56"/>
        <v>214.86666666666667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67.151601499429191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-1.0231815394945443E-12</v>
      </c>
      <c r="O95" s="13">
        <f>N95*VLOOKUP('Données projet'!$B$9,Paramètres!$A$1:$I$89,3,0)*VLOOKUP('Données projet'!$B$9,Paramètres!$A$1:$I$89,5,0)</f>
        <v>-8.9385139290243408E-13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686.80970545599644</v>
      </c>
      <c r="T95" s="59">
        <f t="shared" si="88"/>
        <v>636.16485232937737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136.87960908782668</v>
      </c>
      <c r="AA95" s="21">
        <f>EXP(-LN(2)/25)*AA94+(1-EXP(-LN(2)/25))/(LN(2)/25)*Calculateur!V95*Calculateur!X95*VLOOKUP('Données projet'!$B$9,Paramètres!$A$1:$I$89,3,0)*0.475*44/12</f>
        <v>16.362129149673464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153.24173823750016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67.151601499429191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6.1</v>
      </c>
      <c r="AI95" s="13">
        <f>IF('Données projet'!$A$62&gt;35,AI94+AH95-AQ94,IF(A95&lt;'Données projet'!$A$62,$AF$205^A95,IF(A95='Données projet'!$A$62,'Données projet'!$B$62,AI94+AH95-AQ94)))</f>
        <v>234.50000000000011</v>
      </c>
      <c r="AJ95" s="13">
        <f>AI95*VLOOKUP('Données projet'!$B$10,Paramètres!$A$1:$I$89,3,0)*VLOOKUP('Données projet'!$B$10,Paramètres!$A$1:$I$89,5,0)</f>
        <v>212.17560000000009</v>
      </c>
      <c r="AK95" s="13">
        <f t="shared" si="89"/>
        <v>52.410723477279205</v>
      </c>
      <c r="AL95" s="20">
        <f t="shared" si="58"/>
        <v>460.82118005626143</v>
      </c>
      <c r="AM95" s="59">
        <f t="shared" si="59"/>
        <v>743.7103855541684</v>
      </c>
      <c r="AN95" s="59">
        <f ca="1">AVERAGE(OFFSET($AM$3,0,0,'Données projet'!$E$10+1,1))-AVERAGE(OFFSET($H$3,0,0,'Données projet'!$E$10+1,1))</f>
        <v>323.67375363913726</v>
      </c>
      <c r="AO95" s="59">
        <f t="shared" si="90"/>
        <v>266.03902815735029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31.947013298378135</v>
      </c>
      <c r="AV95" s="21">
        <f>EXP(-LN(2)/25)*AV94+(1-EXP(-LN(2)/25))/(LN(2)/25)*Calculateur!AQ95*Calculateur!AS95*VLOOKUP('Données projet'!$B$10,Paramètres!$A$1:$I$89,3,0)*0.475*44/12</f>
        <v>24.728939729965777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56.675953028343912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67.151601499429191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371.46495716091965</v>
      </c>
      <c r="BJ95" s="59">
        <f t="shared" si="92"/>
        <v>579.95059529269417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87.59543641794653</v>
      </c>
      <c r="BQ95" s="21">
        <f>EXP(-LN(2)/25)*BQ94+(1-EXP(-LN(2)/25))/(LN(2)/25)*Calculateur!BL95*Calculateur!BN95*VLOOKUP('Données projet'!$B$11,Paramètres!$A$1:$I$89,3,0)*0.475*44/12</f>
        <v>18.718043341695829</v>
      </c>
      <c r="BR95" s="21">
        <f>EXP(-LN(2)/2)*BR94+(1-EXP(-LN(2)/2))/(LN(2)/2)*BL95*BO95*VLOOKUP('Données projet'!$B$11,Paramètres!$A$1:$I$89,3,0)*0.475*44/12</f>
        <v>3.2732805576881369E-6</v>
      </c>
      <c r="BS95" s="22">
        <f t="shared" si="63"/>
        <v>106.31348303292292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67.151601499429191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180.18752244216969</v>
      </c>
      <c r="CE95" s="59">
        <f t="shared" si="94"/>
        <v>350.12096474554676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105.77249201455459</v>
      </c>
      <c r="CL95" s="21">
        <f>EXP(-LN(2)/25)*CL94+(1-EXP(-LN(2)/25))/(LN(2)/25)*Calculateur!CG95*Calculateur!CI95*VLOOKUP('Données projet'!$B$12,Paramètres!$A$1:$I$89,3,0)*0.475*44/12</f>
        <v>33.373845526649852</v>
      </c>
      <c r="CM95" s="21">
        <f>EXP(-LN(2)/2)*CM94+(1-EXP(-LN(2)/2))/(LN(2)/2)*CG95*CJ95*VLOOKUP('Données projet'!$B$12,Paramètres!$A$1:$I$89,3,0)*0.475*44/12</f>
        <v>2.4868718475899795E-6</v>
      </c>
      <c r="CN95" s="22">
        <f t="shared" si="66"/>
        <v>139.14634002807628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67.151601499429191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5.6843418860808015E-14</v>
      </c>
      <c r="CU95" s="17">
        <f>CT95*VLOOKUP('Données projet'!$B$13,Paramètres!$A$1:$I$89,3,0)*VLOOKUP('Données projet'!$B$13,Paramètres!$A$1:$I$89,5,0)</f>
        <v>4.5224624045658861E-14</v>
      </c>
      <c r="CV95" s="13">
        <f t="shared" si="95"/>
        <v>7.4514601661523691E-13</v>
      </c>
      <c r="CW95" s="20">
        <f t="shared" si="67"/>
        <v>1.3765621991510601E-12</v>
      </c>
      <c r="CX95" s="59">
        <f t="shared" si="68"/>
        <v>282.88920549790839</v>
      </c>
      <c r="CY95" s="59">
        <f ca="1">AVERAGE(OFFSET($CX$3,0,0,'Données projet'!$E$13+1,1))-AVERAGE(OFFSET($H$3,0,0,'Données projet'!$E$13+1,1))</f>
        <v>284.31574332240928</v>
      </c>
      <c r="CZ95" s="59">
        <f t="shared" si="96"/>
        <v>403.96994631683913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445.40687619089965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445.40687619089965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67.151601499429191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>
        <f>DO95*VLOOKUP('Données projet'!$B$14,Paramètres!$A$1:$I$89,3,0)*VLOOKUP('Données projet'!$B$14,Paramètres!$A$1:$I$89,5,0)</f>
        <v>0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190.9519472160006</v>
      </c>
      <c r="DU95" s="59">
        <f t="shared" si="98"/>
        <v>170.61553500287511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95.372028021182743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95.372028021182743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67.151601499429191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80.400000000000006</v>
      </c>
      <c r="EJ95" s="12">
        <f>IF('Données projet'!$A$192&gt;35,EJ94+EI95-ER94,IF(A95&lt;'Données projet'!$A$192,$EG$205^A95,IF(A95='Données projet'!$A$192,'Données projet'!$B$192,EJ94+EI95-ER94)))</f>
        <v>191.79999999999998</v>
      </c>
      <c r="EK95" s="17">
        <f>EJ95*VLOOKUP('Données projet'!$B$15,Paramètres!$A$1:$I$89,3,0)*VLOOKUP('Données projet'!$B$15,Paramètres!$A$1:$I$89,5,0)</f>
        <v>164.56440000000001</v>
      </c>
      <c r="EL95" s="13">
        <f t="shared" si="99"/>
        <v>41.87033714312475</v>
      </c>
      <c r="EM95" s="20">
        <f t="shared" si="73"/>
        <v>359.54050052427556</v>
      </c>
      <c r="EN95" s="59">
        <f t="shared" si="74"/>
        <v>642.42970602218259</v>
      </c>
      <c r="EO95" s="59">
        <f ca="1">AVERAGE(OFFSET($EN$3,0,0,'Données projet'!$E$15+1,1))-AVERAGE(OFFSET($H$3,0,0,'Données projet'!$E$15+1,1))</f>
        <v>331.94255128154623</v>
      </c>
      <c r="EP95" s="59">
        <f t="shared" si="100"/>
        <v>258.40809812013964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836.87798114956649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836.87798114956649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67.151601499429191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>
        <f>FE95*VLOOKUP('Données projet'!$B$16,Paramètres!$A$1:$I$89,3,0)*VLOOKUP('Données projet'!$B$16,Paramètres!$A$1:$I$89,5,0)</f>
        <v>0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290.72311302449236</v>
      </c>
      <c r="FK95" s="59">
        <f t="shared" si="102"/>
        <v>352.32552988394434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366.59552675785221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366.59552675785221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67.151601499429191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>
        <f>FZ95*VLOOKUP('Données projet'!$B$17,Paramètres!$A$1:$I$89,3,0)*VLOOKUP('Données projet'!$B$17,Paramètres!$A$1:$I$89,5,0)</f>
        <v>0</v>
      </c>
      <c r="GB95" s="13" t="e">
        <f t="shared" si="103"/>
        <v>#NUM!</v>
      </c>
      <c r="GC95" s="20" t="e">
        <f t="shared" si="79"/>
        <v>#NUM!</v>
      </c>
      <c r="GD95" s="59" t="e">
        <f t="shared" si="80"/>
        <v>#NUM!</v>
      </c>
      <c r="GE95" s="59">
        <f ca="1">AVERAGE(OFFSET($GD$3,0,0,'Données projet'!$E$17+1,1))-AVERAGE(OFFSET($H$3,0,0,'Données projet'!$E$17+1,1))</f>
        <v>123.03972959251965</v>
      </c>
      <c r="GF95" s="59">
        <f t="shared" si="104"/>
        <v>178.27657680839445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79.681724895146516</v>
      </c>
      <c r="GM95" s="21">
        <f>EXP(-LN(2)/25)*GM94+(1-EXP(-LN(2)/25))/(LN(2)/25)*Calculateur!GH95*Calculateur!GJ95*VLOOKUP('Données projet'!$B$17,Paramètres!$A$1:$I$89,3,0)*0.475*44/12</f>
        <v>18.252312403657189</v>
      </c>
      <c r="GN95" s="21">
        <f>EXP(-LN(2)/2)*GN94+(1-EXP(-LN(2)/2))/(LN(2)/2)*GH95*GK95*VLOOKUP('Données projet'!$B$17,Paramètres!$A$1:$I$89,3,0)*0.475*44/12</f>
        <v>4.9910935395012998E-3</v>
      </c>
      <c r="GO95" s="21">
        <f t="shared" si="81"/>
        <v>97.939028392343204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67.151601499429191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57.2</v>
      </c>
      <c r="GU95" s="12">
        <f>IF('Données projet'!$A$270&gt;35,GU94+GT95-HC94,IF(A95&lt;'Données projet'!$A$270,$GR$205^A95,IF(A95='Données projet'!$A$270,'Données projet'!$B$270,GU94+GT95-HC94)))</f>
        <v>161.39999999999958</v>
      </c>
      <c r="GV95" s="17">
        <f>GU95*VLOOKUP('Données projet'!$B$18,Paramètres!$A$1:$I$89,3,0)*VLOOKUP('Données projet'!$B$18,Paramètres!$A$1:$I$89,5,0)</f>
        <v>108.26711999999972</v>
      </c>
      <c r="GW95" s="13">
        <f t="shared" si="105"/>
        <v>28.922327983653954</v>
      </c>
      <c r="GX95" s="20">
        <f t="shared" si="82"/>
        <v>238.93828857153014</v>
      </c>
      <c r="GY95" s="59">
        <f t="shared" si="83"/>
        <v>521.82749406943719</v>
      </c>
      <c r="GZ95" s="59">
        <f ca="1">AVERAGE(OFFSET($GY$3,0,0,'Données projet'!$E$18+1,1))-AVERAGE(OFFSET($H$3,0,0,'Données projet'!$E$18+1,1))</f>
        <v>542.25674729323623</v>
      </c>
      <c r="HA95" s="59">
        <f t="shared" si="106"/>
        <v>614.73906555680685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265.10719822643171</v>
      </c>
      <c r="HH95" s="21">
        <f>EXP(-LN(2)/25)*HH94+(1-EXP(-LN(2)/25))/(LN(2)/25)*Calculateur!HC95*Calculateur!HE95*VLOOKUP('Données projet'!$B$18,Paramètres!$A$1:$I$89,3,0)*0.475*44/12</f>
        <v>0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265.10719822643171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2.8499999999999996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10.449999999999998</v>
      </c>
      <c r="H96" s="67">
        <f t="shared" si="56"/>
        <v>214.86666666666667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67.201014845349036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-1.0231815394945443E-12</v>
      </c>
      <c r="O96" s="13">
        <f>N96*VLOOKUP('Données projet'!$B$9,Paramètres!$A$1:$I$89,3,0)*VLOOKUP('Données projet'!$B$9,Paramètres!$A$1:$I$89,5,0)</f>
        <v>-8.9385139290243408E-13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686.80970545599644</v>
      </c>
      <c r="T96" s="59">
        <f t="shared" si="88"/>
        <v>636.16485232937737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134.19548344193217</v>
      </c>
      <c r="AA96" s="21">
        <f>EXP(-LN(2)/25)*AA95+(1-EXP(-LN(2)/25))/(LN(2)/25)*Calculateur!V96*Calculateur!X96*VLOOKUP('Données projet'!$B$9,Paramètres!$A$1:$I$89,3,0)*0.475*44/12</f>
        <v>15.914705867628667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150.11018930956084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67.201014845349036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6.1</v>
      </c>
      <c r="AI96" s="13">
        <f>IF('Données projet'!$A$62&gt;35,AI95+AH96-AQ95,IF(A96&lt;'Données projet'!$A$62,$AF$205^A96,IF(A96='Données projet'!$A$62,'Données projet'!$B$62,AI95+AH96-AQ95)))</f>
        <v>240.60000000000011</v>
      </c>
      <c r="AJ96" s="13">
        <f>AI96*VLOOKUP('Données projet'!$B$10,Paramètres!$A$1:$I$89,3,0)*VLOOKUP('Données projet'!$B$10,Paramètres!$A$1:$I$89,5,0)</f>
        <v>217.6948800000001</v>
      </c>
      <c r="AK96" s="13">
        <f t="shared" si="89"/>
        <v>53.613572561591688</v>
      </c>
      <c r="AL96" s="20">
        <f t="shared" si="58"/>
        <v>472.52888821143898</v>
      </c>
      <c r="AM96" s="59">
        <f t="shared" si="59"/>
        <v>755.59927597771878</v>
      </c>
      <c r="AN96" s="59">
        <f ca="1">AVERAGE(OFFSET($AM$3,0,0,'Données projet'!$E$10+1,1))-AVERAGE(OFFSET($H$3,0,0,'Données projet'!$E$10+1,1))</f>
        <v>323.67375363913726</v>
      </c>
      <c r="AO96" s="59">
        <f t="shared" si="90"/>
        <v>266.03902815735029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31.320551853350992</v>
      </c>
      <c r="AV96" s="21">
        <f>EXP(-LN(2)/25)*AV95+(1-EXP(-LN(2)/25))/(LN(2)/25)*Calculateur!AQ96*Calculateur!AS96*VLOOKUP('Données projet'!$B$10,Paramètres!$A$1:$I$89,3,0)*0.475*44/12</f>
        <v>24.05272557261144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55.373277425962428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67.201014845349036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371.46495716091965</v>
      </c>
      <c r="BJ96" s="59">
        <f t="shared" si="92"/>
        <v>579.95059529269417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85.877743337731246</v>
      </c>
      <c r="BQ96" s="21">
        <f>EXP(-LN(2)/25)*BQ95+(1-EXP(-LN(2)/25))/(LN(2)/25)*Calculateur!BL96*Calculateur!BN96*VLOOKUP('Données projet'!$B$11,Paramètres!$A$1:$I$89,3,0)*0.475*44/12</f>
        <v>18.206197462178039</v>
      </c>
      <c r="BR96" s="21">
        <f>EXP(-LN(2)/2)*BR95+(1-EXP(-LN(2)/2))/(LN(2)/2)*BL96*BO96*VLOOKUP('Données projet'!$B$11,Paramètres!$A$1:$I$89,3,0)*0.475*44/12</f>
        <v>2.3145588790673656E-6</v>
      </c>
      <c r="BS96" s="22">
        <f t="shared" si="63"/>
        <v>104.08394311446817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67.201014845349036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180.18752244216969</v>
      </c>
      <c r="CE96" s="59">
        <f t="shared" si="94"/>
        <v>350.12096474554676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103.69835796099899</v>
      </c>
      <c r="CL96" s="21">
        <f>EXP(-LN(2)/25)*CL95+(1-EXP(-LN(2)/25))/(LN(2)/25)*Calculateur!CG96*Calculateur!CI96*VLOOKUP('Données projet'!$B$12,Paramètres!$A$1:$I$89,3,0)*0.475*44/12</f>
        <v>32.461235965669353</v>
      </c>
      <c r="CM96" s="21">
        <f>EXP(-LN(2)/2)*CM95+(1-EXP(-LN(2)/2))/(LN(2)/2)*CG96*CJ96*VLOOKUP('Données projet'!$B$12,Paramètres!$A$1:$I$89,3,0)*0.475*44/12</f>
        <v>1.7584839473727928E-6</v>
      </c>
      <c r="CN96" s="22">
        <f t="shared" si="66"/>
        <v>136.15959568515231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67.201014845349036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5.6843418860808015E-14</v>
      </c>
      <c r="CU96" s="17">
        <f>CT96*VLOOKUP('Données projet'!$B$13,Paramètres!$A$1:$I$89,3,0)*VLOOKUP('Données projet'!$B$13,Paramètres!$A$1:$I$89,5,0)</f>
        <v>4.5224624045658861E-14</v>
      </c>
      <c r="CV96" s="13">
        <f t="shared" si="95"/>
        <v>7.4514601661523691E-13</v>
      </c>
      <c r="CW96" s="20">
        <f t="shared" si="67"/>
        <v>1.3765621991510601E-12</v>
      </c>
      <c r="CX96" s="59">
        <f t="shared" si="68"/>
        <v>283.07038776628116</v>
      </c>
      <c r="CY96" s="59">
        <f ca="1">AVERAGE(OFFSET($CX$3,0,0,'Données projet'!$E$13+1,1))-AVERAGE(OFFSET($H$3,0,0,'Données projet'!$E$13+1,1))</f>
        <v>284.31574332240928</v>
      </c>
      <c r="CZ96" s="59">
        <f t="shared" si="96"/>
        <v>403.96994631683913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436.67271902016529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436.67271902016529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67.201014845349036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>
        <f>DO96*VLOOKUP('Données projet'!$B$14,Paramètres!$A$1:$I$89,3,0)*VLOOKUP('Données projet'!$B$14,Paramètres!$A$1:$I$89,5,0)</f>
        <v>0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190.9519472160006</v>
      </c>
      <c r="DU96" s="59">
        <f t="shared" si="98"/>
        <v>170.61553500287511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93.501840722880516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93.501840722880516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67.201014845349036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80.400000000000006</v>
      </c>
      <c r="EJ96" s="12">
        <f>IF('Données projet'!$A$192&gt;35,EJ95+EI96-ER95,IF(A96&lt;'Données projet'!$A$192,$EG$205^A96,IF(A96='Données projet'!$A$192,'Données projet'!$B$192,EJ95+EI96-ER95)))</f>
        <v>272.2</v>
      </c>
      <c r="EK96" s="17">
        <f>EJ96*VLOOKUP('Données projet'!$B$15,Paramètres!$A$1:$I$89,3,0)*VLOOKUP('Données projet'!$B$15,Paramètres!$A$1:$I$89,5,0)</f>
        <v>233.54760000000002</v>
      </c>
      <c r="EL96" s="13">
        <f t="shared" si="99"/>
        <v>57.049070914480538</v>
      </c>
      <c r="EM96" s="20">
        <f t="shared" si="73"/>
        <v>506.12253517605359</v>
      </c>
      <c r="EN96" s="59">
        <f t="shared" si="74"/>
        <v>789.19292294233333</v>
      </c>
      <c r="EO96" s="59">
        <f ca="1">AVERAGE(OFFSET($EN$3,0,0,'Données projet'!$E$15+1,1))-AVERAGE(OFFSET($H$3,0,0,'Données projet'!$E$15+1,1))</f>
        <v>331.94255128154623</v>
      </c>
      <c r="EP96" s="59">
        <f t="shared" si="100"/>
        <v>258.40809812013964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820.46731438438974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820.46731438438974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67.201014845349036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>
        <f>FE96*VLOOKUP('Données projet'!$B$16,Paramètres!$A$1:$I$89,3,0)*VLOOKUP('Données projet'!$B$16,Paramètres!$A$1:$I$89,5,0)</f>
        <v>0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290.72311302449236</v>
      </c>
      <c r="FK96" s="59">
        <f t="shared" si="102"/>
        <v>352.32552988394434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359.40681207932329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359.40681207932329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67.201014845349036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>
        <f>FZ96*VLOOKUP('Données projet'!$B$17,Paramètres!$A$1:$I$89,3,0)*VLOOKUP('Données projet'!$B$17,Paramètres!$A$1:$I$89,5,0)</f>
        <v>0</v>
      </c>
      <c r="GB96" s="13" t="e">
        <f t="shared" si="103"/>
        <v>#NUM!</v>
      </c>
      <c r="GC96" s="20" t="e">
        <f t="shared" si="79"/>
        <v>#NUM!</v>
      </c>
      <c r="GD96" s="59" t="e">
        <f t="shared" si="80"/>
        <v>#NUM!</v>
      </c>
      <c r="GE96" s="59">
        <f ca="1">AVERAGE(OFFSET($GD$3,0,0,'Données projet'!$E$17+1,1))-AVERAGE(OFFSET($H$3,0,0,'Données projet'!$E$17+1,1))</f>
        <v>123.03972959251965</v>
      </c>
      <c r="GF96" s="59">
        <f t="shared" si="104"/>
        <v>178.27657680839445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78.119214871005923</v>
      </c>
      <c r="GM96" s="21">
        <f>EXP(-LN(2)/25)*GM95+(1-EXP(-LN(2)/25))/(LN(2)/25)*Calculateur!GH96*Calculateur!GJ96*VLOOKUP('Données projet'!$B$17,Paramètres!$A$1:$I$89,3,0)*0.475*44/12</f>
        <v>17.75320196113179</v>
      </c>
      <c r="GN96" s="21">
        <f>EXP(-LN(2)/2)*GN95+(1-EXP(-LN(2)/2))/(LN(2)/2)*GH96*GK96*VLOOKUP('Données projet'!$B$17,Paramètres!$A$1:$I$89,3,0)*0.475*44/12</f>
        <v>3.5292360873177366E-3</v>
      </c>
      <c r="GO96" s="21">
        <f t="shared" si="81"/>
        <v>95.875946068225034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67.201014845349036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57.2</v>
      </c>
      <c r="GU96" s="12">
        <f>IF('Données projet'!$A$270&gt;35,GU95+GT96-HC95,IF(A96&lt;'Données projet'!$A$270,$GR$205^A96,IF(A96='Données projet'!$A$270,'Données projet'!$B$270,GU95+GT96-HC95)))</f>
        <v>218.59999999999957</v>
      </c>
      <c r="GV96" s="17">
        <f>GU96*VLOOKUP('Données projet'!$B$18,Paramètres!$A$1:$I$89,3,0)*VLOOKUP('Données projet'!$B$18,Paramètres!$A$1:$I$89,5,0)</f>
        <v>146.63687999999971</v>
      </c>
      <c r="GW96" s="13">
        <f t="shared" si="105"/>
        <v>37.813298808440067</v>
      </c>
      <c r="GX96" s="20">
        <f t="shared" si="82"/>
        <v>321.25072809136594</v>
      </c>
      <c r="GY96" s="59">
        <f t="shared" si="83"/>
        <v>604.32111585764574</v>
      </c>
      <c r="GZ96" s="59">
        <f ca="1">AVERAGE(OFFSET($GY$3,0,0,'Données projet'!$E$18+1,1))-AVERAGE(OFFSET($H$3,0,0,'Données projet'!$E$18+1,1))</f>
        <v>542.25674729323623</v>
      </c>
      <c r="HA96" s="59">
        <f t="shared" si="106"/>
        <v>614.73906555680685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259.90860776863582</v>
      </c>
      <c r="HH96" s="21">
        <f>EXP(-LN(2)/25)*HH95+(1-EXP(-LN(2)/25))/(LN(2)/25)*Calculateur!HC96*Calculateur!HE96*VLOOKUP('Données projet'!$B$18,Paramètres!$A$1:$I$89,3,0)*0.475*44/12</f>
        <v>0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259.90860776863582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2.8499999999999996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10.449999999999998</v>
      </c>
      <c r="H97" s="67">
        <f t="shared" si="56"/>
        <v>214.86666666666667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67.249570980188892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-1.0231815394945443E-12</v>
      </c>
      <c r="O97" s="13">
        <f>N97*VLOOKUP('Données projet'!$B$9,Paramètres!$A$1:$I$89,3,0)*VLOOKUP('Données projet'!$B$9,Paramètres!$A$1:$I$89,5,0)</f>
        <v>-8.9385139290243408E-13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686.80970545599644</v>
      </c>
      <c r="T97" s="59">
        <f t="shared" si="88"/>
        <v>636.16485232937737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131.56399186279864</v>
      </c>
      <c r="AA97" s="21">
        <f>EXP(-LN(2)/25)*AA96+(1-EXP(-LN(2)/25))/(LN(2)/25)*Calculateur!V97*Calculateur!X97*VLOOKUP('Données projet'!$B$9,Paramètres!$A$1:$I$89,3,0)*0.475*44/12</f>
        <v>15.479517398760354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147.043509261559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67.249570980188892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6.1</v>
      </c>
      <c r="AI97" s="13">
        <f>IF('Données projet'!$A$62&gt;35,AI96+AH97-AQ96,IF(A97&lt;'Données projet'!$A$62,$AF$205^A97,IF(A97='Données projet'!$A$62,'Données projet'!$B$62,AI96+AH97-AQ96)))</f>
        <v>246.7000000000001</v>
      </c>
      <c r="AJ97" s="13">
        <f>AI97*VLOOKUP('Données projet'!$B$10,Paramètres!$A$1:$I$89,3,0)*VLOOKUP('Données projet'!$B$10,Paramètres!$A$1:$I$89,5,0)</f>
        <v>223.21416000000008</v>
      </c>
      <c r="AK97" s="13">
        <f t="shared" si="89"/>
        <v>54.812876722660327</v>
      </c>
      <c r="AL97" s="20">
        <f t="shared" si="58"/>
        <v>484.23042229196682</v>
      </c>
      <c r="AM97" s="59">
        <f t="shared" si="59"/>
        <v>767.47884921932609</v>
      </c>
      <c r="AN97" s="59">
        <f ca="1">AVERAGE(OFFSET($AM$3,0,0,'Données projet'!$E$10+1,1))-AVERAGE(OFFSET($H$3,0,0,'Données projet'!$E$10+1,1))</f>
        <v>323.67375363913726</v>
      </c>
      <c r="AO97" s="59">
        <f t="shared" si="90"/>
        <v>266.03902815735029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30.706374935157079</v>
      </c>
      <c r="AV97" s="21">
        <f>EXP(-LN(2)/25)*AV96+(1-EXP(-LN(2)/25))/(LN(2)/25)*Calculateur!AQ97*Calculateur!AS97*VLOOKUP('Données projet'!$B$10,Paramètres!$A$1:$I$89,3,0)*0.475*44/12</f>
        <v>23.395002526950517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54.101377462107592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67.249570980188892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371.46495716091965</v>
      </c>
      <c r="BJ97" s="59">
        <f t="shared" si="92"/>
        <v>579.95059529269417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84.193733171129651</v>
      </c>
      <c r="BQ97" s="21">
        <f>EXP(-LN(2)/25)*BQ96+(1-EXP(-LN(2)/25))/(LN(2)/25)*Calculateur!BL97*Calculateur!BN97*VLOOKUP('Données projet'!$B$11,Paramètres!$A$1:$I$89,3,0)*0.475*44/12</f>
        <v>17.708348035152468</v>
      </c>
      <c r="BR97" s="21">
        <f>EXP(-LN(2)/2)*BR96+(1-EXP(-LN(2)/2))/(LN(2)/2)*BL97*BO97*VLOOKUP('Données projet'!$B$11,Paramètres!$A$1:$I$89,3,0)*0.475*44/12</f>
        <v>1.6366402788440685E-6</v>
      </c>
      <c r="BS97" s="22">
        <f t="shared" si="63"/>
        <v>101.9020828429224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67.249570980188892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180.18752244216969</v>
      </c>
      <c r="CE97" s="59">
        <f t="shared" si="94"/>
        <v>350.12096474554676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101.66489641113677</v>
      </c>
      <c r="CL97" s="21">
        <f>EXP(-LN(2)/25)*CL96+(1-EXP(-LN(2)/25))/(LN(2)/25)*Calculateur!CG97*Calculateur!CI97*VLOOKUP('Données projet'!$B$12,Paramètres!$A$1:$I$89,3,0)*0.475*44/12</f>
        <v>31.573581761125915</v>
      </c>
      <c r="CM97" s="21">
        <f>EXP(-LN(2)/2)*CM96+(1-EXP(-LN(2)/2))/(LN(2)/2)*CG97*CJ97*VLOOKUP('Données projet'!$B$12,Paramètres!$A$1:$I$89,3,0)*0.475*44/12</f>
        <v>1.2434359237949898E-6</v>
      </c>
      <c r="CN97" s="22">
        <f t="shared" si="66"/>
        <v>133.23847941569861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67.249570980188892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5.6843418860808015E-14</v>
      </c>
      <c r="CU97" s="17">
        <f>CT97*VLOOKUP('Données projet'!$B$13,Paramètres!$A$1:$I$89,3,0)*VLOOKUP('Données projet'!$B$13,Paramètres!$A$1:$I$89,5,0)</f>
        <v>4.5224624045658861E-14</v>
      </c>
      <c r="CV97" s="13">
        <f t="shared" si="95"/>
        <v>7.4514601661523691E-13</v>
      </c>
      <c r="CW97" s="20">
        <f t="shared" si="67"/>
        <v>1.3765621991510601E-12</v>
      </c>
      <c r="CX97" s="59">
        <f t="shared" si="68"/>
        <v>283.24842692736064</v>
      </c>
      <c r="CY97" s="59">
        <f ca="1">AVERAGE(OFFSET($CX$3,0,0,'Données projet'!$E$13+1,1))-AVERAGE(OFFSET($H$3,0,0,'Données projet'!$E$13+1,1))</f>
        <v>284.31574332240928</v>
      </c>
      <c r="CZ97" s="59">
        <f t="shared" si="96"/>
        <v>403.96994631683913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428.10983334423918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428.10983334423918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67.249570980188892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>
        <f>DO97*VLOOKUP('Données projet'!$B$14,Paramètres!$A$1:$I$89,3,0)*VLOOKUP('Données projet'!$B$14,Paramètres!$A$1:$I$89,5,0)</f>
        <v>0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190.9519472160006</v>
      </c>
      <c r="DU97" s="59">
        <f t="shared" si="98"/>
        <v>170.61553500287511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91.668326656796381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91.668326656796381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67.249570980188892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80.400000000000006</v>
      </c>
      <c r="EJ97" s="12">
        <f>IF('Données projet'!$A$192&gt;35,EJ96+EI97-ER96,IF(A97&lt;'Données projet'!$A$192,$EG$205^A97,IF(A97='Données projet'!$A$192,'Données projet'!$B$192,EJ96+EI97-ER96)))</f>
        <v>352.6</v>
      </c>
      <c r="EK97" s="17">
        <f>EJ97*VLOOKUP('Données projet'!$B$15,Paramètres!$A$1:$I$89,3,0)*VLOOKUP('Données projet'!$B$15,Paramètres!$A$1:$I$89,5,0)</f>
        <v>302.53080000000006</v>
      </c>
      <c r="EL97" s="13">
        <f t="shared" si="99"/>
        <v>71.706756690602205</v>
      </c>
      <c r="EM97" s="20">
        <f t="shared" si="73"/>
        <v>651.79707790279895</v>
      </c>
      <c r="EN97" s="59">
        <f t="shared" si="74"/>
        <v>935.04550483015828</v>
      </c>
      <c r="EO97" s="59">
        <f ca="1">AVERAGE(OFFSET($EN$3,0,0,'Données projet'!$E$15+1,1))-AVERAGE(OFFSET($H$3,0,0,'Données projet'!$E$15+1,1))</f>
        <v>331.94255128154623</v>
      </c>
      <c r="EP97" s="59">
        <f t="shared" si="100"/>
        <v>258.40809812013964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804.37845078495968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804.37845078495968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67.249570980188892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>
        <f>FE97*VLOOKUP('Données projet'!$B$16,Paramètres!$A$1:$I$89,3,0)*VLOOKUP('Données projet'!$B$16,Paramètres!$A$1:$I$89,5,0)</f>
        <v>0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290.72311302449236</v>
      </c>
      <c r="FK97" s="59">
        <f t="shared" si="102"/>
        <v>352.32552988394434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352.35906371095729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352.35906371095729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67.249570980188892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>
        <f>FZ97*VLOOKUP('Données projet'!$B$17,Paramètres!$A$1:$I$89,3,0)*VLOOKUP('Données projet'!$B$17,Paramètres!$A$1:$I$89,5,0)</f>
        <v>0</v>
      </c>
      <c r="GB97" s="13" t="e">
        <f t="shared" si="103"/>
        <v>#NUM!</v>
      </c>
      <c r="GC97" s="20" t="e">
        <f t="shared" si="79"/>
        <v>#NUM!</v>
      </c>
      <c r="GD97" s="59" t="e">
        <f t="shared" si="80"/>
        <v>#NUM!</v>
      </c>
      <c r="GE97" s="59">
        <f ca="1">AVERAGE(OFFSET($GD$3,0,0,'Données projet'!$E$17+1,1))-AVERAGE(OFFSET($H$3,0,0,'Données projet'!$E$17+1,1))</f>
        <v>123.03972959251965</v>
      </c>
      <c r="GF97" s="59">
        <f t="shared" si="104"/>
        <v>178.27657680839445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76.587344715401713</v>
      </c>
      <c r="GM97" s="21">
        <f>EXP(-LN(2)/25)*GM96+(1-EXP(-LN(2)/25))/(LN(2)/25)*Calculateur!GH97*Calculateur!GJ97*VLOOKUP('Données projet'!$B$17,Paramètres!$A$1:$I$89,3,0)*0.475*44/12</f>
        <v>17.267739719904327</v>
      </c>
      <c r="GN97" s="21">
        <f>EXP(-LN(2)/2)*GN96+(1-EXP(-LN(2)/2))/(LN(2)/2)*GH97*GK97*VLOOKUP('Données projet'!$B$17,Paramètres!$A$1:$I$89,3,0)*0.475*44/12</f>
        <v>2.4955467697506499E-3</v>
      </c>
      <c r="GO97" s="21">
        <f t="shared" si="81"/>
        <v>93.857579982075791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67.249570980188892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57.2</v>
      </c>
      <c r="GU97" s="12">
        <f>IF('Données projet'!$A$270&gt;35,GU96+GT97-HC96,IF(A97&lt;'Données projet'!$A$270,$GR$205^A97,IF(A97='Données projet'!$A$270,'Données projet'!$B$270,GU96+GT97-HC96)))</f>
        <v>275.79999999999956</v>
      </c>
      <c r="GV97" s="17">
        <f>GU97*VLOOKUP('Données projet'!$B$18,Paramètres!$A$1:$I$89,3,0)*VLOOKUP('Données projet'!$B$18,Paramètres!$A$1:$I$89,5,0)</f>
        <v>185.00663999999972</v>
      </c>
      <c r="GW97" s="13">
        <f t="shared" si="105"/>
        <v>46.434286546462346</v>
      </c>
      <c r="GX97" s="20">
        <f t="shared" si="82"/>
        <v>403.09294706842144</v>
      </c>
      <c r="GY97" s="59">
        <f t="shared" si="83"/>
        <v>686.34137399578071</v>
      </c>
      <c r="GZ97" s="59">
        <f ca="1">AVERAGE(OFFSET($GY$3,0,0,'Données projet'!$E$18+1,1))-AVERAGE(OFFSET($H$3,0,0,'Données projet'!$E$18+1,1))</f>
        <v>542.25674729323623</v>
      </c>
      <c r="HA97" s="59">
        <f t="shared" si="106"/>
        <v>614.73906555680685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254.81195849889022</v>
      </c>
      <c r="HH97" s="21">
        <f>EXP(-LN(2)/25)*HH96+(1-EXP(-LN(2)/25))/(LN(2)/25)*Calculateur!HC97*Calculateur!HE97*VLOOKUP('Données projet'!$B$18,Paramètres!$A$1:$I$89,3,0)*0.475*44/12</f>
        <v>0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254.81195849889022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2.8499999999999996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10.449999999999998</v>
      </c>
      <c r="H98" s="67">
        <f t="shared" si="56"/>
        <v>214.86666666666667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67.297284774644524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-1.0231815394945443E-12</v>
      </c>
      <c r="O98" s="13">
        <f>N98*VLOOKUP('Données projet'!$B$9,Paramètres!$A$1:$I$89,3,0)*VLOOKUP('Données projet'!$B$9,Paramètres!$A$1:$I$89,5,0)</f>
        <v>-8.9385139290243408E-13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686.80970545599644</v>
      </c>
      <c r="T98" s="59">
        <f t="shared" si="88"/>
        <v>636.16485232937737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128.98410222848057</v>
      </c>
      <c r="AA98" s="21">
        <f>EXP(-LN(2)/25)*AA97+(1-EXP(-LN(2)/25))/(LN(2)/25)*Calculateur!V98*Calculateur!X98*VLOOKUP('Données projet'!$B$9,Paramètres!$A$1:$I$89,3,0)*0.475*44/12</f>
        <v>15.056229181458811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144.04033140993937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67.297284774644524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6.1</v>
      </c>
      <c r="AI98" s="13">
        <f>IF('Données projet'!$A$62&gt;35,AI97+AH98-AQ97,IF(A98&lt;'Données projet'!$A$62,$AF$205^A98,IF(A98='Données projet'!$A$62,'Données projet'!$B$62,AI97+AH98-AQ97)))</f>
        <v>252.8000000000001</v>
      </c>
      <c r="AJ98" s="13">
        <f>AI98*VLOOKUP('Données projet'!$B$10,Paramètres!$A$1:$I$89,3,0)*VLOOKUP('Données projet'!$B$10,Paramètres!$A$1:$I$89,5,0)</f>
        <v>228.73344000000009</v>
      </c>
      <c r="AK98" s="13">
        <f t="shared" si="89"/>
        <v>56.008733695918131</v>
      </c>
      <c r="AL98" s="20">
        <f t="shared" si="58"/>
        <v>495.92595252039081</v>
      </c>
      <c r="AM98" s="59">
        <f t="shared" si="59"/>
        <v>779.34933002742071</v>
      </c>
      <c r="AN98" s="59">
        <f ca="1">AVERAGE(OFFSET($AM$3,0,0,'Données projet'!$E$10+1,1))-AVERAGE(OFFSET($H$3,0,0,'Données projet'!$E$10+1,1))</f>
        <v>323.67375363913726</v>
      </c>
      <c r="AO98" s="59">
        <f t="shared" si="90"/>
        <v>266.03902815735029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30.10424165171802</v>
      </c>
      <c r="AV98" s="21">
        <f>EXP(-LN(2)/25)*AV97+(1-EXP(-LN(2)/25))/(LN(2)/25)*Calculateur!AQ98*Calculateur!AS98*VLOOKUP('Données projet'!$B$10,Paramètres!$A$1:$I$89,3,0)*0.475*44/12</f>
        <v>22.75526495256134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52.85950660427936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67.297284774644524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371.46495716091965</v>
      </c>
      <c r="BJ98" s="59">
        <f t="shared" si="92"/>
        <v>579.95059529269417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82.542745416750336</v>
      </c>
      <c r="BQ98" s="21">
        <f>EXP(-LN(2)/25)*BQ97+(1-EXP(-LN(2)/25))/(LN(2)/25)*Calculateur!BL98*Calculateur!BN98*VLOOKUP('Données projet'!$B$11,Paramètres!$A$1:$I$89,3,0)*0.475*44/12</f>
        <v>17.224112326889674</v>
      </c>
      <c r="BR98" s="21">
        <f>EXP(-LN(2)/2)*BR97+(1-EXP(-LN(2)/2))/(LN(2)/2)*BL98*BO98*VLOOKUP('Données projet'!$B$11,Paramètres!$A$1:$I$89,3,0)*0.475*44/12</f>
        <v>1.1572794395336828E-6</v>
      </c>
      <c r="BS98" s="22">
        <f t="shared" si="63"/>
        <v>99.766858900919445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67.297284774644524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180.18752244216969</v>
      </c>
      <c r="CE98" s="59">
        <f t="shared" si="94"/>
        <v>350.12096474554676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99.671309801978254</v>
      </c>
      <c r="CL98" s="21">
        <f>EXP(-LN(2)/25)*CL97+(1-EXP(-LN(2)/25))/(LN(2)/25)*Calculateur!CG98*Calculateur!CI98*VLOOKUP('Données projet'!$B$12,Paramètres!$A$1:$I$89,3,0)*0.475*44/12</f>
        <v>30.710200507485425</v>
      </c>
      <c r="CM98" s="21">
        <f>EXP(-LN(2)/2)*CM97+(1-EXP(-LN(2)/2))/(LN(2)/2)*CG98*CJ98*VLOOKUP('Données projet'!$B$12,Paramètres!$A$1:$I$89,3,0)*0.475*44/12</f>
        <v>8.7924197368639642E-7</v>
      </c>
      <c r="CN98" s="22">
        <f t="shared" si="66"/>
        <v>130.38151118870567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67.297284774644524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5.6843418860808015E-14</v>
      </c>
      <c r="CU98" s="17">
        <f>CT98*VLOOKUP('Données projet'!$B$13,Paramètres!$A$1:$I$89,3,0)*VLOOKUP('Données projet'!$B$13,Paramètres!$A$1:$I$89,5,0)</f>
        <v>4.5224624045658861E-14</v>
      </c>
      <c r="CV98" s="13">
        <f t="shared" si="95"/>
        <v>7.4514601661523691E-13</v>
      </c>
      <c r="CW98" s="20">
        <f t="shared" si="67"/>
        <v>1.3765621991510601E-12</v>
      </c>
      <c r="CX98" s="59">
        <f t="shared" si="68"/>
        <v>283.42337750703126</v>
      </c>
      <c r="CY98" s="59">
        <f ca="1">AVERAGE(OFFSET($CX$3,0,0,'Données projet'!$E$13+1,1))-AVERAGE(OFFSET($H$3,0,0,'Données projet'!$E$13+1,1))</f>
        <v>284.31574332240928</v>
      </c>
      <c r="CZ98" s="59">
        <f t="shared" si="96"/>
        <v>403.96994631683913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419.71486063357344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419.71486063357344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67.297284774644524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>
        <f>DO98*VLOOKUP('Données projet'!$B$14,Paramètres!$A$1:$I$89,3,0)*VLOOKUP('Données projet'!$B$14,Paramètres!$A$1:$I$89,5,0)</f>
        <v>0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190.9519472160006</v>
      </c>
      <c r="DU98" s="59">
        <f t="shared" si="98"/>
        <v>170.61553500287511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89.870766683214995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89.870766683214995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67.297284774644524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>
        <f>VLOOKUP(A98,'Données projet'!$A$191:$I$211,2,0)</f>
        <v>433</v>
      </c>
      <c r="EH98" s="12">
        <f>VLOOKUP(A98,'Données projet'!$A$191:$I$211,9,0)</f>
        <v>80.400000000000006</v>
      </c>
      <c r="EI98" s="12">
        <f t="array" ref="EI98">INDEX(EH:EH,MIN(IF(ISNUMBER(EH98:EH294),ROW(EH98:EH294),"")))</f>
        <v>80.400000000000006</v>
      </c>
      <c r="EJ98" s="12">
        <f>IF('Données projet'!$A$192&gt;35,EJ97+EI98-ER97,IF(A98&lt;'Données projet'!$A$192,$EG$205^A98,IF(A98='Données projet'!$A$192,'Données projet'!$B$192,EJ97+EI98-ER97)))</f>
        <v>433</v>
      </c>
      <c r="EK98" s="17">
        <f>EJ98*VLOOKUP('Données projet'!$B$15,Paramètres!$A$1:$I$89,3,0)*VLOOKUP('Données projet'!$B$15,Paramètres!$A$1:$I$89,5,0)</f>
        <v>371.51400000000001</v>
      </c>
      <c r="EL98" s="13">
        <f t="shared" si="99"/>
        <v>85.976970392781084</v>
      </c>
      <c r="EM98" s="20">
        <f t="shared" si="73"/>
        <v>796.79677343409367</v>
      </c>
      <c r="EN98" s="59">
        <f t="shared" si="74"/>
        <v>1080.2201509411236</v>
      </c>
      <c r="EO98" s="59">
        <f ca="1">AVERAGE(OFFSET($EN$3,0,0,'Données projet'!$E$15+1,1))-AVERAGE(OFFSET($H$3,0,0,'Données projet'!$E$15+1,1))</f>
        <v>331.94255128154623</v>
      </c>
      <c r="EP98" s="59">
        <f t="shared" si="100"/>
        <v>258.40809812013964</v>
      </c>
      <c r="EQ98" s="15">
        <f>IF(ISNA(VLOOKUP(A98,'Données projet'!$A$191:$I$211,3,0)),0,VLOOKUP(A98,'Données projet'!$A$191:$I$211,3,0))</f>
        <v>16</v>
      </c>
      <c r="ER98" s="15">
        <f>IF(ISNA(VLOOKUP(A98,'Données projet'!$A$191:$I$211,4,0)),0,VLOOKUP(A98,'Données projet'!$A$191:$I$211,4,0))</f>
        <v>403</v>
      </c>
      <c r="ES98" s="16">
        <f>IF(ISNA(VLOOKUP(A98,'Données projet'!$A$191:$I$211,5,0)),0%,VLOOKUP(A98,'Données projet'!$A$191:$I$211,5,0)*VLOOKUP('Données projet'!$B$15,Paramètres!$A$1:$I$89,7,0))</f>
        <v>0.42400000000000004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950.67607595283016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950.67607595283016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67.297284774644524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>
        <f>FE98*VLOOKUP('Données projet'!$B$16,Paramètres!$A$1:$I$89,3,0)*VLOOKUP('Données projet'!$B$16,Paramètres!$A$1:$I$89,5,0)</f>
        <v>0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290.72311302449236</v>
      </c>
      <c r="FK98" s="59">
        <f t="shared" si="102"/>
        <v>352.32552988394434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345.44951738939289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345.44951738939289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67.297284774644524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>
        <f>FZ98*VLOOKUP('Données projet'!$B$17,Paramètres!$A$1:$I$89,3,0)*VLOOKUP('Données projet'!$B$17,Paramètres!$A$1:$I$89,5,0)</f>
        <v>0</v>
      </c>
      <c r="GB98" s="13" t="e">
        <f t="shared" si="103"/>
        <v>#NUM!</v>
      </c>
      <c r="GC98" s="20" t="e">
        <f t="shared" si="79"/>
        <v>#NUM!</v>
      </c>
      <c r="GD98" s="59" t="e">
        <f t="shared" si="80"/>
        <v>#NUM!</v>
      </c>
      <c r="GE98" s="59">
        <f ca="1">AVERAGE(OFFSET($GD$3,0,0,'Données projet'!$E$17+1,1))-AVERAGE(OFFSET($H$3,0,0,'Données projet'!$E$17+1,1))</f>
        <v>123.03972959251965</v>
      </c>
      <c r="GF98" s="59">
        <f t="shared" si="104"/>
        <v>178.27657680839445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75.085513599200368</v>
      </c>
      <c r="GM98" s="21">
        <f>EXP(-LN(2)/25)*GM97+(1-EXP(-LN(2)/25))/(LN(2)/25)*Calculateur!GH98*Calculateur!GJ98*VLOOKUP('Données projet'!$B$17,Paramètres!$A$1:$I$89,3,0)*0.475*44/12</f>
        <v>16.795552469192579</v>
      </c>
      <c r="GN98" s="21">
        <f>EXP(-LN(2)/2)*GN97+(1-EXP(-LN(2)/2))/(LN(2)/2)*GH98*GK98*VLOOKUP('Données projet'!$B$17,Paramètres!$A$1:$I$89,3,0)*0.475*44/12</f>
        <v>1.7646180436588683E-3</v>
      </c>
      <c r="GO98" s="21">
        <f t="shared" si="81"/>
        <v>91.88283068643662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67.297284774644524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57.2</v>
      </c>
      <c r="GU98" s="12">
        <f>IF('Données projet'!$A$270&gt;35,GU97+GT98-HC97,IF(A98&lt;'Données projet'!$A$270,$GR$205^A98,IF(A98='Données projet'!$A$270,'Données projet'!$B$270,GU97+GT98-HC97)))</f>
        <v>332.99999999999955</v>
      </c>
      <c r="GV98" s="17">
        <f>GU98*VLOOKUP('Données projet'!$B$18,Paramètres!$A$1:$I$89,3,0)*VLOOKUP('Données projet'!$B$18,Paramètres!$A$1:$I$89,5,0)</f>
        <v>223.37639999999971</v>
      </c>
      <c r="GW98" s="13">
        <f t="shared" si="105"/>
        <v>54.848077814326366</v>
      </c>
      <c r="GX98" s="20">
        <f t="shared" si="82"/>
        <v>484.57429885995117</v>
      </c>
      <c r="GY98" s="59">
        <f t="shared" si="83"/>
        <v>767.99767636698107</v>
      </c>
      <c r="GZ98" s="59">
        <f ca="1">AVERAGE(OFFSET($GY$3,0,0,'Données projet'!$E$18+1,1))-AVERAGE(OFFSET($H$3,0,0,'Données projet'!$E$18+1,1))</f>
        <v>542.25674729323623</v>
      </c>
      <c r="HA98" s="59">
        <f t="shared" si="106"/>
        <v>614.73906555680685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249.81525141267522</v>
      </c>
      <c r="HH98" s="21">
        <f>EXP(-LN(2)/25)*HH97+(1-EXP(-LN(2)/25))/(LN(2)/25)*Calculateur!HC98*Calculateur!HE98*VLOOKUP('Données projet'!$B$18,Paramètres!$A$1:$I$89,3,0)*0.475*44/12</f>
        <v>0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249.81525141267522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2.8499999999999996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10.449999999999998</v>
      </c>
      <c r="H99" s="67">
        <f t="shared" si="56"/>
        <v>214.86666666666667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67.344170841438398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-1.0231815394945443E-12</v>
      </c>
      <c r="O99" s="13">
        <f>N99*VLOOKUP('Données projet'!$B$9,Paramètres!$A$1:$I$89,3,0)*VLOOKUP('Données projet'!$B$9,Paramètres!$A$1:$I$89,5,0)</f>
        <v>-8.9385139290243408E-13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686.80970545599644</v>
      </c>
      <c r="T99" s="59">
        <f t="shared" si="88"/>
        <v>636.16485232937737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126.45480265631416</v>
      </c>
      <c r="AA99" s="21">
        <f>EXP(-LN(2)/25)*AA98+(1-EXP(-LN(2)/25))/(LN(2)/25)*Calculateur!V99*Calculateur!X99*VLOOKUP('Données projet'!$B$9,Paramètres!$A$1:$I$89,3,0)*0.475*44/12</f>
        <v>14.644515802719138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141.0993184590333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67.344170841438398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6.1</v>
      </c>
      <c r="AI99" s="13">
        <f>IF('Données projet'!$A$62&gt;35,AI98+AH99-AQ98,IF(A99&lt;'Données projet'!$A$62,$AF$205^A99,IF(A99='Données projet'!$A$62,'Données projet'!$B$62,AI98+AH99-AQ98)))</f>
        <v>258.90000000000009</v>
      </c>
      <c r="AJ99" s="13">
        <f>AI99*VLOOKUP('Données projet'!$B$10,Paramètres!$A$1:$I$89,3,0)*VLOOKUP('Données projet'!$B$10,Paramètres!$A$1:$I$89,5,0)</f>
        <v>234.25272000000007</v>
      </c>
      <c r="AK99" s="13">
        <f t="shared" si="89"/>
        <v>57.20123623117135</v>
      </c>
      <c r="AL99" s="20">
        <f t="shared" si="58"/>
        <v>507.61564043595689</v>
      </c>
      <c r="AM99" s="59">
        <f t="shared" si="59"/>
        <v>791.21093352123103</v>
      </c>
      <c r="AN99" s="59">
        <f ca="1">AVERAGE(OFFSET($AM$3,0,0,'Données projet'!$E$10+1,1))-AVERAGE(OFFSET($H$3,0,0,'Données projet'!$E$10+1,1))</f>
        <v>323.67375363913726</v>
      </c>
      <c r="AO99" s="59">
        <f t="shared" si="90"/>
        <v>266.03902815735029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29.513915834702164</v>
      </c>
      <c r="AV99" s="21">
        <f>EXP(-LN(2)/25)*AV98+(1-EXP(-LN(2)/25))/(LN(2)/25)*Calculateur!AQ99*Calculateur!AS99*VLOOKUP('Données projet'!$B$10,Paramètres!$A$1:$I$89,3,0)*0.475*44/12</f>
        <v>22.133021035786175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51.646936870488339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67.344170841438398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371.46495716091965</v>
      </c>
      <c r="BJ99" s="59">
        <f t="shared" si="92"/>
        <v>579.95059529269417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80.9241325252313</v>
      </c>
      <c r="BQ99" s="21">
        <f>EXP(-LN(2)/25)*BQ98+(1-EXP(-LN(2)/25))/(LN(2)/25)*Calculateur!BL99*Calculateur!BN99*VLOOKUP('Données projet'!$B$11,Paramètres!$A$1:$I$89,3,0)*0.475*44/12</f>
        <v>16.753118069534175</v>
      </c>
      <c r="BR99" s="21">
        <f>EXP(-LN(2)/2)*BR98+(1-EXP(-LN(2)/2))/(LN(2)/2)*BL99*BO99*VLOOKUP('Données projet'!$B$11,Paramètres!$A$1:$I$89,3,0)*0.475*44/12</f>
        <v>8.1832013942203423E-7</v>
      </c>
      <c r="BS99" s="22">
        <f t="shared" si="63"/>
        <v>97.677251413085614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67.344170841438398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180.18752244216969</v>
      </c>
      <c r="CE99" s="59">
        <f t="shared" si="94"/>
        <v>350.12096474554676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97.716816210257576</v>
      </c>
      <c r="CL99" s="21">
        <f>EXP(-LN(2)/25)*CL98+(1-EXP(-LN(2)/25))/(LN(2)/25)*Calculateur!CG99*Calculateur!CI99*VLOOKUP('Données projet'!$B$12,Paramètres!$A$1:$I$89,3,0)*0.475*44/12</f>
        <v>29.870428459628979</v>
      </c>
      <c r="CM99" s="21">
        <f>EXP(-LN(2)/2)*CM98+(1-EXP(-LN(2)/2))/(LN(2)/2)*CG99*CJ99*VLOOKUP('Données projet'!$B$12,Paramètres!$A$1:$I$89,3,0)*0.475*44/12</f>
        <v>6.2171796189749488E-7</v>
      </c>
      <c r="CN99" s="22">
        <f t="shared" si="66"/>
        <v>127.58724529160452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67.344170841438398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5.6843418860808015E-14</v>
      </c>
      <c r="CU99" s="17">
        <f>CT99*VLOOKUP('Données projet'!$B$13,Paramètres!$A$1:$I$89,3,0)*VLOOKUP('Données projet'!$B$13,Paramètres!$A$1:$I$89,5,0)</f>
        <v>4.5224624045658861E-14</v>
      </c>
      <c r="CV99" s="13">
        <f t="shared" si="95"/>
        <v>7.4514601661523691E-13</v>
      </c>
      <c r="CW99" s="20">
        <f t="shared" si="67"/>
        <v>1.3765621991510601E-12</v>
      </c>
      <c r="CX99" s="59">
        <f t="shared" si="68"/>
        <v>283.5952930852755</v>
      </c>
      <c r="CY99" s="59">
        <f ca="1">AVERAGE(OFFSET($CX$3,0,0,'Données projet'!$E$13+1,1))-AVERAGE(OFFSET($H$3,0,0,'Données projet'!$E$13+1,1))</f>
        <v>284.31574332240928</v>
      </c>
      <c r="CZ99" s="59">
        <f t="shared" si="96"/>
        <v>403.96994631683913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411.48450821733604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411.48450821733604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67.344170841438398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>
        <f>DO99*VLOOKUP('Données projet'!$B$14,Paramètres!$A$1:$I$89,3,0)*VLOOKUP('Données projet'!$B$14,Paramètres!$A$1:$I$89,5,0)</f>
        <v>0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190.9519472160006</v>
      </c>
      <c r="DU99" s="59">
        <f t="shared" si="98"/>
        <v>170.61553500287511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88.108455764312225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88.108455764312225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67.344170841438398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83</v>
      </c>
      <c r="EJ99" s="12">
        <f>IF('Données projet'!$A$192&gt;35,EJ98+EI99-ER98,IF(A99&lt;'Données projet'!$A$192,$EG$205^A99,IF(A99='Données projet'!$A$192,'Données projet'!$B$192,EJ98+EI99-ER98)))</f>
        <v>113</v>
      </c>
      <c r="EK99" s="17">
        <f>EJ99*VLOOKUP('Données projet'!$B$15,Paramètres!$A$1:$I$89,3,0)*VLOOKUP('Données projet'!$B$15,Paramètres!$A$1:$I$89,5,0)</f>
        <v>96.954000000000008</v>
      </c>
      <c r="EL99" s="13">
        <f t="shared" si="99"/>
        <v>26.235028787012197</v>
      </c>
      <c r="EM99" s="20">
        <f t="shared" si="73"/>
        <v>214.55422513737958</v>
      </c>
      <c r="EN99" s="59">
        <f t="shared" si="74"/>
        <v>498.14951822265368</v>
      </c>
      <c r="EO99" s="59">
        <f ca="1">AVERAGE(OFFSET($EN$3,0,0,'Données projet'!$E$15+1,1))-AVERAGE(OFFSET($H$3,0,0,'Données projet'!$E$15+1,1))</f>
        <v>331.94255128154623</v>
      </c>
      <c r="EP99" s="59">
        <f t="shared" si="100"/>
        <v>258.40809812013964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932.03389795854559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932.03389795854559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67.344170841438398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>
        <f>FE99*VLOOKUP('Données projet'!$B$16,Paramètres!$A$1:$I$89,3,0)*VLOOKUP('Données projet'!$B$16,Paramètres!$A$1:$I$89,5,0)</f>
        <v>0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290.72311302449236</v>
      </c>
      <c r="FK99" s="59">
        <f t="shared" si="102"/>
        <v>352.32552988394434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338.67546305678729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338.67546305678729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67.344170841438398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>
        <f>FZ99*VLOOKUP('Données projet'!$B$17,Paramètres!$A$1:$I$89,3,0)*VLOOKUP('Données projet'!$B$17,Paramètres!$A$1:$I$89,5,0)</f>
        <v>0</v>
      </c>
      <c r="GB99" s="13" t="e">
        <f t="shared" si="103"/>
        <v>#NUM!</v>
      </c>
      <c r="GC99" s="20" t="e">
        <f t="shared" si="79"/>
        <v>#NUM!</v>
      </c>
      <c r="GD99" s="59" t="e">
        <f t="shared" si="80"/>
        <v>#NUM!</v>
      </c>
      <c r="GE99" s="59">
        <f ca="1">AVERAGE(OFFSET($GD$3,0,0,'Données projet'!$E$17+1,1))-AVERAGE(OFFSET($H$3,0,0,'Données projet'!$E$17+1,1))</f>
        <v>123.03972959251965</v>
      </c>
      <c r="GF99" s="59">
        <f t="shared" si="104"/>
        <v>178.27657680839445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73.613132475161208</v>
      </c>
      <c r="GM99" s="21">
        <f>EXP(-LN(2)/25)*GM98+(1-EXP(-LN(2)/25))/(LN(2)/25)*Calculateur!GH99*Calculateur!GJ99*VLOOKUP('Données projet'!$B$17,Paramètres!$A$1:$I$89,3,0)*0.475*44/12</f>
        <v>16.336277203682791</v>
      </c>
      <c r="GN99" s="21">
        <f>EXP(-LN(2)/2)*GN98+(1-EXP(-LN(2)/2))/(LN(2)/2)*GH99*GK99*VLOOKUP('Données projet'!$B$17,Paramètres!$A$1:$I$89,3,0)*0.475*44/12</f>
        <v>1.247773384875325E-3</v>
      </c>
      <c r="GO99" s="21">
        <f t="shared" si="81"/>
        <v>89.950657452228882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67.344170841438398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57.2</v>
      </c>
      <c r="GU99" s="12">
        <f>IF('Données projet'!$A$270&gt;35,GU98+GT99-HC98,IF(A99&lt;'Données projet'!$A$270,$GR$205^A99,IF(A99='Données projet'!$A$270,'Données projet'!$B$270,GU98+GT99-HC98)))</f>
        <v>390.19999999999953</v>
      </c>
      <c r="GV99" s="17">
        <f>GU99*VLOOKUP('Données projet'!$B$18,Paramètres!$A$1:$I$89,3,0)*VLOOKUP('Données projet'!$B$18,Paramètres!$A$1:$I$89,5,0)</f>
        <v>261.74615999999969</v>
      </c>
      <c r="GW99" s="13">
        <f t="shared" si="105"/>
        <v>63.094443580097291</v>
      </c>
      <c r="GX99" s="20">
        <f t="shared" si="82"/>
        <v>565.7640512353355</v>
      </c>
      <c r="GY99" s="59">
        <f t="shared" si="83"/>
        <v>849.35934432060958</v>
      </c>
      <c r="GZ99" s="59">
        <f ca="1">AVERAGE(OFFSET($GY$3,0,0,'Données projet'!$E$18+1,1))-AVERAGE(OFFSET($H$3,0,0,'Données projet'!$E$18+1,1))</f>
        <v>542.25674729323623</v>
      </c>
      <c r="HA99" s="59">
        <f t="shared" si="106"/>
        <v>614.73906555680685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244.9165267047305</v>
      </c>
      <c r="HH99" s="21">
        <f>EXP(-LN(2)/25)*HH98+(1-EXP(-LN(2)/25))/(LN(2)/25)*Calculateur!HC99*Calculateur!HE99*VLOOKUP('Données projet'!$B$18,Paramètres!$A$1:$I$89,3,0)*0.475*44/12</f>
        <v>0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244.9165267047305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2.8499999999999996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10.449999999999998</v>
      </c>
      <c r="H100" s="67">
        <f t="shared" si="56"/>
        <v>214.86666666666667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67.390243539794952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-1.0231815394945443E-12</v>
      </c>
      <c r="O100" s="13">
        <f>N100*VLOOKUP('Données projet'!$B$9,Paramètres!$A$1:$I$89,3,0)*VLOOKUP('Données projet'!$B$9,Paramètres!$A$1:$I$89,5,0)</f>
        <v>-8.9385139290243408E-13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686.80970545599644</v>
      </c>
      <c r="T100" s="59">
        <f t="shared" si="88"/>
        <v>636.16485232937737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123.97510110603753</v>
      </c>
      <c r="AA100" s="21">
        <f>EXP(-LN(2)/25)*AA99+(1-EXP(-LN(2)/25))/(LN(2)/25)*Calculateur!V100*Calculateur!X100*VLOOKUP('Données projet'!$B$9,Paramètres!$A$1:$I$89,3,0)*0.475*44/12</f>
        <v>14.244060747972167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138.21916185400968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67.390243539794952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>
        <f>VLOOKUP(A100,'Données projet'!$A$61:$I$81,2,0)</f>
        <v>265</v>
      </c>
      <c r="AG100" s="12">
        <f>VLOOKUP(A100,'Données projet'!$A$61:$I$81,9,0)</f>
        <v>6.1</v>
      </c>
      <c r="AH100" s="12">
        <f t="array" ref="AH100">INDEX(AG:AG,MIN(IF(ISNUMBER(AG100:AG296),ROW(AG100:AG296),"")))</f>
        <v>6.1</v>
      </c>
      <c r="AI100" s="13">
        <f>IF('Données projet'!$A$62&gt;35,AI99+AH100-AQ99,IF(A100&lt;'Données projet'!$A$62,$AF$205^A100,IF(A100='Données projet'!$A$62,'Données projet'!$B$62,AI99+AH100-AQ99)))</f>
        <v>265.00000000000011</v>
      </c>
      <c r="AJ100" s="13">
        <f>AI100*VLOOKUP('Données projet'!$B$10,Paramètres!$A$1:$I$89,3,0)*VLOOKUP('Données projet'!$B$10,Paramètres!$A$1:$I$89,5,0)</f>
        <v>239.77200000000008</v>
      </c>
      <c r="AK100" s="13">
        <f t="shared" si="89"/>
        <v>58.390472458309681</v>
      </c>
      <c r="AL100" s="20">
        <f t="shared" si="58"/>
        <v>519.29963953155618</v>
      </c>
      <c r="AM100" s="59">
        <f t="shared" si="59"/>
        <v>803.06386584413758</v>
      </c>
      <c r="AN100" s="59">
        <f ca="1">AVERAGE(OFFSET($AM$3,0,0,'Données projet'!$E$10+1,1))-AVERAGE(OFFSET($H$3,0,0,'Données projet'!$E$10+1,1))</f>
        <v>323.67375363913726</v>
      </c>
      <c r="AO100" s="59">
        <f t="shared" si="90"/>
        <v>266.03902815735029</v>
      </c>
      <c r="AP100" s="15">
        <f>IF(ISNA(VLOOKUP(A100,'Données projet'!$A$61:$I$81,3,0)),0,VLOOKUP(A100,'Données projet'!$A$61:$I$81,3,0))</f>
        <v>9</v>
      </c>
      <c r="AQ100" s="15">
        <f>IF(ISNA(VLOOKUP(A100,'Données projet'!$A$61:$I$81,4,0)),0,VLOOKUP(A100,'Données projet'!$A$61:$I$81,4,0))</f>
        <v>265</v>
      </c>
      <c r="AR100" s="16">
        <f>IF(ISNA(VLOOKUP(A100,'Données projet'!$A$61:$I$81,5,0)),0%,VLOOKUP(A100,'Données projet'!$A$61:$I$81,5,0)*VLOOKUP('Données projet'!$B$10,Paramètres!$A$1:$I$89,7,0))</f>
        <v>0.30099999999999999</v>
      </c>
      <c r="AS100" s="16">
        <f>IF(ISNA(VLOOKUP(A100,'Données projet'!$A$61:$I$81,6,0)),0%,VLOOKUP(A100,'Données projet'!$A$61:$I$81,6,0)*VLOOKUP('Données projet'!$B$10,Paramètres!$A$1:$I$89,7,0))</f>
        <v>4.3000000000000003E-2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108.71847994314851</v>
      </c>
      <c r="AV100" s="21">
        <f>EXP(-LN(2)/25)*AV99+(1-EXP(-LN(2)/25))/(LN(2)/25)*Calculateur!AQ100*Calculateur!AS100*VLOOKUP('Données projet'!$B$10,Paramètres!$A$1:$I$89,3,0)*0.475*44/12</f>
        <v>32.880531938669691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141.5990118818182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67.390243539794952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371.46495716091965</v>
      </c>
      <c r="BJ100" s="59">
        <f t="shared" si="92"/>
        <v>579.95059529269417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79.33725964525857</v>
      </c>
      <c r="BQ100" s="21">
        <f>EXP(-LN(2)/25)*BQ99+(1-EXP(-LN(2)/25))/(LN(2)/25)*Calculateur!BL100*Calculateur!BN100*VLOOKUP('Données projet'!$B$11,Paramètres!$A$1:$I$89,3,0)*0.475*44/12</f>
        <v>16.295003174914573</v>
      </c>
      <c r="BR100" s="21">
        <f>EXP(-LN(2)/2)*BR99+(1-EXP(-LN(2)/2))/(LN(2)/2)*BL100*BO100*VLOOKUP('Données projet'!$B$11,Paramètres!$A$1:$I$89,3,0)*0.475*44/12</f>
        <v>5.7863971976684141E-7</v>
      </c>
      <c r="BS100" s="22">
        <f t="shared" si="63"/>
        <v>95.632263398812853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67.390243539794952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180.18752244216969</v>
      </c>
      <c r="CE100" s="59">
        <f t="shared" si="94"/>
        <v>350.12096474554676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95.800649045747164</v>
      </c>
      <c r="CL100" s="21">
        <f>EXP(-LN(2)/25)*CL99+(1-EXP(-LN(2)/25))/(LN(2)/25)*Calculateur!CG100*Calculateur!CI100*VLOOKUP('Données projet'!$B$12,Paramètres!$A$1:$I$89,3,0)*0.475*44/12</f>
        <v>29.053620022582862</v>
      </c>
      <c r="CM100" s="21">
        <f>EXP(-LN(2)/2)*CM99+(1-EXP(-LN(2)/2))/(LN(2)/2)*CG100*CJ100*VLOOKUP('Données projet'!$B$12,Paramètres!$A$1:$I$89,3,0)*0.475*44/12</f>
        <v>4.3962098684319821E-7</v>
      </c>
      <c r="CN100" s="22">
        <f t="shared" si="66"/>
        <v>124.85426950795102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67.390243539794952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5.6843418860808015E-14</v>
      </c>
      <c r="CU100" s="17">
        <f>CT100*VLOOKUP('Données projet'!$B$13,Paramètres!$A$1:$I$89,3,0)*VLOOKUP('Données projet'!$B$13,Paramètres!$A$1:$I$89,5,0)</f>
        <v>4.5224624045658861E-14</v>
      </c>
      <c r="CV100" s="13">
        <f t="shared" si="95"/>
        <v>7.4514601661523691E-13</v>
      </c>
      <c r="CW100" s="20">
        <f t="shared" si="67"/>
        <v>1.3765621991510601E-12</v>
      </c>
      <c r="CX100" s="59">
        <f t="shared" si="68"/>
        <v>283.76422631258282</v>
      </c>
      <c r="CY100" s="59">
        <f ca="1">AVERAGE(OFFSET($CX$3,0,0,'Données projet'!$E$13+1,1))-AVERAGE(OFFSET($H$3,0,0,'Données projet'!$E$13+1,1))</f>
        <v>284.31574332240928</v>
      </c>
      <c r="CZ100" s="59">
        <f t="shared" si="96"/>
        <v>403.96994631683913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403.41554799196183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403.41554799196183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67.390243539794952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>
        <f>DO100*VLOOKUP('Données projet'!$B$14,Paramètres!$A$1:$I$89,3,0)*VLOOKUP('Données projet'!$B$14,Paramètres!$A$1:$I$89,5,0)</f>
        <v>0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190.9519472160006</v>
      </c>
      <c r="DU100" s="59">
        <f t="shared" si="98"/>
        <v>170.61553500287511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86.380702687625615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86.380702687625615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67.390243539794952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83</v>
      </c>
      <c r="EJ100" s="12">
        <f>IF('Données projet'!$A$192&gt;35,EJ99+EI100-ER99,IF(A100&lt;'Données projet'!$A$192,$EG$205^A100,IF(A100='Données projet'!$A$192,'Données projet'!$B$192,EJ99+EI100-ER99)))</f>
        <v>196</v>
      </c>
      <c r="EK100" s="17">
        <f>EJ100*VLOOKUP('Données projet'!$B$15,Paramètres!$A$1:$I$89,3,0)*VLOOKUP('Données projet'!$B$15,Paramètres!$A$1:$I$89,5,0)</f>
        <v>168.16800000000003</v>
      </c>
      <c r="EL100" s="13">
        <f t="shared" si="99"/>
        <v>42.679458149319565</v>
      </c>
      <c r="EM100" s="20">
        <f t="shared" si="73"/>
        <v>367.22598961006497</v>
      </c>
      <c r="EN100" s="59">
        <f t="shared" si="74"/>
        <v>650.99021592264648</v>
      </c>
      <c r="EO100" s="59">
        <f ca="1">AVERAGE(OFFSET($EN$3,0,0,'Données projet'!$E$15+1,1))-AVERAGE(OFFSET($H$3,0,0,'Données projet'!$E$15+1,1))</f>
        <v>331.94255128154623</v>
      </c>
      <c r="EP100" s="59">
        <f t="shared" si="100"/>
        <v>258.40809812013964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913.7572817041231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913.7572817041231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67.390243539794952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>
        <f>FE100*VLOOKUP('Données projet'!$B$16,Paramètres!$A$1:$I$89,3,0)*VLOOKUP('Données projet'!$B$16,Paramètres!$A$1:$I$89,5,0)</f>
        <v>0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290.72311302449236</v>
      </c>
      <c r="FK100" s="59">
        <f t="shared" si="102"/>
        <v>352.32552988394434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332.0342437978789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332.0342437978789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67.390243539794952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>
        <f>FZ100*VLOOKUP('Données projet'!$B$17,Paramètres!$A$1:$I$89,3,0)*VLOOKUP('Données projet'!$B$17,Paramètres!$A$1:$I$89,5,0)</f>
        <v>0</v>
      </c>
      <c r="GB100" s="13" t="e">
        <f t="shared" si="103"/>
        <v>#NUM!</v>
      </c>
      <c r="GC100" s="20" t="e">
        <f t="shared" si="79"/>
        <v>#NUM!</v>
      </c>
      <c r="GD100" s="59" t="e">
        <f t="shared" si="80"/>
        <v>#NUM!</v>
      </c>
      <c r="GE100" s="59">
        <f ca="1">AVERAGE(OFFSET($GD$3,0,0,'Données projet'!$E$17+1,1))-AVERAGE(OFFSET($H$3,0,0,'Données projet'!$E$17+1,1))</f>
        <v>123.03972959251965</v>
      </c>
      <c r="GF100" s="59">
        <f t="shared" si="104"/>
        <v>178.27657680839445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72.169623846900649</v>
      </c>
      <c r="GM100" s="21">
        <f>EXP(-LN(2)/25)*GM99+(1-EXP(-LN(2)/25))/(LN(2)/25)*Calculateur!GH100*Calculateur!GJ100*VLOOKUP('Données projet'!$B$17,Paramètres!$A$1:$I$89,3,0)*0.475*44/12</f>
        <v>15.889560844460604</v>
      </c>
      <c r="GN100" s="21">
        <f>EXP(-LN(2)/2)*GN99+(1-EXP(-LN(2)/2))/(LN(2)/2)*GH100*GK100*VLOOKUP('Données projet'!$B$17,Paramètres!$A$1:$I$89,3,0)*0.475*44/12</f>
        <v>8.8230902182943416E-4</v>
      </c>
      <c r="GO100" s="21">
        <f t="shared" si="81"/>
        <v>88.060067000383086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67.390243539794952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57.2</v>
      </c>
      <c r="GU100" s="12">
        <f>IF('Données projet'!$A$270&gt;35,GU99+GT100-HC99,IF(A100&lt;'Données projet'!$A$270,$GR$205^A100,IF(A100='Données projet'!$A$270,'Données projet'!$B$270,GU99+GT100-HC99)))</f>
        <v>447.39999999999952</v>
      </c>
      <c r="GV100" s="17">
        <f>GU100*VLOOKUP('Données projet'!$B$18,Paramètres!$A$1:$I$89,3,0)*VLOOKUP('Données projet'!$B$18,Paramètres!$A$1:$I$89,5,0)</f>
        <v>300.11591999999968</v>
      </c>
      <c r="GW100" s="13">
        <f t="shared" si="105"/>
        <v>71.200764213804192</v>
      </c>
      <c r="GX100" s="20">
        <f t="shared" si="82"/>
        <v>646.70989167237508</v>
      </c>
      <c r="GY100" s="59">
        <f t="shared" si="83"/>
        <v>930.47411798495659</v>
      </c>
      <c r="GZ100" s="59">
        <f ca="1">AVERAGE(OFFSET($GY$3,0,0,'Données projet'!$E$18+1,1))-AVERAGE(OFFSET($H$3,0,0,'Données projet'!$E$18+1,1))</f>
        <v>542.25674729323623</v>
      </c>
      <c r="HA100" s="59">
        <f t="shared" si="106"/>
        <v>614.73906555680685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240.11386300038154</v>
      </c>
      <c r="HH100" s="21">
        <f>EXP(-LN(2)/25)*HH99+(1-EXP(-LN(2)/25))/(LN(2)/25)*Calculateur!HC100*Calculateur!HE100*VLOOKUP('Données projet'!$B$18,Paramètres!$A$1:$I$89,3,0)*0.475*44/12</f>
        <v>0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240.11386300038154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2.8499999999999996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10.449999999999998</v>
      </c>
      <c r="H101" s="67">
        <f t="shared" si="56"/>
        <v>214.86666666666667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67.435516979838141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-1.0231815394945443E-12</v>
      </c>
      <c r="O101" s="13">
        <f>N101*VLOOKUP('Données projet'!$B$9,Paramètres!$A$1:$I$89,3,0)*VLOOKUP('Données projet'!$B$9,Paramètres!$A$1:$I$89,5,0)</f>
        <v>-8.9385139290243408E-13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686.80970545599644</v>
      </c>
      <c r="T101" s="59">
        <f t="shared" si="88"/>
        <v>636.16485232937737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121.54402499069322</v>
      </c>
      <c r="AA101" s="21">
        <f>EXP(-LN(2)/25)*AA100+(1-EXP(-LN(2)/25))/(LN(2)/25)*Calculateur!V101*Calculateur!X101*VLOOKUP('Données projet'!$B$9,Paramètres!$A$1:$I$89,3,0)*0.475*44/12</f>
        <v>13.854556157756269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135.39858114844949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67.435516979838141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1.1368683772161603E-13</v>
      </c>
      <c r="AJ101" s="13">
        <f>AI101*VLOOKUP('Données projet'!$B$10,Paramètres!$A$1:$I$89,3,0)*VLOOKUP('Données projet'!$B$10,Paramètres!$A$1:$I$89,5,0)</f>
        <v>1.0286385077051818E-13</v>
      </c>
      <c r="AK101" s="13">
        <f t="shared" si="89"/>
        <v>1.5402366592183556E-12</v>
      </c>
      <c r="AL101" s="20">
        <f t="shared" si="58"/>
        <v>2.8617333882306215E-12</v>
      </c>
      <c r="AM101" s="59">
        <f t="shared" si="59"/>
        <v>283.93022892607604</v>
      </c>
      <c r="AN101" s="59">
        <f ca="1">AVERAGE(OFFSET($AM$3,0,0,'Données projet'!$E$10+1,1))-AVERAGE(OFFSET($H$3,0,0,'Données projet'!$E$10+1,1))</f>
        <v>323.67375363913726</v>
      </c>
      <c r="AO101" s="59">
        <f t="shared" si="90"/>
        <v>266.03902815735029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106.5865768631884</v>
      </c>
      <c r="AV101" s="21">
        <f>EXP(-LN(2)/25)*AV100+(1-EXP(-LN(2)/25))/(LN(2)/25)*Calculateur!AQ101*Calculateur!AS101*VLOOKUP('Données projet'!$B$10,Paramètres!$A$1:$I$89,3,0)*0.475*44/12</f>
        <v>31.981412063694744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138.56798892688315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67.435516979838141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371.46495716091965</v>
      </c>
      <c r="BJ101" s="59">
        <f t="shared" si="92"/>
        <v>579.95059529269417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77.78150437456523</v>
      </c>
      <c r="BQ101" s="21">
        <f>EXP(-LN(2)/25)*BQ100+(1-EXP(-LN(2)/25))/(LN(2)/25)*Calculateur!BL101*Calculateur!BN101*VLOOKUP('Données projet'!$B$11,Paramètres!$A$1:$I$89,3,0)*0.475*44/12</f>
        <v>15.84941545617956</v>
      </c>
      <c r="BR101" s="21">
        <f>EXP(-LN(2)/2)*BR100+(1-EXP(-LN(2)/2))/(LN(2)/2)*BL101*BO101*VLOOKUP('Données projet'!$B$11,Paramètres!$A$1:$I$89,3,0)*0.475*44/12</f>
        <v>4.0916006971101712E-7</v>
      </c>
      <c r="BS101" s="22">
        <f t="shared" si="63"/>
        <v>93.630920239904853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67.435516979838141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180.18752244216969</v>
      </c>
      <c r="CE101" s="59">
        <f t="shared" si="94"/>
        <v>350.12096474554676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93.922056750586236</v>
      </c>
      <c r="CL101" s="21">
        <f>EXP(-LN(2)/25)*CL100+(1-EXP(-LN(2)/25))/(LN(2)/25)*Calculateur!CG101*Calculateur!CI101*VLOOKUP('Données projet'!$B$12,Paramètres!$A$1:$I$89,3,0)*0.475*44/12</f>
        <v>28.25914725520186</v>
      </c>
      <c r="CM101" s="21">
        <f>EXP(-LN(2)/2)*CM100+(1-EXP(-LN(2)/2))/(LN(2)/2)*CG101*CJ101*VLOOKUP('Données projet'!$B$12,Paramètres!$A$1:$I$89,3,0)*0.475*44/12</f>
        <v>3.1085898094874744E-7</v>
      </c>
      <c r="CN101" s="22">
        <f t="shared" si="66"/>
        <v>122.18120431664707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67.435516979838141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5.6843418860808015E-14</v>
      </c>
      <c r="CU101" s="17">
        <f>CT101*VLOOKUP('Données projet'!$B$13,Paramètres!$A$1:$I$89,3,0)*VLOOKUP('Données projet'!$B$13,Paramètres!$A$1:$I$89,5,0)</f>
        <v>4.5224624045658861E-14</v>
      </c>
      <c r="CV101" s="13">
        <f t="shared" si="95"/>
        <v>7.4514601661523691E-13</v>
      </c>
      <c r="CW101" s="20">
        <f t="shared" si="67"/>
        <v>1.3765621991510601E-12</v>
      </c>
      <c r="CX101" s="59">
        <f t="shared" si="68"/>
        <v>283.93022892607456</v>
      </c>
      <c r="CY101" s="59">
        <f ca="1">AVERAGE(OFFSET($CX$3,0,0,'Données projet'!$E$13+1,1))-AVERAGE(OFFSET($H$3,0,0,'Données projet'!$E$13+1,1))</f>
        <v>284.31574332240928</v>
      </c>
      <c r="CZ101" s="59">
        <f t="shared" si="96"/>
        <v>403.96994631683913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395.50481515502742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395.50481515502742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67.435516979838141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>
        <f>DO101*VLOOKUP('Données projet'!$B$14,Paramètres!$A$1:$I$89,3,0)*VLOOKUP('Données projet'!$B$14,Paramètres!$A$1:$I$89,5,0)</f>
        <v>0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190.9519472160006</v>
      </c>
      <c r="DU101" s="59">
        <f t="shared" si="98"/>
        <v>170.61553500287511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84.686829794947499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84.686829794947499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67.435516979838141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83</v>
      </c>
      <c r="EJ101" s="12">
        <f>IF('Données projet'!$A$192&gt;35,EJ100+EI101-ER100,IF(A101&lt;'Données projet'!$A$192,$EG$205^A101,IF(A101='Données projet'!$A$192,'Données projet'!$B$192,EJ100+EI101-ER100)))</f>
        <v>279</v>
      </c>
      <c r="EK101" s="17">
        <f>EJ101*VLOOKUP('Données projet'!$B$15,Paramètres!$A$1:$I$89,3,0)*VLOOKUP('Données projet'!$B$15,Paramètres!$A$1:$I$89,5,0)</f>
        <v>239.38200000000003</v>
      </c>
      <c r="EL101" s="13">
        <f t="shared" si="99"/>
        <v>58.306544825667189</v>
      </c>
      <c r="EM101" s="20">
        <f t="shared" si="73"/>
        <v>518.47421557137034</v>
      </c>
      <c r="EN101" s="59">
        <f t="shared" si="74"/>
        <v>802.40444449744359</v>
      </c>
      <c r="EO101" s="59">
        <f ca="1">AVERAGE(OFFSET($EN$3,0,0,'Données projet'!$E$15+1,1))-AVERAGE(OFFSET($H$3,0,0,'Données projet'!$E$15+1,1))</f>
        <v>331.94255128154623</v>
      </c>
      <c r="EP101" s="59">
        <f t="shared" si="100"/>
        <v>258.40809812013964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895.83905874681466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895.83905874681466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67.435516979838141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>
        <f>FE101*VLOOKUP('Données projet'!$B$16,Paramètres!$A$1:$I$89,3,0)*VLOOKUP('Données projet'!$B$16,Paramètres!$A$1:$I$89,5,0)</f>
        <v>0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290.72311302449236</v>
      </c>
      <c r="FK101" s="59">
        <f t="shared" si="102"/>
        <v>352.32552988394434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325.52325479789391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325.52325479789391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67.435516979838141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>
        <f>FZ101*VLOOKUP('Données projet'!$B$17,Paramètres!$A$1:$I$89,3,0)*VLOOKUP('Données projet'!$B$17,Paramètres!$A$1:$I$89,5,0)</f>
        <v>0</v>
      </c>
      <c r="GB101" s="13" t="e">
        <f t="shared" si="103"/>
        <v>#NUM!</v>
      </c>
      <c r="GC101" s="20" t="e">
        <f t="shared" si="79"/>
        <v>#NUM!</v>
      </c>
      <c r="GD101" s="59" t="e">
        <f t="shared" si="80"/>
        <v>#NUM!</v>
      </c>
      <c r="GE101" s="59">
        <f ca="1">AVERAGE(OFFSET($GD$3,0,0,'Données projet'!$E$17+1,1))-AVERAGE(OFFSET($H$3,0,0,'Données projet'!$E$17+1,1))</f>
        <v>123.03972959251965</v>
      </c>
      <c r="GF101" s="59">
        <f t="shared" si="104"/>
        <v>178.27657680839445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70.75442154238695</v>
      </c>
      <c r="GM101" s="21">
        <f>EXP(-LN(2)/25)*GM100+(1-EXP(-LN(2)/25))/(LN(2)/25)*Calculateur!GH101*Calculateur!GJ101*VLOOKUP('Données projet'!$B$17,Paramètres!$A$1:$I$89,3,0)*0.475*44/12</f>
        <v>15.45505996757314</v>
      </c>
      <c r="GN101" s="21">
        <f>EXP(-LN(2)/2)*GN100+(1-EXP(-LN(2)/2))/(LN(2)/2)*GH101*GK101*VLOOKUP('Données projet'!$B$17,Paramètres!$A$1:$I$89,3,0)*0.475*44/12</f>
        <v>6.2388669243766248E-4</v>
      </c>
      <c r="GO101" s="21">
        <f t="shared" si="81"/>
        <v>86.210105396652523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67.435516979838141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57.2</v>
      </c>
      <c r="GU101" s="12">
        <f>IF('Données projet'!$A$270&gt;35,GU100+GT101-HC100,IF(A101&lt;'Données projet'!$A$270,$GR$205^A101,IF(A101='Données projet'!$A$270,'Données projet'!$B$270,GU100+GT101-HC100)))</f>
        <v>504.59999999999951</v>
      </c>
      <c r="GV101" s="17">
        <f>GU101*VLOOKUP('Données projet'!$B$18,Paramètres!$A$1:$I$89,3,0)*VLOOKUP('Données projet'!$B$18,Paramètres!$A$1:$I$89,5,0)</f>
        <v>338.48567999999966</v>
      </c>
      <c r="GW101" s="13">
        <f t="shared" si="105"/>
        <v>79.186997086969441</v>
      </c>
      <c r="GX101" s="20">
        <f t="shared" si="82"/>
        <v>727.44657925980437</v>
      </c>
      <c r="GY101" s="59">
        <f t="shared" si="83"/>
        <v>1011.3768081858775</v>
      </c>
      <c r="GZ101" s="59">
        <f ca="1">AVERAGE(OFFSET($GY$3,0,0,'Données projet'!$E$18+1,1))-AVERAGE(OFFSET($H$3,0,0,'Données projet'!$E$18+1,1))</f>
        <v>542.25674729323623</v>
      </c>
      <c r="HA101" s="59">
        <f t="shared" si="106"/>
        <v>614.73906555680685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235.40537660193925</v>
      </c>
      <c r="HH101" s="21">
        <f>EXP(-LN(2)/25)*HH100+(1-EXP(-LN(2)/25))/(LN(2)/25)*Calculateur!HC101*Calculateur!HE101*VLOOKUP('Données projet'!$B$18,Paramètres!$A$1:$I$89,3,0)*0.475*44/12</f>
        <v>0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235.40537660193925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2.8499999999999996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10.449999999999998</v>
      </c>
      <c r="H102" s="67">
        <f t="shared" si="56"/>
        <v>214.86666666666667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67.480005026912835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-1.0231815394945443E-12</v>
      </c>
      <c r="O102" s="13">
        <f>N102*VLOOKUP('Données projet'!$B$9,Paramètres!$A$1:$I$89,3,0)*VLOOKUP('Données projet'!$B$9,Paramètres!$A$1:$I$89,5,0)</f>
        <v>-8.9385139290243408E-13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686.80970545599644</v>
      </c>
      <c r="T102" s="59">
        <f t="shared" si="88"/>
        <v>636.16485232937737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119.1606207951608</v>
      </c>
      <c r="AA102" s="21">
        <f>EXP(-LN(2)/25)*AA101+(1-EXP(-LN(2)/25))/(LN(2)/25)*Calculateur!V102*Calculateur!X102*VLOOKUP('Données projet'!$B$9,Paramètres!$A$1:$I$89,3,0)*0.475*44/12</f>
        <v>13.47570259104298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132.63632338620377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67.480005026912835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1.1368683772161603E-13</v>
      </c>
      <c r="AJ102" s="13">
        <f>AI102*VLOOKUP('Données projet'!$B$10,Paramètres!$A$1:$I$89,3,0)*VLOOKUP('Données projet'!$B$10,Paramètres!$A$1:$I$89,5,0)</f>
        <v>1.0286385077051818E-13</v>
      </c>
      <c r="AK102" s="13">
        <f t="shared" si="89"/>
        <v>1.5402366592183556E-12</v>
      </c>
      <c r="AL102" s="20">
        <f t="shared" si="58"/>
        <v>2.8617333882306215E-12</v>
      </c>
      <c r="AM102" s="59">
        <f t="shared" si="59"/>
        <v>284.09335176534989</v>
      </c>
      <c r="AN102" s="59">
        <f ca="1">AVERAGE(OFFSET($AM$3,0,0,'Données projet'!$E$10+1,1))-AVERAGE(OFFSET($H$3,0,0,'Données projet'!$E$10+1,1))</f>
        <v>323.67375363913726</v>
      </c>
      <c r="AO102" s="59">
        <f t="shared" si="90"/>
        <v>266.03902815735029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104.49647910229382</v>
      </c>
      <c r="AV102" s="21">
        <f>EXP(-LN(2)/25)*AV101+(1-EXP(-LN(2)/25))/(LN(2)/25)*Calculateur!AQ102*Calculateur!AS102*VLOOKUP('Données projet'!$B$10,Paramètres!$A$1:$I$89,3,0)*0.475*44/12</f>
        <v>31.106878668983647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135.60335777127747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67.480005026912835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371.46495716091965</v>
      </c>
      <c r="BJ102" s="59">
        <f t="shared" si="92"/>
        <v>579.95059529269417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76.256256515813163</v>
      </c>
      <c r="BQ102" s="21">
        <f>EXP(-LN(2)/25)*BQ101+(1-EXP(-LN(2)/25))/(LN(2)/25)*Calculateur!BL102*Calculateur!BN102*VLOOKUP('Données projet'!$B$11,Paramètres!$A$1:$I$89,3,0)*0.475*44/12</f>
        <v>15.416012357045796</v>
      </c>
      <c r="BR102" s="21">
        <f>EXP(-LN(2)/2)*BR101+(1-EXP(-LN(2)/2))/(LN(2)/2)*BL102*BO102*VLOOKUP('Données projet'!$B$11,Paramètres!$A$1:$I$89,3,0)*0.475*44/12</f>
        <v>2.8931985988342071E-7</v>
      </c>
      <c r="BS102" s="22">
        <f t="shared" si="63"/>
        <v>91.672269162178821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67.480005026912835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180.18752244216969</v>
      </c>
      <c r="CE102" s="59">
        <f t="shared" si="94"/>
        <v>350.12096474554676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92.080302504505255</v>
      </c>
      <c r="CL102" s="21">
        <f>EXP(-LN(2)/25)*CL101+(1-EXP(-LN(2)/25))/(LN(2)/25)*Calculateur!CG102*Calculateur!CI102*VLOOKUP('Données projet'!$B$12,Paramètres!$A$1:$I$89,3,0)*0.475*44/12</f>
        <v>27.486399387424399</v>
      </c>
      <c r="CM102" s="21">
        <f>EXP(-LN(2)/2)*CM101+(1-EXP(-LN(2)/2))/(LN(2)/2)*CG102*CJ102*VLOOKUP('Données projet'!$B$12,Paramètres!$A$1:$I$89,3,0)*0.475*44/12</f>
        <v>2.198104934215991E-7</v>
      </c>
      <c r="CN102" s="22">
        <f t="shared" si="66"/>
        <v>119.56670211174014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67.480005026912835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5.6843418860808015E-14</v>
      </c>
      <c r="CU102" s="17">
        <f>CT102*VLOOKUP('Données projet'!$B$13,Paramètres!$A$1:$I$89,3,0)*VLOOKUP('Données projet'!$B$13,Paramètres!$A$1:$I$89,5,0)</f>
        <v>4.5224624045658861E-14</v>
      </c>
      <c r="CV102" s="13">
        <f t="shared" si="95"/>
        <v>7.4514601661523691E-13</v>
      </c>
      <c r="CW102" s="20">
        <f t="shared" si="67"/>
        <v>1.3765621991510601E-12</v>
      </c>
      <c r="CX102" s="59">
        <f t="shared" si="68"/>
        <v>284.09335176534842</v>
      </c>
      <c r="CY102" s="59">
        <f ca="1">AVERAGE(OFFSET($CX$3,0,0,'Données projet'!$E$13+1,1))-AVERAGE(OFFSET($H$3,0,0,'Données projet'!$E$13+1,1))</f>
        <v>284.31574332240928</v>
      </c>
      <c r="CZ102" s="59">
        <f t="shared" si="96"/>
        <v>403.96994631683913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387.74920696395469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387.74920696395469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67.480005026912835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>
        <f>DO102*VLOOKUP('Données projet'!$B$14,Paramètres!$A$1:$I$89,3,0)*VLOOKUP('Données projet'!$B$14,Paramètres!$A$1:$I$89,5,0)</f>
        <v>0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190.9519472160006</v>
      </c>
      <c r="DU102" s="59">
        <f t="shared" si="98"/>
        <v>170.61553500287511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83.026172716534361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83.026172716534361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67.480005026912835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83</v>
      </c>
      <c r="EJ102" s="12">
        <f>IF('Données projet'!$A$192&gt;35,EJ101+EI102-ER101,IF(A102&lt;'Données projet'!$A$192,$EG$205^A102,IF(A102='Données projet'!$A$192,'Données projet'!$B$192,EJ101+EI102-ER101)))</f>
        <v>362</v>
      </c>
      <c r="EK102" s="17">
        <f>EJ102*VLOOKUP('Données projet'!$B$15,Paramètres!$A$1:$I$89,3,0)*VLOOKUP('Données projet'!$B$15,Paramètres!$A$1:$I$89,5,0)</f>
        <v>310.59600000000006</v>
      </c>
      <c r="EL102" s="13">
        <f t="shared" si="99"/>
        <v>73.393284775883487</v>
      </c>
      <c r="EM102" s="20">
        <f t="shared" si="73"/>
        <v>668.78133765133055</v>
      </c>
      <c r="EN102" s="59">
        <f t="shared" si="74"/>
        <v>952.8746894166776</v>
      </c>
      <c r="EO102" s="59">
        <f ca="1">AVERAGE(OFFSET($EN$3,0,0,'Données projet'!$E$15+1,1))-AVERAGE(OFFSET($H$3,0,0,'Données projet'!$E$15+1,1))</f>
        <v>331.94255128154623</v>
      </c>
      <c r="EP102" s="59">
        <f t="shared" si="100"/>
        <v>258.40809812013964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878.27220121266214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878.27220121266214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67.480005026912835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>
        <f>FE102*VLOOKUP('Données projet'!$B$16,Paramètres!$A$1:$I$89,3,0)*VLOOKUP('Données projet'!$B$16,Paramètres!$A$1:$I$89,5,0)</f>
        <v>0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290.72311302449236</v>
      </c>
      <c r="FK102" s="59">
        <f t="shared" si="102"/>
        <v>352.32552988394434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319.13994232088749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319.13994232088749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67.480005026912835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>
        <f>FZ102*VLOOKUP('Données projet'!$B$17,Paramètres!$A$1:$I$89,3,0)*VLOOKUP('Données projet'!$B$17,Paramètres!$A$1:$I$89,5,0)</f>
        <v>0</v>
      </c>
      <c r="GB102" s="13" t="e">
        <f t="shared" si="103"/>
        <v>#NUM!</v>
      </c>
      <c r="GC102" s="20" t="e">
        <f t="shared" si="79"/>
        <v>#NUM!</v>
      </c>
      <c r="GD102" s="59" t="e">
        <f t="shared" si="80"/>
        <v>#NUM!</v>
      </c>
      <c r="GE102" s="59">
        <f ca="1">AVERAGE(OFFSET($GD$3,0,0,'Données projet'!$E$17+1,1))-AVERAGE(OFFSET($H$3,0,0,'Données projet'!$E$17+1,1))</f>
        <v>123.03972959251965</v>
      </c>
      <c r="GF102" s="59">
        <f t="shared" si="104"/>
        <v>178.27657680839445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69.366970491876586</v>
      </c>
      <c r="GM102" s="21">
        <f>EXP(-LN(2)/25)*GM101+(1-EXP(-LN(2)/25))/(LN(2)/25)*Calculateur!GH102*Calculateur!GJ102*VLOOKUP('Données projet'!$B$17,Paramètres!$A$1:$I$89,3,0)*0.475*44/12</f>
        <v>15.032440540013573</v>
      </c>
      <c r="GN102" s="21">
        <f>EXP(-LN(2)/2)*GN101+(1-EXP(-LN(2)/2))/(LN(2)/2)*GH102*GK102*VLOOKUP('Données projet'!$B$17,Paramètres!$A$1:$I$89,3,0)*0.475*44/12</f>
        <v>4.4115451091471708E-4</v>
      </c>
      <c r="GO102" s="21">
        <f t="shared" si="81"/>
        <v>84.399852186401063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67.480005026912835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57.2</v>
      </c>
      <c r="GU102" s="12">
        <f>IF('Données projet'!$A$270&gt;35,GU101+GT102-HC101,IF(A102&lt;'Données projet'!$A$270,$GR$205^A102,IF(A102='Données projet'!$A$270,'Données projet'!$B$270,GU101+GT102-HC101)))</f>
        <v>561.7999999999995</v>
      </c>
      <c r="GV102" s="17">
        <f>GU102*VLOOKUP('Données projet'!$B$18,Paramètres!$A$1:$I$89,3,0)*VLOOKUP('Données projet'!$B$18,Paramètres!$A$1:$I$89,5,0)</f>
        <v>376.8554399999997</v>
      </c>
      <c r="GW102" s="13">
        <f t="shared" si="105"/>
        <v>87.068308674396391</v>
      </c>
      <c r="GX102" s="20">
        <f t="shared" si="82"/>
        <v>808.00052894123985</v>
      </c>
      <c r="GY102" s="59">
        <f t="shared" si="83"/>
        <v>1092.0938807065868</v>
      </c>
      <c r="GZ102" s="59">
        <f ca="1">AVERAGE(OFFSET($GY$3,0,0,'Données projet'!$E$18+1,1))-AVERAGE(OFFSET($H$3,0,0,'Données projet'!$E$18+1,1))</f>
        <v>542.25674729323623</v>
      </c>
      <c r="HA102" s="59">
        <f t="shared" si="106"/>
        <v>614.73906555680685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230.7892207498773</v>
      </c>
      <c r="HH102" s="21">
        <f>EXP(-LN(2)/25)*HH101+(1-EXP(-LN(2)/25))/(LN(2)/25)*Calculateur!HC102*Calculateur!HE102*VLOOKUP('Données projet'!$B$18,Paramètres!$A$1:$I$89,3,0)*0.475*44/12</f>
        <v>0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230.7892207498773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2.8499999999999996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10.449999999999998</v>
      </c>
      <c r="H103" s="67">
        <f t="shared" si="56"/>
        <v>214.86666666666667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67.523721305831145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-1.0231815394945443E-12</v>
      </c>
      <c r="O103" s="13">
        <f>N103*VLOOKUP('Données projet'!$B$9,Paramètres!$A$1:$I$89,3,0)*VLOOKUP('Données projet'!$B$9,Paramètres!$A$1:$I$89,5,0)</f>
        <v>-8.9385139290243408E-13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686.80970545599644</v>
      </c>
      <c r="T103" s="59">
        <f t="shared" si="88"/>
        <v>636.16485232937737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116.82395370216975</v>
      </c>
      <c r="AA103" s="21">
        <f>EXP(-LN(2)/25)*AA102+(1-EXP(-LN(2)/25))/(LN(2)/25)*Calculateur!V103*Calculateur!X103*VLOOKUP('Données projet'!$B$9,Paramètres!$A$1:$I$89,3,0)*0.475*44/12</f>
        <v>13.107208795034509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129.93116249720424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67.523721305831145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1.1368683772161603E-13</v>
      </c>
      <c r="AJ103" s="13">
        <f>AI103*VLOOKUP('Données projet'!$B$10,Paramètres!$A$1:$I$89,3,0)*VLOOKUP('Données projet'!$B$10,Paramètres!$A$1:$I$89,5,0)</f>
        <v>1.0286385077051818E-13</v>
      </c>
      <c r="AK103" s="13">
        <f t="shared" si="89"/>
        <v>1.5402366592183556E-12</v>
      </c>
      <c r="AL103" s="20">
        <f t="shared" si="58"/>
        <v>2.8617333882306215E-12</v>
      </c>
      <c r="AM103" s="59">
        <f t="shared" si="59"/>
        <v>284.25364478805039</v>
      </c>
      <c r="AN103" s="59">
        <f ca="1">AVERAGE(OFFSET($AM$3,0,0,'Données projet'!$E$10+1,1))-AVERAGE(OFFSET($H$3,0,0,'Données projet'!$E$10+1,1))</f>
        <v>323.67375363913726</v>
      </c>
      <c r="AO103" s="59">
        <f t="shared" si="90"/>
        <v>266.03902815735029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102.44736688365663</v>
      </c>
      <c r="AV103" s="21">
        <f>EXP(-LN(2)/25)*AV102+(1-EXP(-LN(2)/25))/(LN(2)/25)*Calculateur!AQ103*Calculateur!AS103*VLOOKUP('Données projet'!$B$10,Paramètres!$A$1:$I$89,3,0)*0.475*44/12</f>
        <v>30.256259435940635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132.70362631959728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67.523721305831145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371.46495716091965</v>
      </c>
      <c r="BJ103" s="59">
        <f t="shared" si="92"/>
        <v>579.95059529269417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74.760917837261886</v>
      </c>
      <c r="BQ103" s="21">
        <f>EXP(-LN(2)/25)*BQ102+(1-EXP(-LN(2)/25))/(LN(2)/25)*Calculateur!BL103*Calculateur!BN103*VLOOKUP('Données projet'!$B$11,Paramètres!$A$1:$I$89,3,0)*0.475*44/12</f>
        <v>14.994460688449523</v>
      </c>
      <c r="BR103" s="21">
        <f>EXP(-LN(2)/2)*BR102+(1-EXP(-LN(2)/2))/(LN(2)/2)*BL103*BO103*VLOOKUP('Données projet'!$B$11,Paramètres!$A$1:$I$89,3,0)*0.475*44/12</f>
        <v>2.0458003485550856E-7</v>
      </c>
      <c r="BS103" s="22">
        <f t="shared" si="63"/>
        <v>89.75537873029144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67.523721305831145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180.18752244216969</v>
      </c>
      <c r="CE103" s="59">
        <f t="shared" si="94"/>
        <v>350.12096474554676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90.274663935830759</v>
      </c>
      <c r="CL103" s="21">
        <f>EXP(-LN(2)/25)*CL102+(1-EXP(-LN(2)/25))/(LN(2)/25)*Calculateur!CG103*Calculateur!CI103*VLOOKUP('Données projet'!$B$12,Paramètres!$A$1:$I$89,3,0)*0.475*44/12</f>
        <v>26.734782350728356</v>
      </c>
      <c r="CM103" s="21">
        <f>EXP(-LN(2)/2)*CM102+(1-EXP(-LN(2)/2))/(LN(2)/2)*CG103*CJ103*VLOOKUP('Données projet'!$B$12,Paramètres!$A$1:$I$89,3,0)*0.475*44/12</f>
        <v>1.5542949047437372E-7</v>
      </c>
      <c r="CN103" s="22">
        <f t="shared" si="66"/>
        <v>117.0094464419886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67.523721305831145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5.6843418860808015E-14</v>
      </c>
      <c r="CU103" s="17">
        <f>CT103*VLOOKUP('Données projet'!$B$13,Paramètres!$A$1:$I$89,3,0)*VLOOKUP('Données projet'!$B$13,Paramètres!$A$1:$I$89,5,0)</f>
        <v>4.5224624045658861E-14</v>
      </c>
      <c r="CV103" s="13">
        <f t="shared" si="95"/>
        <v>7.4514601661523691E-13</v>
      </c>
      <c r="CW103" s="20">
        <f t="shared" si="67"/>
        <v>1.3765621991510601E-12</v>
      </c>
      <c r="CX103" s="59">
        <f t="shared" si="68"/>
        <v>284.25364478804892</v>
      </c>
      <c r="CY103" s="59">
        <f ca="1">AVERAGE(OFFSET($CX$3,0,0,'Données projet'!$E$13+1,1))-AVERAGE(OFFSET($H$3,0,0,'Données projet'!$E$13+1,1))</f>
        <v>284.31574332240928</v>
      </c>
      <c r="CZ103" s="59">
        <f t="shared" si="96"/>
        <v>403.96994631683913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380.14568151905502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380.14568151905502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67.523721305831145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>
        <f>DO103*VLOOKUP('Données projet'!$B$14,Paramètres!$A$1:$I$89,3,0)*VLOOKUP('Données projet'!$B$14,Paramètres!$A$1:$I$89,5,0)</f>
        <v>0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190.9519472160006</v>
      </c>
      <c r="DU103" s="59">
        <f t="shared" si="98"/>
        <v>170.61553500287511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81.398080110528099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81.398080110528099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67.523721305831145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445</v>
      </c>
      <c r="EH103" s="12">
        <f>VLOOKUP(A103,'Données projet'!$A$191:$I$211,9,0)</f>
        <v>83</v>
      </c>
      <c r="EI103" s="12">
        <f t="array" ref="EI103">INDEX(EH:EH,MIN(IF(ISNUMBER(EH103:EH299),ROW(EH103:EH299),"")))</f>
        <v>83</v>
      </c>
      <c r="EJ103" s="12">
        <f>IF('Données projet'!$A$192&gt;35,EJ102+EI103-ER102,IF(A103&lt;'Données projet'!$A$192,$EG$205^A103,IF(A103='Données projet'!$A$192,'Données projet'!$B$192,EJ102+EI103-ER102)))</f>
        <v>445</v>
      </c>
      <c r="EK103" s="17">
        <f>EJ103*VLOOKUP('Données projet'!$B$15,Paramètres!$A$1:$I$89,3,0)*VLOOKUP('Données projet'!$B$15,Paramètres!$A$1:$I$89,5,0)</f>
        <v>381.81000000000006</v>
      </c>
      <c r="EL103" s="13">
        <f t="shared" si="99"/>
        <v>88.078992468032965</v>
      </c>
      <c r="EM103" s="20">
        <f t="shared" si="73"/>
        <v>818.38999521515746</v>
      </c>
      <c r="EN103" s="59">
        <f t="shared" si="74"/>
        <v>1102.6436400032051</v>
      </c>
      <c r="EO103" s="59">
        <f ca="1">AVERAGE(OFFSET($EN$3,0,0,'Données projet'!$E$15+1,1))-AVERAGE(OFFSET($H$3,0,0,'Données projet'!$E$15+1,1))</f>
        <v>331.94255128154623</v>
      </c>
      <c r="EP103" s="59">
        <f t="shared" si="100"/>
        <v>258.40809812013964</v>
      </c>
      <c r="EQ103" s="15">
        <f>IF(ISNA(VLOOKUP(A103,'Données projet'!$A$191:$I$211,3,0)),0,VLOOKUP(A103,'Données projet'!$A$191:$I$211,3,0))</f>
        <v>17</v>
      </c>
      <c r="ER103" s="15">
        <f>IF(ISNA(VLOOKUP(A103,'Données projet'!$A$191:$I$211,4,0)),0,VLOOKUP(A103,'Données projet'!$A$191:$I$211,4,0))</f>
        <v>445</v>
      </c>
      <c r="ES103" s="16">
        <f>IF(ISNA(VLOOKUP(A103,'Données projet'!$A$191:$I$211,5,0)),0%,VLOOKUP(A103,'Données projet'!$A$191:$I$211,5,0)*VLOOKUP('Données projet'!$B$15,Paramètres!$A$1:$I$89,7,0))</f>
        <v>0.42400000000000004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1040.011588778447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1040.011588778447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67.523721305831145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>
        <f>FE103*VLOOKUP('Données projet'!$B$16,Paramètres!$A$1:$I$89,3,0)*VLOOKUP('Données projet'!$B$16,Paramètres!$A$1:$I$89,5,0)</f>
        <v>0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290.72311302449236</v>
      </c>
      <c r="FK103" s="59">
        <f t="shared" si="102"/>
        <v>352.32552988394434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312.88180270811898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312.88180270811898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67.523721305831145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>
        <f>FZ103*VLOOKUP('Données projet'!$B$17,Paramètres!$A$1:$I$89,3,0)*VLOOKUP('Données projet'!$B$17,Paramètres!$A$1:$I$89,5,0)</f>
        <v>0</v>
      </c>
      <c r="GB103" s="13" t="e">
        <f t="shared" si="103"/>
        <v>#NUM!</v>
      </c>
      <c r="GC103" s="20" t="e">
        <f t="shared" si="79"/>
        <v>#NUM!</v>
      </c>
      <c r="GD103" s="59" t="e">
        <f t="shared" si="80"/>
        <v>#NUM!</v>
      </c>
      <c r="GE103" s="59">
        <f ca="1">AVERAGE(OFFSET($GD$3,0,0,'Données projet'!$E$17+1,1))-AVERAGE(OFFSET($H$3,0,0,'Données projet'!$E$17+1,1))</f>
        <v>123.03972959251965</v>
      </c>
      <c r="GF103" s="59">
        <f t="shared" si="104"/>
        <v>178.27657680839445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68.006726510205155</v>
      </c>
      <c r="GM103" s="21">
        <f>EXP(-LN(2)/25)*GM102+(1-EXP(-LN(2)/25))/(LN(2)/25)*Calculateur!GH103*Calculateur!GJ103*VLOOKUP('Données projet'!$B$17,Paramètres!$A$1:$I$89,3,0)*0.475*44/12</f>
        <v>14.621377662925211</v>
      </c>
      <c r="GN103" s="21">
        <f>EXP(-LN(2)/2)*GN102+(1-EXP(-LN(2)/2))/(LN(2)/2)*GH103*GK103*VLOOKUP('Données projet'!$B$17,Paramètres!$A$1:$I$89,3,0)*0.475*44/12</f>
        <v>3.1194334621883124E-4</v>
      </c>
      <c r="GO103" s="21">
        <f t="shared" si="81"/>
        <v>82.628416116476586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67.523721305831145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>
        <f>VLOOKUP(A103,'Données projet'!$A$269:$I$289,2,0)</f>
        <v>619</v>
      </c>
      <c r="GS103" s="12">
        <f>VLOOKUP(A103,'Données projet'!$A$269:$I$289,9,0)</f>
        <v>57.2</v>
      </c>
      <c r="GT103" s="12">
        <f t="array" ref="GT103">INDEX(GS:GS,MIN(IF(ISNUMBER(GS103:GS299),ROW(GS103:GS299),"")))</f>
        <v>57.2</v>
      </c>
      <c r="GU103" s="12">
        <f>IF('Données projet'!$A$270&gt;35,GU102+GT103-HC102,IF(A103&lt;'Données projet'!$A$270,$GR$205^A103,IF(A103='Données projet'!$A$270,'Données projet'!$B$270,GU102+GT103-HC102)))</f>
        <v>618.99999999999955</v>
      </c>
      <c r="GV103" s="17">
        <f>GU103*VLOOKUP('Données projet'!$B$18,Paramètres!$A$1:$I$89,3,0)*VLOOKUP('Données projet'!$B$18,Paramètres!$A$1:$I$89,5,0)</f>
        <v>415.22519999999969</v>
      </c>
      <c r="GW103" s="13">
        <f t="shared" si="105"/>
        <v>94.856598006616878</v>
      </c>
      <c r="GX103" s="20">
        <f t="shared" si="82"/>
        <v>888.39246486152388</v>
      </c>
      <c r="GY103" s="59">
        <f t="shared" si="83"/>
        <v>1172.6461096495714</v>
      </c>
      <c r="GZ103" s="59">
        <f ca="1">AVERAGE(OFFSET($GY$3,0,0,'Données projet'!$E$18+1,1))-AVERAGE(OFFSET($H$3,0,0,'Données projet'!$E$18+1,1))</f>
        <v>542.25674729323623</v>
      </c>
      <c r="HA103" s="59">
        <f t="shared" si="106"/>
        <v>614.73906555680685</v>
      </c>
      <c r="HB103" s="15">
        <f>IF(ISNA(VLOOKUP(A103,'Données projet'!$A$269:$I$289,3,0)),0,VLOOKUP(A103,'Données projet'!$A$269:$I$289,3,0))</f>
        <v>6</v>
      </c>
      <c r="HC103" s="15">
        <f>IF(ISNA(VLOOKUP(A103,'Données projet'!$A$269:$I$289,4,0)),0,VLOOKUP(A103,'Données projet'!$A$269:$I$289,4,0))</f>
        <v>619</v>
      </c>
      <c r="HD103" s="16">
        <f>IF(ISNA(VLOOKUP(A103,'Données projet'!$A$269:$I$289,5,0)),0%,VLOOKUP(A103,'Données projet'!$A$269:$I$289,5,0)*VLOOKUP('Données projet'!$B$18,Paramètres!$A$1:$I$89,7,0))</f>
        <v>0.42400000000000004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420.88770849921082</v>
      </c>
      <c r="HH103" s="21">
        <f>EXP(-LN(2)/25)*HH102+(1-EXP(-LN(2)/25))/(LN(2)/25)*Calculateur!HC103*Calculateur!HE103*VLOOKUP('Données projet'!$B$18,Paramètres!$A$1:$I$89,3,0)*0.475*44/12</f>
        <v>0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420.88770849921082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2.8499999999999996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10.449999999999998</v>
      </c>
      <c r="H104" s="67">
        <f t="shared" si="56"/>
        <v>214.86666666666667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67.56667920504519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-1.0231815394945443E-12</v>
      </c>
      <c r="O104" s="13">
        <f>N104*VLOOKUP('Données projet'!$B$9,Paramètres!$A$1:$I$89,3,0)*VLOOKUP('Données projet'!$B$9,Paramètres!$A$1:$I$89,5,0)</f>
        <v>-8.9385139290243408E-13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686.80970545599644</v>
      </c>
      <c r="T104" s="59">
        <f t="shared" si="88"/>
        <v>636.16485232937737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114.53310722564605</v>
      </c>
      <c r="AA104" s="21">
        <f>EXP(-LN(2)/25)*AA103+(1-EXP(-LN(2)/25))/(LN(2)/25)*Calculateur!V104*Calculateur!X104*VLOOKUP('Données projet'!$B$9,Paramètres!$A$1:$I$89,3,0)*0.475*44/12</f>
        <v>12.748791481256138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127.28189870690218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67.56667920504519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1.1368683772161603E-13</v>
      </c>
      <c r="AJ104" s="13">
        <f>AI104*VLOOKUP('Données projet'!$B$10,Paramètres!$A$1:$I$89,3,0)*VLOOKUP('Données projet'!$B$10,Paramètres!$A$1:$I$89,5,0)</f>
        <v>1.0286385077051818E-13</v>
      </c>
      <c r="AK104" s="13">
        <f t="shared" si="89"/>
        <v>1.5402366592183556E-12</v>
      </c>
      <c r="AL104" s="20">
        <f t="shared" si="58"/>
        <v>2.8617333882306215E-12</v>
      </c>
      <c r="AM104" s="59">
        <f t="shared" si="59"/>
        <v>284.41115708516855</v>
      </c>
      <c r="AN104" s="59">
        <f ca="1">AVERAGE(OFFSET($AM$3,0,0,'Données projet'!$E$10+1,1))-AVERAGE(OFFSET($H$3,0,0,'Données projet'!$E$10+1,1))</f>
        <v>323.67375363913726</v>
      </c>
      <c r="AO104" s="59">
        <f t="shared" si="90"/>
        <v>266.03902815735029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100.43843650579187</v>
      </c>
      <c r="AV104" s="21">
        <f>EXP(-LN(2)/25)*AV103+(1-EXP(-LN(2)/25))/(LN(2)/25)*Calculateur!AQ104*Calculateur!AS104*VLOOKUP('Données projet'!$B$10,Paramètres!$A$1:$I$89,3,0)*0.475*44/12</f>
        <v>29.428900430557306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129.86733693634918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67.56667920504519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371.46495716091965</v>
      </c>
      <c r="BJ104" s="59">
        <f t="shared" si="92"/>
        <v>579.95059529269417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73.294901838130471</v>
      </c>
      <c r="BQ104" s="21">
        <f>EXP(-LN(2)/25)*BQ103+(1-EXP(-LN(2)/25))/(LN(2)/25)*Calculateur!BL104*Calculateur!BN104*VLOOKUP('Données projet'!$B$11,Paramètres!$A$1:$I$89,3,0)*0.475*44/12</f>
        <v>14.584436372399454</v>
      </c>
      <c r="BR104" s="21">
        <f>EXP(-LN(2)/2)*BR103+(1-EXP(-LN(2)/2))/(LN(2)/2)*BL104*BO104*VLOOKUP('Données projet'!$B$11,Paramètres!$A$1:$I$89,3,0)*0.475*44/12</f>
        <v>1.4465992994171035E-7</v>
      </c>
      <c r="BS104" s="22">
        <f t="shared" si="63"/>
        <v>87.879338355189859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67.56667920504519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180.18752244216969</v>
      </c>
      <c r="CE104" s="59">
        <f t="shared" si="94"/>
        <v>350.12096474554676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88.504432838157186</v>
      </c>
      <c r="CL104" s="21">
        <f>EXP(-LN(2)/25)*CL103+(1-EXP(-LN(2)/25))/(LN(2)/25)*Calculateur!CG104*Calculateur!CI104*VLOOKUP('Données projet'!$B$12,Paramètres!$A$1:$I$89,3,0)*0.475*44/12</f>
        <v>26.003718321426589</v>
      </c>
      <c r="CM104" s="21">
        <f>EXP(-LN(2)/2)*CM103+(1-EXP(-LN(2)/2))/(LN(2)/2)*CG104*CJ104*VLOOKUP('Données projet'!$B$12,Paramètres!$A$1:$I$89,3,0)*0.475*44/12</f>
        <v>1.0990524671079955E-7</v>
      </c>
      <c r="CN104" s="22">
        <f t="shared" si="66"/>
        <v>114.50815126948902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67.56667920504519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5.6843418860808015E-14</v>
      </c>
      <c r="CU104" s="17">
        <f>CT104*VLOOKUP('Données projet'!$B$13,Paramètres!$A$1:$I$89,3,0)*VLOOKUP('Données projet'!$B$13,Paramètres!$A$1:$I$89,5,0)</f>
        <v>4.5224624045658861E-14</v>
      </c>
      <c r="CV104" s="13">
        <f t="shared" si="95"/>
        <v>7.4514601661523691E-13</v>
      </c>
      <c r="CW104" s="20">
        <f t="shared" si="67"/>
        <v>1.3765621991510601E-12</v>
      </c>
      <c r="CX104" s="59">
        <f t="shared" si="68"/>
        <v>284.41115708516708</v>
      </c>
      <c r="CY104" s="59">
        <f ca="1">AVERAGE(OFFSET($CX$3,0,0,'Données projet'!$E$13+1,1))-AVERAGE(OFFSET($H$3,0,0,'Données projet'!$E$13+1,1))</f>
        <v>284.31574332240928</v>
      </c>
      <c r="CZ104" s="59">
        <f t="shared" si="96"/>
        <v>403.96994631683913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372.69125657043719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372.69125657043719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67.56667920504519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>
        <f>DO104*VLOOKUP('Données projet'!$B$14,Paramètres!$A$1:$I$89,3,0)*VLOOKUP('Données projet'!$B$14,Paramètres!$A$1:$I$89,5,0)</f>
        <v>0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190.9519472160006</v>
      </c>
      <c r="DU104" s="59">
        <f t="shared" si="98"/>
        <v>170.61553500287511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79.801913407487191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79.801913407487191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67.56667920504519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>
        <f>EJ104*VLOOKUP('Données projet'!$B$15,Paramètres!$A$1:$I$89,3,0)*VLOOKUP('Données projet'!$B$15,Paramètres!$A$1:$I$89,5,0)</f>
        <v>0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331.94255128154623</v>
      </c>
      <c r="EP104" s="59">
        <f t="shared" si="100"/>
        <v>258.40809812013964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1019.6175958669345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1019.6175958669345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67.56667920504519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>
        <f>FE104*VLOOKUP('Données projet'!$B$16,Paramètres!$A$1:$I$89,3,0)*VLOOKUP('Données projet'!$B$16,Paramètres!$A$1:$I$89,5,0)</f>
        <v>0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290.72311302449236</v>
      </c>
      <c r="FK104" s="59">
        <f t="shared" si="102"/>
        <v>352.32552988394434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306.74638139606861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306.74638139606861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67.56667920504519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>
        <f>FZ104*VLOOKUP('Données projet'!$B$17,Paramètres!$A$1:$I$89,3,0)*VLOOKUP('Données projet'!$B$17,Paramètres!$A$1:$I$89,5,0)</f>
        <v>0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123.03972959251965</v>
      </c>
      <c r="GF104" s="59">
        <f t="shared" si="104"/>
        <v>178.27657680839445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66.673156083347394</v>
      </c>
      <c r="GM104" s="21">
        <f>EXP(-LN(2)/25)*GM103+(1-EXP(-LN(2)/25))/(LN(2)/25)*Calculateur!GH104*Calculateur!GJ104*VLOOKUP('Données projet'!$B$17,Paramètres!$A$1:$I$89,3,0)*0.475*44/12</f>
        <v>14.221555321827687</v>
      </c>
      <c r="GN104" s="21">
        <f>EXP(-LN(2)/2)*GN103+(1-EXP(-LN(2)/2))/(LN(2)/2)*GH104*GK104*VLOOKUP('Données projet'!$B$17,Paramètres!$A$1:$I$89,3,0)*0.475*44/12</f>
        <v>2.2057725545735854E-4</v>
      </c>
      <c r="GO104" s="21">
        <f t="shared" si="81"/>
        <v>80.894931982430549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67.56667920504519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-4.5474735088646412E-13</v>
      </c>
      <c r="GV104" s="17">
        <f>GU104*VLOOKUP('Données projet'!$B$18,Paramètres!$A$1:$I$89,3,0)*VLOOKUP('Données projet'!$B$18,Paramètres!$A$1:$I$89,5,0)</f>
        <v>-3.0504452297464016E-13</v>
      </c>
      <c r="GW104" s="13" t="e">
        <f t="shared" si="105"/>
        <v>#NUM!</v>
      </c>
      <c r="GX104" s="20" t="e">
        <f t="shared" si="82"/>
        <v>#NUM!</v>
      </c>
      <c r="GY104" s="59" t="e">
        <f t="shared" si="83"/>
        <v>#NUM!</v>
      </c>
      <c r="GZ104" s="59">
        <f ca="1">AVERAGE(OFFSET($GY$3,0,0,'Données projet'!$E$18+1,1))-AVERAGE(OFFSET($H$3,0,0,'Données projet'!$E$18+1,1))</f>
        <v>542.25674729323623</v>
      </c>
      <c r="HA104" s="59">
        <f t="shared" si="106"/>
        <v>614.73906555680685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412.63435725169484</v>
      </c>
      <c r="HH104" s="21">
        <f>EXP(-LN(2)/25)*HH103+(1-EXP(-LN(2)/25))/(LN(2)/25)*Calculateur!HC104*Calculateur!HE104*VLOOKUP('Données projet'!$B$18,Paramètres!$A$1:$I$89,3,0)*0.475*44/12</f>
        <v>0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412.63435725169484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2.8499999999999996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10.449999999999998</v>
      </c>
      <c r="H105" s="67">
        <f t="shared" si="56"/>
        <v>214.86666666666667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67.60889188074735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-1.0231815394945443E-12</v>
      </c>
      <c r="O105" s="13">
        <f>N105*VLOOKUP('Données projet'!$B$9,Paramètres!$A$1:$I$89,3,0)*VLOOKUP('Données projet'!$B$9,Paramètres!$A$1:$I$89,5,0)</f>
        <v>-8.9385139290243408E-13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686.80970545599644</v>
      </c>
      <c r="T105" s="59">
        <f t="shared" si="88"/>
        <v>636.16485232937737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112.2871828512486</v>
      </c>
      <c r="AA105" s="21">
        <f>EXP(-LN(2)/25)*AA104+(1-EXP(-LN(2)/25))/(LN(2)/25)*Calculateur!V105*Calculateur!X105*VLOOKUP('Données projet'!$B$9,Paramètres!$A$1:$I$89,3,0)*0.475*44/12</f>
        <v>12.400175107771382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124.68735795901998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67.60889188074735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1.1368683772161603E-13</v>
      </c>
      <c r="AJ105" s="13">
        <f>AI105*VLOOKUP('Données projet'!$B$10,Paramètres!$A$1:$I$89,3,0)*VLOOKUP('Données projet'!$B$10,Paramètres!$A$1:$I$89,5,0)</f>
        <v>1.0286385077051818E-13</v>
      </c>
      <c r="AK105" s="13">
        <f t="shared" si="89"/>
        <v>1.5402366592183556E-12</v>
      </c>
      <c r="AL105" s="20">
        <f t="shared" si="58"/>
        <v>2.8617333882306215E-12</v>
      </c>
      <c r="AM105" s="59">
        <f t="shared" si="59"/>
        <v>284.56593689607649</v>
      </c>
      <c r="AN105" s="59">
        <f ca="1">AVERAGE(OFFSET($AM$3,0,0,'Données projet'!$E$10+1,1))-AVERAGE(OFFSET($H$3,0,0,'Données projet'!$E$10+1,1))</f>
        <v>323.67375363913726</v>
      </c>
      <c r="AO105" s="59">
        <f t="shared" si="90"/>
        <v>266.03902815735029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98.468900027310497</v>
      </c>
      <c r="AV105" s="21">
        <f>EXP(-LN(2)/25)*AV104+(1-EXP(-LN(2)/25))/(LN(2)/25)*Calculateur!AQ105*Calculateur!AS105*VLOOKUP('Données projet'!$B$10,Paramètres!$A$1:$I$89,3,0)*0.475*44/12</f>
        <v>28.624165600685103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127.0930656279956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67.60889188074735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371.46495716091965</v>
      </c>
      <c r="BJ105" s="59">
        <f t="shared" si="92"/>
        <v>579.95059529269417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71.857633518560561</v>
      </c>
      <c r="BQ105" s="21">
        <f>EXP(-LN(2)/25)*BQ104+(1-EXP(-LN(2)/25))/(LN(2)/25)*Calculateur!BL105*Calculateur!BN105*VLOOKUP('Données projet'!$B$11,Paramètres!$A$1:$I$89,3,0)*0.475*44/12</f>
        <v>14.185624192834014</v>
      </c>
      <c r="BR105" s="21">
        <f>EXP(-LN(2)/2)*BR104+(1-EXP(-LN(2)/2))/(LN(2)/2)*BL105*BO105*VLOOKUP('Données projet'!$B$11,Paramètres!$A$1:$I$89,3,0)*0.475*44/12</f>
        <v>1.0229001742775428E-7</v>
      </c>
      <c r="BS105" s="22">
        <f t="shared" si="63"/>
        <v>86.04325781368459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67.60889188074735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180.18752244216969</v>
      </c>
      <c r="CE105" s="59">
        <f t="shared" si="94"/>
        <v>350.12096474554676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86.768914892574642</v>
      </c>
      <c r="CL105" s="21">
        <f>EXP(-LN(2)/25)*CL104+(1-EXP(-LN(2)/25))/(LN(2)/25)*Calculateur!CG105*Calculateur!CI105*VLOOKUP('Données projet'!$B$12,Paramètres!$A$1:$I$89,3,0)*0.475*44/12</f>
        <v>25.292645276451065</v>
      </c>
      <c r="CM105" s="21">
        <f>EXP(-LN(2)/2)*CM104+(1-EXP(-LN(2)/2))/(LN(2)/2)*CG105*CJ105*VLOOKUP('Données projet'!$B$12,Paramètres!$A$1:$I$89,3,0)*0.475*44/12</f>
        <v>7.771474523718686E-8</v>
      </c>
      <c r="CN105" s="22">
        <f t="shared" si="66"/>
        <v>112.06156024674046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67.60889188074735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5.6843418860808015E-14</v>
      </c>
      <c r="CU105" s="17">
        <f>CT105*VLOOKUP('Données projet'!$B$13,Paramètres!$A$1:$I$89,3,0)*VLOOKUP('Données projet'!$B$13,Paramètres!$A$1:$I$89,5,0)</f>
        <v>4.5224624045658861E-14</v>
      </c>
      <c r="CV105" s="13">
        <f t="shared" si="95"/>
        <v>7.4514601661523691E-13</v>
      </c>
      <c r="CW105" s="20">
        <f t="shared" si="67"/>
        <v>1.3765621991510601E-12</v>
      </c>
      <c r="CX105" s="59">
        <f t="shared" si="68"/>
        <v>284.56593689607502</v>
      </c>
      <c r="CY105" s="59">
        <f ca="1">AVERAGE(OFFSET($CX$3,0,0,'Données projet'!$E$13+1,1))-AVERAGE(OFFSET($H$3,0,0,'Données projet'!$E$13+1,1))</f>
        <v>284.31574332240928</v>
      </c>
      <c r="CZ105" s="59">
        <f t="shared" si="96"/>
        <v>403.96994631683913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365.38300834831153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365.38300834831153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67.60889188074735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>
        <f>DO105*VLOOKUP('Données projet'!$B$14,Paramètres!$A$1:$I$89,3,0)*VLOOKUP('Données projet'!$B$14,Paramètres!$A$1:$I$89,5,0)</f>
        <v>0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190.9519472160006</v>
      </c>
      <c r="DU105" s="59">
        <f t="shared" si="98"/>
        <v>170.61553500287511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78.23704655992735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78.23704655992735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67.60889188074735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>
        <f>EJ105*VLOOKUP('Données projet'!$B$15,Paramètres!$A$1:$I$89,3,0)*VLOOKUP('Données projet'!$B$15,Paramètres!$A$1:$I$89,5,0)</f>
        <v>0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331.94255128154623</v>
      </c>
      <c r="EP105" s="59">
        <f t="shared" si="100"/>
        <v>258.40809812013964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999.62351671730937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999.62351671730937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67.60889188074735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>
        <f>FE105*VLOOKUP('Données projet'!$B$16,Paramètres!$A$1:$I$89,3,0)*VLOOKUP('Données projet'!$B$16,Paramètres!$A$1:$I$89,5,0)</f>
        <v>0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290.72311302449236</v>
      </c>
      <c r="FK105" s="59">
        <f t="shared" si="102"/>
        <v>352.32552988394434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300.73127195371006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300.73127195371006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67.60889188074735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>
        <f>FZ105*VLOOKUP('Données projet'!$B$17,Paramètres!$A$1:$I$89,3,0)*VLOOKUP('Données projet'!$B$17,Paramètres!$A$1:$I$89,5,0)</f>
        <v>0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123.03972959251965</v>
      </c>
      <c r="GF105" s="59">
        <f t="shared" si="104"/>
        <v>178.27657680839445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65.365736159162665</v>
      </c>
      <c r="GM105" s="21">
        <f>EXP(-LN(2)/25)*GM104+(1-EXP(-LN(2)/25))/(LN(2)/25)*Calculateur!GH105*Calculateur!GJ105*VLOOKUP('Données projet'!$B$17,Paramètres!$A$1:$I$89,3,0)*0.475*44/12</f>
        <v>13.832666143673219</v>
      </c>
      <c r="GN105" s="21">
        <f>EXP(-LN(2)/2)*GN104+(1-EXP(-LN(2)/2))/(LN(2)/2)*GH105*GK105*VLOOKUP('Données projet'!$B$17,Paramètres!$A$1:$I$89,3,0)*0.475*44/12</f>
        <v>1.5597167310941562E-4</v>
      </c>
      <c r="GO105" s="21">
        <f t="shared" si="81"/>
        <v>79.198558274508997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67.60889188074735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-4.5474735088646412E-13</v>
      </c>
      <c r="GV105" s="17">
        <f>GU105*VLOOKUP('Données projet'!$B$18,Paramètres!$A$1:$I$89,3,0)*VLOOKUP('Données projet'!$B$18,Paramètres!$A$1:$I$89,5,0)</f>
        <v>-3.0504452297464016E-13</v>
      </c>
      <c r="GW105" s="13" t="e">
        <f t="shared" si="105"/>
        <v>#NUM!</v>
      </c>
      <c r="GX105" s="20" t="e">
        <f t="shared" si="82"/>
        <v>#NUM!</v>
      </c>
      <c r="GY105" s="59" t="e">
        <f t="shared" si="83"/>
        <v>#NUM!</v>
      </c>
      <c r="GZ105" s="59">
        <f ca="1">AVERAGE(OFFSET($GY$3,0,0,'Données projet'!$E$18+1,1))-AVERAGE(OFFSET($H$3,0,0,'Données projet'!$E$18+1,1))</f>
        <v>542.25674729323623</v>
      </c>
      <c r="HA105" s="59">
        <f t="shared" si="106"/>
        <v>614.73906555680685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404.54284918809549</v>
      </c>
      <c r="HH105" s="21">
        <f>EXP(-LN(2)/25)*HH104+(1-EXP(-LN(2)/25))/(LN(2)/25)*Calculateur!HC105*Calculateur!HE105*VLOOKUP('Données projet'!$B$18,Paramètres!$A$1:$I$89,3,0)*0.475*44/12</f>
        <v>0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404.54284918809549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2.8499999999999996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10.449999999999998</v>
      </c>
      <c r="H106" s="67">
        <f t="shared" si="56"/>
        <v>214.86666666666667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67.650372260899474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-1.0231815394945443E-12</v>
      </c>
      <c r="O106" s="13">
        <f>N106*VLOOKUP('Données projet'!$B$9,Paramètres!$A$1:$I$89,3,0)*VLOOKUP('Données projet'!$B$9,Paramètres!$A$1:$I$89,5,0)</f>
        <v>-8.9385139290243408E-13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686.80970545599644</v>
      </c>
      <c r="T106" s="59">
        <f t="shared" si="88"/>
        <v>636.16485232937737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110.08529968395449</v>
      </c>
      <c r="AA106" s="21">
        <f>EXP(-LN(2)/25)*AA105+(1-EXP(-LN(2)/25))/(LN(2)/25)*Calculateur!V106*Calculateur!X106*VLOOKUP('Données projet'!$B$9,Paramètres!$A$1:$I$89,3,0)*0.475*44/12</f>
        <v>12.061091667352505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122.14639135130699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67.650372260899474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1.1368683772161603E-13</v>
      </c>
      <c r="AJ106" s="13">
        <f>AI106*VLOOKUP('Données projet'!$B$10,Paramètres!$A$1:$I$89,3,0)*VLOOKUP('Données projet'!$B$10,Paramètres!$A$1:$I$89,5,0)</f>
        <v>1.0286385077051818E-13</v>
      </c>
      <c r="AK106" s="13">
        <f t="shared" si="89"/>
        <v>1.5402366592183556E-12</v>
      </c>
      <c r="AL106" s="20">
        <f t="shared" si="58"/>
        <v>2.8617333882306215E-12</v>
      </c>
      <c r="AM106" s="59">
        <f t="shared" si="59"/>
        <v>284.71803162330087</v>
      </c>
      <c r="AN106" s="59">
        <f ca="1">AVERAGE(OFFSET($AM$3,0,0,'Données projet'!$E$10+1,1))-AVERAGE(OFFSET($H$3,0,0,'Données projet'!$E$10+1,1))</f>
        <v>323.67375363913726</v>
      </c>
      <c r="AO106" s="59">
        <f t="shared" si="90"/>
        <v>266.03902815735029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96.537984957873519</v>
      </c>
      <c r="AV106" s="21">
        <f>EXP(-LN(2)/25)*AV105+(1-EXP(-LN(2)/25))/(LN(2)/25)*Calculateur!AQ106*Calculateur!AS106*VLOOKUP('Données projet'!$B$10,Paramètres!$A$1:$I$89,3,0)*0.475*44/12</f>
        <v>27.841436287054922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124.37942124492844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67.650372260899474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371.46495716091965</v>
      </c>
      <c r="BJ106" s="59">
        <f t="shared" si="92"/>
        <v>579.95059529269417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70.448549154090301</v>
      </c>
      <c r="BQ106" s="21">
        <f>EXP(-LN(2)/25)*BQ105+(1-EXP(-LN(2)/25))/(LN(2)/25)*Calculateur!BL106*Calculateur!BN106*VLOOKUP('Données projet'!$B$11,Paramètres!$A$1:$I$89,3,0)*0.475*44/12</f>
        <v>13.797717553291413</v>
      </c>
      <c r="BR106" s="21">
        <f>EXP(-LN(2)/2)*BR105+(1-EXP(-LN(2)/2))/(LN(2)/2)*BL106*BO106*VLOOKUP('Données projet'!$B$11,Paramètres!$A$1:$I$89,3,0)*0.475*44/12</f>
        <v>7.2329964970855176E-8</v>
      </c>
      <c r="BS106" s="22">
        <f t="shared" si="63"/>
        <v>84.246266779711689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67.650372260899474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180.18752244216969</v>
      </c>
      <c r="CE106" s="59">
        <f t="shared" si="94"/>
        <v>350.12096474554676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85.067429395343552</v>
      </c>
      <c r="CL106" s="21">
        <f>EXP(-LN(2)/25)*CL105+(1-EXP(-LN(2)/25))/(LN(2)/25)*Calculateur!CG106*Calculateur!CI106*VLOOKUP('Données projet'!$B$12,Paramètres!$A$1:$I$89,3,0)*0.475*44/12</f>
        <v>24.601016561284101</v>
      </c>
      <c r="CM106" s="21">
        <f>EXP(-LN(2)/2)*CM105+(1-EXP(-LN(2)/2))/(LN(2)/2)*CG106*CJ106*VLOOKUP('Données projet'!$B$12,Paramètres!$A$1:$I$89,3,0)*0.475*44/12</f>
        <v>5.4952623355399776E-8</v>
      </c>
      <c r="CN106" s="22">
        <f t="shared" si="66"/>
        <v>109.66844601158027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67.650372260899474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5.6843418860808015E-14</v>
      </c>
      <c r="CU106" s="17">
        <f>CT106*VLOOKUP('Données projet'!$B$13,Paramètres!$A$1:$I$89,3,0)*VLOOKUP('Données projet'!$B$13,Paramètres!$A$1:$I$89,5,0)</f>
        <v>4.5224624045658861E-14</v>
      </c>
      <c r="CV106" s="13">
        <f t="shared" si="95"/>
        <v>7.4514601661523691E-13</v>
      </c>
      <c r="CW106" s="20">
        <f t="shared" si="67"/>
        <v>1.3765621991510601E-12</v>
      </c>
      <c r="CX106" s="59">
        <f t="shared" si="68"/>
        <v>284.7180316232994</v>
      </c>
      <c r="CY106" s="59">
        <f ca="1">AVERAGE(OFFSET($CX$3,0,0,'Données projet'!$E$13+1,1))-AVERAGE(OFFSET($H$3,0,0,'Données projet'!$E$13+1,1))</f>
        <v>284.31574332240928</v>
      </c>
      <c r="CZ106" s="59">
        <f t="shared" si="96"/>
        <v>403.96994631683913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358.21807041623049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358.21807041623049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67.650372260899474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>
        <f>DO106*VLOOKUP('Données projet'!$B$14,Paramètres!$A$1:$I$89,3,0)*VLOOKUP('Données projet'!$B$14,Paramètres!$A$1:$I$89,5,0)</f>
        <v>0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190.9519472160006</v>
      </c>
      <c r="DU106" s="59">
        <f t="shared" si="98"/>
        <v>170.61553500287511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76.702865796773622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76.702865796773622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67.650372260899474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>
        <f>EJ106*VLOOKUP('Données projet'!$B$15,Paramètres!$A$1:$I$89,3,0)*VLOOKUP('Données projet'!$B$15,Paramètres!$A$1:$I$89,5,0)</f>
        <v>0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331.94255128154623</v>
      </c>
      <c r="EP106" s="59">
        <f t="shared" si="100"/>
        <v>258.40809812013964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980.02150926462423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980.02150926462423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67.650372260899474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>
        <f>FE106*VLOOKUP('Données projet'!$B$16,Paramètres!$A$1:$I$89,3,0)*VLOOKUP('Données projet'!$B$16,Paramètres!$A$1:$I$89,5,0)</f>
        <v>0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290.72311302449236</v>
      </c>
      <c r="FK106" s="59">
        <f t="shared" si="102"/>
        <v>352.32552988394434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294.83411513866167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294.83411513866167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67.650372260899474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>
        <f>FZ106*VLOOKUP('Données projet'!$B$17,Paramètres!$A$1:$I$89,3,0)*VLOOKUP('Données projet'!$B$17,Paramètres!$A$1:$I$89,5,0)</f>
        <v>0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123.03972959251965</v>
      </c>
      <c r="GF106" s="59">
        <f t="shared" si="104"/>
        <v>178.27657680839445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64.083953942243795</v>
      </c>
      <c r="GM106" s="21">
        <f>EXP(-LN(2)/25)*GM105+(1-EXP(-LN(2)/25))/(LN(2)/25)*Calculateur!GH106*Calculateur!GJ106*VLOOKUP('Données projet'!$B$17,Paramètres!$A$1:$I$89,3,0)*0.475*44/12</f>
        <v>13.454411160546178</v>
      </c>
      <c r="GN106" s="21">
        <f>EXP(-LN(2)/2)*GN105+(1-EXP(-LN(2)/2))/(LN(2)/2)*GH106*GK106*VLOOKUP('Données projet'!$B$17,Paramètres!$A$1:$I$89,3,0)*0.475*44/12</f>
        <v>1.1028862772867927E-4</v>
      </c>
      <c r="GO106" s="21">
        <f t="shared" si="81"/>
        <v>77.538475391417691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67.650372260899474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-4.5474735088646412E-13</v>
      </c>
      <c r="GV106" s="17">
        <f>GU106*VLOOKUP('Données projet'!$B$18,Paramètres!$A$1:$I$89,3,0)*VLOOKUP('Données projet'!$B$18,Paramètres!$A$1:$I$89,5,0)</f>
        <v>-3.0504452297464016E-13</v>
      </c>
      <c r="GW106" s="13" t="e">
        <f t="shared" si="105"/>
        <v>#NUM!</v>
      </c>
      <c r="GX106" s="20" t="e">
        <f t="shared" si="82"/>
        <v>#NUM!</v>
      </c>
      <c r="GY106" s="59" t="e">
        <f t="shared" si="83"/>
        <v>#NUM!</v>
      </c>
      <c r="GZ106" s="59">
        <f ca="1">AVERAGE(OFFSET($GY$3,0,0,'Données projet'!$E$18+1,1))-AVERAGE(OFFSET($H$3,0,0,'Données projet'!$E$18+1,1))</f>
        <v>542.25674729323623</v>
      </c>
      <c r="HA106" s="59">
        <f t="shared" si="106"/>
        <v>614.73906555680685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396.61001066229073</v>
      </c>
      <c r="HH106" s="21">
        <f>EXP(-LN(2)/25)*HH105+(1-EXP(-LN(2)/25))/(LN(2)/25)*Calculateur!HC106*Calculateur!HE106*VLOOKUP('Données projet'!$B$18,Paramètres!$A$1:$I$89,3,0)*0.475*44/12</f>
        <v>0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396.61001066229073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2.8499999999999996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10.449999999999998</v>
      </c>
      <c r="H107" s="67">
        <f t="shared" si="56"/>
        <v>214.86666666666667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67.691133049192189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-1.0231815394945443E-12</v>
      </c>
      <c r="O107" s="13">
        <f>N107*VLOOKUP('Données projet'!$B$9,Paramètres!$A$1:$I$89,3,0)*VLOOKUP('Données projet'!$B$9,Paramètres!$A$1:$I$89,5,0)</f>
        <v>-8.9385139290243408E-13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686.80970545599644</v>
      </c>
      <c r="T107" s="59">
        <f t="shared" si="88"/>
        <v>636.16485232937737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107.92659410255489</v>
      </c>
      <c r="AA107" s="21">
        <f>EXP(-LN(2)/25)*AA106+(1-EXP(-LN(2)/25))/(LN(2)/25)*Calculateur!V107*Calculateur!X107*VLOOKUP('Données projet'!$B$9,Paramètres!$A$1:$I$89,3,0)*0.475*44/12</f>
        <v>11.731280481443505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119.65787458399839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67.691133049192189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1.1368683772161603E-13</v>
      </c>
      <c r="AJ107" s="13">
        <f>AI107*VLOOKUP('Données projet'!$B$10,Paramètres!$A$1:$I$89,3,0)*VLOOKUP('Données projet'!$B$10,Paramètres!$A$1:$I$89,5,0)</f>
        <v>1.0286385077051818E-13</v>
      </c>
      <c r="AK107" s="13">
        <f t="shared" si="89"/>
        <v>1.5402366592183556E-12</v>
      </c>
      <c r="AL107" s="20">
        <f t="shared" si="58"/>
        <v>2.8617333882306215E-12</v>
      </c>
      <c r="AM107" s="59">
        <f t="shared" si="59"/>
        <v>284.86748784704088</v>
      </c>
      <c r="AN107" s="59">
        <f ca="1">AVERAGE(OFFSET($AM$3,0,0,'Données projet'!$E$10+1,1))-AVERAGE(OFFSET($H$3,0,0,'Données projet'!$E$10+1,1))</f>
        <v>323.67375363913726</v>
      </c>
      <c r="AO107" s="59">
        <f t="shared" si="90"/>
        <v>266.03902815735029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94.644933955206298</v>
      </c>
      <c r="AV107" s="21">
        <f>EXP(-LN(2)/25)*AV106+(1-EXP(-LN(2)/25))/(LN(2)/25)*Calculateur!AQ107*Calculateur!AS107*VLOOKUP('Données projet'!$B$10,Paramètres!$A$1:$I$89,3,0)*0.475*44/12</f>
        <v>27.080110747667902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121.7250447028742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67.691133049192189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371.46495716091965</v>
      </c>
      <c r="BJ107" s="59">
        <f t="shared" si="92"/>
        <v>579.95059529269417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69.067096074550705</v>
      </c>
      <c r="BQ107" s="21">
        <f>EXP(-LN(2)/25)*BQ106+(1-EXP(-LN(2)/25))/(LN(2)/25)*Calculateur!BL107*Calculateur!BN107*VLOOKUP('Données projet'!$B$11,Paramètres!$A$1:$I$89,3,0)*0.475*44/12</f>
        <v>13.420418241206228</v>
      </c>
      <c r="BR107" s="21">
        <f>EXP(-LN(2)/2)*BR106+(1-EXP(-LN(2)/2))/(LN(2)/2)*BL107*BO107*VLOOKUP('Données projet'!$B$11,Paramètres!$A$1:$I$89,3,0)*0.475*44/12</f>
        <v>5.1145008713877139E-8</v>
      </c>
      <c r="BS107" s="22">
        <f t="shared" si="63"/>
        <v>82.487514366901934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67.691133049192189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180.18752244216969</v>
      </c>
      <c r="CE107" s="59">
        <f t="shared" si="94"/>
        <v>350.12096474554676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83.399308990909475</v>
      </c>
      <c r="CL107" s="21">
        <f>EXP(-LN(2)/25)*CL106+(1-EXP(-LN(2)/25))/(LN(2)/25)*Calculateur!CG107*Calculateur!CI107*VLOOKUP('Données projet'!$B$12,Paramètres!$A$1:$I$89,3,0)*0.475*44/12</f>
        <v>23.928300469704553</v>
      </c>
      <c r="CM107" s="21">
        <f>EXP(-LN(2)/2)*CM106+(1-EXP(-LN(2)/2))/(LN(2)/2)*CG107*CJ107*VLOOKUP('Données projet'!$B$12,Paramètres!$A$1:$I$89,3,0)*0.475*44/12</f>
        <v>3.885737261859343E-8</v>
      </c>
      <c r="CN107" s="22">
        <f t="shared" si="66"/>
        <v>107.32760949947141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67.691133049192189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5.6843418860808015E-14</v>
      </c>
      <c r="CU107" s="17">
        <f>CT107*VLOOKUP('Données projet'!$B$13,Paramètres!$A$1:$I$89,3,0)*VLOOKUP('Données projet'!$B$13,Paramètres!$A$1:$I$89,5,0)</f>
        <v>4.5224624045658861E-14</v>
      </c>
      <c r="CV107" s="13">
        <f t="shared" si="95"/>
        <v>7.4514601661523691E-13</v>
      </c>
      <c r="CW107" s="20">
        <f t="shared" si="67"/>
        <v>1.3765621991510601E-12</v>
      </c>
      <c r="CX107" s="59">
        <f t="shared" si="68"/>
        <v>284.8674878470394</v>
      </c>
      <c r="CY107" s="59">
        <f ca="1">AVERAGE(OFFSET($CX$3,0,0,'Données projet'!$E$13+1,1))-AVERAGE(OFFSET($H$3,0,0,'Données projet'!$E$13+1,1))</f>
        <v>284.31574332240928</v>
      </c>
      <c r="CZ107" s="59">
        <f t="shared" si="96"/>
        <v>403.96994631683913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351.1936325468169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351.1936325468169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67.691133049192189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>
        <f>DO107*VLOOKUP('Données projet'!$B$14,Paramètres!$A$1:$I$89,3,0)*VLOOKUP('Données projet'!$B$14,Paramètres!$A$1:$I$89,5,0)</f>
        <v>0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190.9519472160006</v>
      </c>
      <c r="DU107" s="59">
        <f t="shared" si="98"/>
        <v>170.61553500287511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75.198769382627475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75.198769382627475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67.691133049192189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>
        <f>EJ107*VLOOKUP('Données projet'!$B$15,Paramètres!$A$1:$I$89,3,0)*VLOOKUP('Données projet'!$B$15,Paramètres!$A$1:$I$89,5,0)</f>
        <v>0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331.94255128154623</v>
      </c>
      <c r="EP107" s="59">
        <f t="shared" si="100"/>
        <v>258.40809812013964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960.80388522204225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960.80388522204225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67.691133049192189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>
        <f>FE107*VLOOKUP('Données projet'!$B$16,Paramètres!$A$1:$I$89,3,0)*VLOOKUP('Données projet'!$B$16,Paramètres!$A$1:$I$89,5,0)</f>
        <v>0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290.72311302449236</v>
      </c>
      <c r="FK107" s="59">
        <f t="shared" si="102"/>
        <v>352.32552988394434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289.0525979718459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289.0525979718459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67.691133049192189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>
        <f>FZ107*VLOOKUP('Données projet'!$B$17,Paramètres!$A$1:$I$89,3,0)*VLOOKUP('Données projet'!$B$17,Paramètres!$A$1:$I$89,5,0)</f>
        <v>0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123.03972959251965</v>
      </c>
      <c r="GF107" s="59">
        <f t="shared" si="104"/>
        <v>178.27657680839445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62.827306692788746</v>
      </c>
      <c r="GM107" s="21">
        <f>EXP(-LN(2)/25)*GM106+(1-EXP(-LN(2)/25))/(LN(2)/25)*Calculateur!GH107*Calculateur!GJ107*VLOOKUP('Données projet'!$B$17,Paramètres!$A$1:$I$89,3,0)*0.475*44/12</f>
        <v>13.086499579824309</v>
      </c>
      <c r="GN107" s="21">
        <f>EXP(-LN(2)/2)*GN106+(1-EXP(-LN(2)/2))/(LN(2)/2)*GH107*GK107*VLOOKUP('Données projet'!$B$17,Paramètres!$A$1:$I$89,3,0)*0.475*44/12</f>
        <v>7.7985836554707809E-5</v>
      </c>
      <c r="GO107" s="21">
        <f t="shared" si="81"/>
        <v>75.913884258449613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67.691133049192189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-4.5474735088646412E-13</v>
      </c>
      <c r="GV107" s="17">
        <f>GU107*VLOOKUP('Données projet'!$B$18,Paramètres!$A$1:$I$89,3,0)*VLOOKUP('Données projet'!$B$18,Paramètres!$A$1:$I$89,5,0)</f>
        <v>-3.0504452297464016E-13</v>
      </c>
      <c r="GW107" s="13" t="e">
        <f t="shared" si="105"/>
        <v>#NUM!</v>
      </c>
      <c r="GX107" s="20" t="e">
        <f t="shared" si="82"/>
        <v>#NUM!</v>
      </c>
      <c r="GY107" s="59" t="e">
        <f t="shared" si="83"/>
        <v>#NUM!</v>
      </c>
      <c r="GZ107" s="59">
        <f ca="1">AVERAGE(OFFSET($GY$3,0,0,'Données projet'!$E$18+1,1))-AVERAGE(OFFSET($H$3,0,0,'Données projet'!$E$18+1,1))</f>
        <v>542.25674729323623</v>
      </c>
      <c r="HA107" s="59">
        <f t="shared" si="106"/>
        <v>614.73906555680685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388.83273026142325</v>
      </c>
      <c r="HH107" s="21">
        <f>EXP(-LN(2)/25)*HH106+(1-EXP(-LN(2)/25))/(LN(2)/25)*Calculateur!HC107*Calculateur!HE107*VLOOKUP('Données projet'!$B$18,Paramètres!$A$1:$I$89,3,0)*0.475*44/12</f>
        <v>0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388.83273026142325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2.8499999999999996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10.449999999999998</v>
      </c>
      <c r="H108" s="67">
        <f t="shared" si="56"/>
        <v>214.86666666666667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67.731186728935512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-1.0231815394945443E-12</v>
      </c>
      <c r="O108" s="13">
        <f>N108*VLOOKUP('Données projet'!$B$9,Paramètres!$A$1:$I$89,3,0)*VLOOKUP('Données projet'!$B$9,Paramètres!$A$1:$I$89,5,0)</f>
        <v>-8.9385139290243408E-13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686.80970545599644</v>
      </c>
      <c r="T108" s="59">
        <f t="shared" si="88"/>
        <v>636.16485232937737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105.81021942092615</v>
      </c>
      <c r="AA108" s="21">
        <f>EXP(-LN(2)/25)*AA107+(1-EXP(-LN(2)/25))/(LN(2)/25)*Calculateur!V108*Calculateur!X108*VLOOKUP('Données projet'!$B$9,Paramètres!$A$1:$I$89,3,0)*0.475*44/12</f>
        <v>11.410487999757205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117.22070742068335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67.731186728935512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1.1368683772161603E-13</v>
      </c>
      <c r="AJ108" s="13">
        <f>AI108*VLOOKUP('Données projet'!$B$10,Paramètres!$A$1:$I$89,3,0)*VLOOKUP('Données projet'!$B$10,Paramètres!$A$1:$I$89,5,0)</f>
        <v>1.0286385077051818E-13</v>
      </c>
      <c r="AK108" s="13">
        <f t="shared" si="89"/>
        <v>1.5402366592183556E-12</v>
      </c>
      <c r="AL108" s="20">
        <f t="shared" si="58"/>
        <v>2.8617333882306215E-12</v>
      </c>
      <c r="AM108" s="59">
        <f t="shared" si="59"/>
        <v>285.01435133943306</v>
      </c>
      <c r="AN108" s="59">
        <f ca="1">AVERAGE(OFFSET($AM$3,0,0,'Données projet'!$E$10+1,1))-AVERAGE(OFFSET($H$3,0,0,'Données projet'!$E$10+1,1))</f>
        <v>323.67375363913726</v>
      </c>
      <c r="AO108" s="59">
        <f t="shared" si="90"/>
        <v>266.03902815735029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92.789004528054278</v>
      </c>
      <c r="AV108" s="21">
        <f>EXP(-LN(2)/25)*AV107+(1-EXP(-LN(2)/25))/(LN(2)/25)*Calculateur!AQ108*Calculateur!AS108*VLOOKUP('Données projet'!$B$10,Paramètres!$A$1:$I$89,3,0)*0.475*44/12</f>
        <v>26.339603695191791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119.12860822324606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67.731186728935512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371.46495716091965</v>
      </c>
      <c r="BJ108" s="59">
        <f t="shared" si="92"/>
        <v>579.95059529269417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67.712732447297697</v>
      </c>
      <c r="BQ108" s="21">
        <f>EXP(-LN(2)/25)*BQ107+(1-EXP(-LN(2)/25))/(LN(2)/25)*Calculateur!BL108*Calculateur!BN108*VLOOKUP('Données projet'!$B$11,Paramètres!$A$1:$I$89,3,0)*0.475*44/12</f>
        <v>13.053436198651321</v>
      </c>
      <c r="BR108" s="21">
        <f>EXP(-LN(2)/2)*BR107+(1-EXP(-LN(2)/2))/(LN(2)/2)*BL108*BO108*VLOOKUP('Données projet'!$B$11,Paramètres!$A$1:$I$89,3,0)*0.475*44/12</f>
        <v>3.6164982485427588E-8</v>
      </c>
      <c r="BS108" s="22">
        <f t="shared" si="63"/>
        <v>80.766168682113999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67.731186728935512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180.18752244216969</v>
      </c>
      <c r="CE108" s="59">
        <f t="shared" si="94"/>
        <v>350.12096474554676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81.763899410153371</v>
      </c>
      <c r="CL108" s="21">
        <f>EXP(-LN(2)/25)*CL107+(1-EXP(-LN(2)/25))/(LN(2)/25)*Calculateur!CG108*Calculateur!CI108*VLOOKUP('Données projet'!$B$12,Paramètres!$A$1:$I$89,3,0)*0.475*44/12</f>
        <v>23.273979835025848</v>
      </c>
      <c r="CM108" s="21">
        <f>EXP(-LN(2)/2)*CM107+(1-EXP(-LN(2)/2))/(LN(2)/2)*CG108*CJ108*VLOOKUP('Données projet'!$B$12,Paramètres!$A$1:$I$89,3,0)*0.475*44/12</f>
        <v>2.7476311677699888E-8</v>
      </c>
      <c r="CN108" s="22">
        <f t="shared" si="66"/>
        <v>105.03787927265554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67.731186728935512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5.6843418860808015E-14</v>
      </c>
      <c r="CU108" s="17">
        <f>CT108*VLOOKUP('Données projet'!$B$13,Paramètres!$A$1:$I$89,3,0)*VLOOKUP('Données projet'!$B$13,Paramètres!$A$1:$I$89,5,0)</f>
        <v>4.5224624045658861E-14</v>
      </c>
      <c r="CV108" s="13">
        <f t="shared" si="95"/>
        <v>7.4514601661523691E-13</v>
      </c>
      <c r="CW108" s="20">
        <f t="shared" si="67"/>
        <v>1.3765621991510601E-12</v>
      </c>
      <c r="CX108" s="59">
        <f t="shared" si="68"/>
        <v>285.01435133943158</v>
      </c>
      <c r="CY108" s="59">
        <f ca="1">AVERAGE(OFFSET($CX$3,0,0,'Données projet'!$E$13+1,1))-AVERAGE(OFFSET($H$3,0,0,'Données projet'!$E$13+1,1))</f>
        <v>284.31574332240928</v>
      </c>
      <c r="CZ108" s="59">
        <f t="shared" si="96"/>
        <v>403.96994631683913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344.30693961953847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344.30693961953847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67.731186728935512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>
        <f>DO108*VLOOKUP('Données projet'!$B$14,Paramètres!$A$1:$I$89,3,0)*VLOOKUP('Données projet'!$B$14,Paramètres!$A$1:$I$89,5,0)</f>
        <v>0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190.9519472160006</v>
      </c>
      <c r="DU108" s="59">
        <f t="shared" si="98"/>
        <v>170.61553500287511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73.724167381754512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73.724167381754512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67.731186728935512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>
        <f>EJ108*VLOOKUP('Données projet'!$B$15,Paramètres!$A$1:$I$89,3,0)*VLOOKUP('Données projet'!$B$15,Paramètres!$A$1:$I$89,5,0)</f>
        <v>0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331.94255128154623</v>
      </c>
      <c r="EP108" s="59">
        <f t="shared" si="100"/>
        <v>258.40809812013964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941.96310706534211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941.96310706534211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67.731186728935512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>
        <f>FE108*VLOOKUP('Données projet'!$B$16,Paramètres!$A$1:$I$89,3,0)*VLOOKUP('Données projet'!$B$16,Paramètres!$A$1:$I$89,5,0)</f>
        <v>0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290.72311302449236</v>
      </c>
      <c r="FK108" s="59">
        <f t="shared" si="102"/>
        <v>352.32552988394434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283.38445283029409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283.38445283029409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67.731186728935512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>
        <f>FZ108*VLOOKUP('Données projet'!$B$17,Paramètres!$A$1:$I$89,3,0)*VLOOKUP('Données projet'!$B$17,Paramètres!$A$1:$I$89,5,0)</f>
        <v>0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123.03972959251965</v>
      </c>
      <c r="GF108" s="59">
        <f t="shared" si="104"/>
        <v>178.27657680839445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61.595301529416368</v>
      </c>
      <c r="GM108" s="21">
        <f>EXP(-LN(2)/25)*GM107+(1-EXP(-LN(2)/25))/(LN(2)/25)*Calculateur!GH108*Calculateur!GJ108*VLOOKUP('Données projet'!$B$17,Paramètres!$A$1:$I$89,3,0)*0.475*44/12</f>
        <v>12.72864856062491</v>
      </c>
      <c r="GN108" s="21">
        <f>EXP(-LN(2)/2)*GN107+(1-EXP(-LN(2)/2))/(LN(2)/2)*GH108*GK108*VLOOKUP('Données projet'!$B$17,Paramètres!$A$1:$I$89,3,0)*0.475*44/12</f>
        <v>5.5144313864339635E-5</v>
      </c>
      <c r="GO108" s="21">
        <f t="shared" si="81"/>
        <v>74.324005234355141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67.731186728935512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-4.5474735088646412E-13</v>
      </c>
      <c r="GV108" s="17">
        <f>GU108*VLOOKUP('Données projet'!$B$18,Paramètres!$A$1:$I$89,3,0)*VLOOKUP('Données projet'!$B$18,Paramètres!$A$1:$I$89,5,0)</f>
        <v>-3.0504452297464016E-13</v>
      </c>
      <c r="GW108" s="13" t="e">
        <f t="shared" si="105"/>
        <v>#NUM!</v>
      </c>
      <c r="GX108" s="20" t="e">
        <f t="shared" si="82"/>
        <v>#NUM!</v>
      </c>
      <c r="GY108" s="59" t="e">
        <f t="shared" si="83"/>
        <v>#NUM!</v>
      </c>
      <c r="GZ108" s="59">
        <f ca="1">AVERAGE(OFFSET($GY$3,0,0,'Données projet'!$E$18+1,1))-AVERAGE(OFFSET($H$3,0,0,'Données projet'!$E$18+1,1))</f>
        <v>542.25674729323623</v>
      </c>
      <c r="HA108" s="59">
        <f t="shared" si="106"/>
        <v>614.73906555680685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381.20795758554414</v>
      </c>
      <c r="HH108" s="21">
        <f>EXP(-LN(2)/25)*HH107+(1-EXP(-LN(2)/25))/(LN(2)/25)*Calculateur!HC108*Calculateur!HE108*VLOOKUP('Données projet'!$B$18,Paramètres!$A$1:$I$89,3,0)*0.475*44/12</f>
        <v>0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381.20795758554414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2.8499999999999996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10.449999999999998</v>
      </c>
      <c r="H109" s="67">
        <f t="shared" si="56"/>
        <v>214.86666666666667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67.770545566881893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-1.0231815394945443E-12</v>
      </c>
      <c r="O109" s="13">
        <f>N109*VLOOKUP('Données projet'!$B$9,Paramètres!$A$1:$I$89,3,0)*VLOOKUP('Données projet'!$B$9,Paramètres!$A$1:$I$89,5,0)</f>
        <v>-8.9385139290243408E-13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686.80970545599644</v>
      </c>
      <c r="T109" s="59">
        <f t="shared" si="88"/>
        <v>636.16485232937737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103.73534555594304</v>
      </c>
      <c r="AA109" s="21">
        <f>EXP(-LN(2)/25)*AA108+(1-EXP(-LN(2)/25))/(LN(2)/25)*Calculateur!V109*Calculateur!X109*VLOOKUP('Données projet'!$B$9,Paramètres!$A$1:$I$89,3,0)*0.475*44/12</f>
        <v>11.09846760535236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114.8338131612954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67.770545566881893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1.1368683772161603E-13</v>
      </c>
      <c r="AJ109" s="13">
        <f>AI109*VLOOKUP('Données projet'!$B$10,Paramètres!$A$1:$I$89,3,0)*VLOOKUP('Données projet'!$B$10,Paramètres!$A$1:$I$89,5,0)</f>
        <v>1.0286385077051818E-13</v>
      </c>
      <c r="AK109" s="13">
        <f t="shared" si="89"/>
        <v>1.5402366592183556E-12</v>
      </c>
      <c r="AL109" s="20">
        <f t="shared" si="58"/>
        <v>2.8617333882306215E-12</v>
      </c>
      <c r="AM109" s="59">
        <f t="shared" si="59"/>
        <v>285.15866707856975</v>
      </c>
      <c r="AN109" s="59">
        <f ca="1">AVERAGE(OFFSET($AM$3,0,0,'Données projet'!$E$10+1,1))-AVERAGE(OFFSET($H$3,0,0,'Données projet'!$E$10+1,1))</f>
        <v>323.67375363913726</v>
      </c>
      <c r="AO109" s="59">
        <f t="shared" si="90"/>
        <v>266.03902815735029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90.969468744963535</v>
      </c>
      <c r="AV109" s="21">
        <f>EXP(-LN(2)/25)*AV108+(1-EXP(-LN(2)/25))/(LN(2)/25)*Calculateur!AQ109*Calculateur!AS109*VLOOKUP('Données projet'!$B$10,Paramètres!$A$1:$I$89,3,0)*0.475*44/12</f>
        <v>25.619345847007214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116.58881459197075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67.770545566881893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371.46495716091965</v>
      </c>
      <c r="BJ109" s="59">
        <f t="shared" si="92"/>
        <v>579.95059529269417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66.384927064694878</v>
      </c>
      <c r="BQ109" s="21">
        <f>EXP(-LN(2)/25)*BQ108+(1-EXP(-LN(2)/25))/(LN(2)/25)*Calculateur!BL109*Calculateur!BN109*VLOOKUP('Données projet'!$B$11,Paramètres!$A$1:$I$89,3,0)*0.475*44/12</f>
        <v>12.696489299348825</v>
      </c>
      <c r="BR109" s="21">
        <f>EXP(-LN(2)/2)*BR108+(1-EXP(-LN(2)/2))/(LN(2)/2)*BL109*BO109*VLOOKUP('Données projet'!$B$11,Paramètres!$A$1:$I$89,3,0)*0.475*44/12</f>
        <v>2.557250435693857E-8</v>
      </c>
      <c r="BS109" s="22">
        <f t="shared" si="63"/>
        <v>79.081416389616209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67.770545566881893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180.18752244216969</v>
      </c>
      <c r="CE109" s="59">
        <f t="shared" si="94"/>
        <v>350.12096474554676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80.160559213774548</v>
      </c>
      <c r="CL109" s="21">
        <f>EXP(-LN(2)/25)*CL108+(1-EXP(-LN(2)/25))/(LN(2)/25)*Calculateur!CG109*Calculateur!CI109*VLOOKUP('Données projet'!$B$12,Paramètres!$A$1:$I$89,3,0)*0.475*44/12</f>
        <v>22.637551632511659</v>
      </c>
      <c r="CM109" s="21">
        <f>EXP(-LN(2)/2)*CM108+(1-EXP(-LN(2)/2))/(LN(2)/2)*CG109*CJ109*VLOOKUP('Données projet'!$B$12,Paramètres!$A$1:$I$89,3,0)*0.475*44/12</f>
        <v>1.9428686309296715E-8</v>
      </c>
      <c r="CN109" s="22">
        <f t="shared" si="66"/>
        <v>102.79811086571489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67.770545566881893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5.6843418860808015E-14</v>
      </c>
      <c r="CU109" s="17">
        <f>CT109*VLOOKUP('Données projet'!$B$13,Paramètres!$A$1:$I$89,3,0)*VLOOKUP('Données projet'!$B$13,Paramètres!$A$1:$I$89,5,0)</f>
        <v>4.5224624045658861E-14</v>
      </c>
      <c r="CV109" s="13">
        <f t="shared" si="95"/>
        <v>7.4514601661523691E-13</v>
      </c>
      <c r="CW109" s="20">
        <f t="shared" si="67"/>
        <v>1.3765621991510601E-12</v>
      </c>
      <c r="CX109" s="59">
        <f t="shared" si="68"/>
        <v>285.15866707856827</v>
      </c>
      <c r="CY109" s="59">
        <f ca="1">AVERAGE(OFFSET($CX$3,0,0,'Données projet'!$E$13+1,1))-AVERAGE(OFFSET($H$3,0,0,'Données projet'!$E$13+1,1))</f>
        <v>284.31574332240928</v>
      </c>
      <c r="CZ109" s="59">
        <f t="shared" si="96"/>
        <v>403.96994631683913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337.55529054009605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337.55529054009605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67.770545566881893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>
        <f>DO109*VLOOKUP('Données projet'!$B$14,Paramètres!$A$1:$I$89,3,0)*VLOOKUP('Données projet'!$B$14,Paramètres!$A$1:$I$89,5,0)</f>
        <v>0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190.9519472160006</v>
      </c>
      <c r="DU109" s="59">
        <f t="shared" si="98"/>
        <v>170.61553500287511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72.278481426700253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72.278481426700253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67.770545566881893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>
        <f>EJ109*VLOOKUP('Données projet'!$B$15,Paramètres!$A$1:$I$89,3,0)*VLOOKUP('Données projet'!$B$15,Paramètres!$A$1:$I$89,5,0)</f>
        <v>0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331.94255128154623</v>
      </c>
      <c r="EP109" s="59">
        <f t="shared" si="100"/>
        <v>258.40809812013964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923.49178507655483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923.49178507655483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67.770545566881893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>
        <f>FE109*VLOOKUP('Données projet'!$B$16,Paramètres!$A$1:$I$89,3,0)*VLOOKUP('Données projet'!$B$16,Paramètres!$A$1:$I$89,5,0)</f>
        <v>0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290.72311302449236</v>
      </c>
      <c r="FK109" s="59">
        <f t="shared" si="102"/>
        <v>352.32552988394434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277.82745655774096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277.82745655774096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67.770545566881893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>
        <f>FZ109*VLOOKUP('Données projet'!$B$17,Paramètres!$A$1:$I$89,3,0)*VLOOKUP('Données projet'!$B$17,Paramètres!$A$1:$I$89,5,0)</f>
        <v>0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123.03972959251965</v>
      </c>
      <c r="GF109" s="59">
        <f t="shared" si="104"/>
        <v>178.27657680839445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60.387455235848776</v>
      </c>
      <c r="GM109" s="21">
        <f>EXP(-LN(2)/25)*GM108+(1-EXP(-LN(2)/25))/(LN(2)/25)*Calculateur!GH109*Calculateur!GJ109*VLOOKUP('Données projet'!$B$17,Paramètres!$A$1:$I$89,3,0)*0.475*44/12</f>
        <v>12.380582996364085</v>
      </c>
      <c r="GN109" s="21">
        <f>EXP(-LN(2)/2)*GN108+(1-EXP(-LN(2)/2))/(LN(2)/2)*GH109*GK109*VLOOKUP('Données projet'!$B$17,Paramètres!$A$1:$I$89,3,0)*0.475*44/12</f>
        <v>3.8992918277353905E-5</v>
      </c>
      <c r="GO109" s="21">
        <f t="shared" si="81"/>
        <v>72.768077225131137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67.770545566881893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-4.5474735088646412E-13</v>
      </c>
      <c r="GV109" s="17">
        <f>GU109*VLOOKUP('Données projet'!$B$18,Paramètres!$A$1:$I$89,3,0)*VLOOKUP('Données projet'!$B$18,Paramètres!$A$1:$I$89,5,0)</f>
        <v>-3.0504452297464016E-13</v>
      </c>
      <c r="GW109" s="13" t="e">
        <f t="shared" si="105"/>
        <v>#NUM!</v>
      </c>
      <c r="GX109" s="20" t="e">
        <f t="shared" si="82"/>
        <v>#NUM!</v>
      </c>
      <c r="GY109" s="59" t="e">
        <f t="shared" si="83"/>
        <v>#NUM!</v>
      </c>
      <c r="GZ109" s="59">
        <f ca="1">AVERAGE(OFFSET($GY$3,0,0,'Données projet'!$E$18+1,1))-AVERAGE(OFFSET($H$3,0,0,'Données projet'!$E$18+1,1))</f>
        <v>542.25674729323623</v>
      </c>
      <c r="HA109" s="59">
        <f t="shared" si="106"/>
        <v>614.73906555680685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373.73270205118689</v>
      </c>
      <c r="HH109" s="21">
        <f>EXP(-LN(2)/25)*HH108+(1-EXP(-LN(2)/25))/(LN(2)/25)*Calculateur!HC109*Calculateur!HE109*VLOOKUP('Données projet'!$B$18,Paramètres!$A$1:$I$89,3,0)*0.475*44/12</f>
        <v>0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373.73270205118689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2.8499999999999996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10.449999999999998</v>
      </c>
      <c r="H110" s="67">
        <f t="shared" si="56"/>
        <v>214.86666666666667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67.809221616983081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-1.0231815394945443E-12</v>
      </c>
      <c r="O110" s="13">
        <f>N110*VLOOKUP('Données projet'!$B$9,Paramètres!$A$1:$I$89,3,0)*VLOOKUP('Données projet'!$B$9,Paramètres!$A$1:$I$89,5,0)</f>
        <v>-8.9385139290243408E-13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686.80970545599644</v>
      </c>
      <c r="T110" s="59">
        <f t="shared" si="88"/>
        <v>636.16485232937737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101.70115870190416</v>
      </c>
      <c r="AA110" s="21">
        <f>EXP(-LN(2)/25)*AA109+(1-EXP(-LN(2)/25))/(LN(2)/25)*Calculateur!V110*Calculateur!X110*VLOOKUP('Données projet'!$B$9,Paramètres!$A$1:$I$89,3,0)*0.475*44/12</f>
        <v>10.794979425040953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112.49613812694511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67.809221616983081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1.1368683772161603E-13</v>
      </c>
      <c r="AJ110" s="13">
        <f>AI110*VLOOKUP('Données projet'!$B$10,Paramètres!$A$1:$I$89,3,0)*VLOOKUP('Données projet'!$B$10,Paramètres!$A$1:$I$89,5,0)</f>
        <v>1.0286385077051818E-13</v>
      </c>
      <c r="AK110" s="13">
        <f t="shared" si="89"/>
        <v>1.5402366592183556E-12</v>
      </c>
      <c r="AL110" s="20">
        <f t="shared" si="58"/>
        <v>2.8617333882306215E-12</v>
      </c>
      <c r="AM110" s="59">
        <f t="shared" si="59"/>
        <v>285.30047926227411</v>
      </c>
      <c r="AN110" s="59">
        <f ca="1">AVERAGE(OFFSET($AM$3,0,0,'Données projet'!$E$10+1,1))-AVERAGE(OFFSET($H$3,0,0,'Données projet'!$E$10+1,1))</f>
        <v>323.67375363913726</v>
      </c>
      <c r="AO110" s="59">
        <f t="shared" si="90"/>
        <v>266.03902815735029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89.185612948771961</v>
      </c>
      <c r="AV110" s="21">
        <f>EXP(-LN(2)/25)*AV109+(1-EXP(-LN(2)/25))/(LN(2)/25)*Calculateur!AQ110*Calculateur!AS110*VLOOKUP('Données projet'!$B$10,Paramètres!$A$1:$I$89,3,0)*0.475*44/12</f>
        <v>24.918783487557956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114.10439643632992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67.809221616983081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371.46495716091965</v>
      </c>
      <c r="BJ110" s="59">
        <f t="shared" si="92"/>
        <v>579.95059529269417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65.08315913576358</v>
      </c>
      <c r="BQ110" s="21">
        <f>EXP(-LN(2)/25)*BQ109+(1-EXP(-LN(2)/25))/(LN(2)/25)*Calculateur!BL110*Calculateur!BN110*VLOOKUP('Données projet'!$B$11,Paramètres!$A$1:$I$89,3,0)*0.475*44/12</f>
        <v>12.349303131778777</v>
      </c>
      <c r="BR110" s="21">
        <f>EXP(-LN(2)/2)*BR109+(1-EXP(-LN(2)/2))/(LN(2)/2)*BL110*BO110*VLOOKUP('Données projet'!$B$11,Paramètres!$A$1:$I$89,3,0)*0.475*44/12</f>
        <v>1.8082491242713794E-8</v>
      </c>
      <c r="BS110" s="22">
        <f t="shared" si="63"/>
        <v>77.432462285624851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67.809221616983081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180.18752244216969</v>
      </c>
      <c r="CE110" s="59">
        <f t="shared" si="94"/>
        <v>350.12096474554676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78.588659540705748</v>
      </c>
      <c r="CL110" s="21">
        <f>EXP(-LN(2)/25)*CL109+(1-EXP(-LN(2)/25))/(LN(2)/25)*Calculateur!CG110*Calculateur!CI110*VLOOKUP('Données projet'!$B$12,Paramètres!$A$1:$I$89,3,0)*0.475*44/12</f>
        <v>22.018526592663527</v>
      </c>
      <c r="CM110" s="21">
        <f>EXP(-LN(2)/2)*CM109+(1-EXP(-LN(2)/2))/(LN(2)/2)*CG110*CJ110*VLOOKUP('Données projet'!$B$12,Paramètres!$A$1:$I$89,3,0)*0.475*44/12</f>
        <v>1.3738155838849944E-8</v>
      </c>
      <c r="CN110" s="22">
        <f t="shared" si="66"/>
        <v>100.60718614710744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67.809221616983081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5.6843418860808015E-14</v>
      </c>
      <c r="CU110" s="17">
        <f>CT110*VLOOKUP('Données projet'!$B$13,Paramètres!$A$1:$I$89,3,0)*VLOOKUP('Données projet'!$B$13,Paramètres!$A$1:$I$89,5,0)</f>
        <v>4.5224624045658861E-14</v>
      </c>
      <c r="CV110" s="13">
        <f t="shared" si="95"/>
        <v>7.4514601661523691E-13</v>
      </c>
      <c r="CW110" s="20">
        <f t="shared" si="67"/>
        <v>1.3765621991510601E-12</v>
      </c>
      <c r="CX110" s="59">
        <f t="shared" si="68"/>
        <v>285.30047926227263</v>
      </c>
      <c r="CY110" s="59">
        <f ca="1">AVERAGE(OFFSET($CX$3,0,0,'Données projet'!$E$13+1,1))-AVERAGE(OFFSET($H$3,0,0,'Données projet'!$E$13+1,1))</f>
        <v>284.31574332240928</v>
      </c>
      <c r="CZ110" s="59">
        <f t="shared" si="96"/>
        <v>403.96994631683913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330.93603718100223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330.93603718100223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67.809221616983081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>
        <f>DO110*VLOOKUP('Données projet'!$B$14,Paramètres!$A$1:$I$89,3,0)*VLOOKUP('Données projet'!$B$14,Paramètres!$A$1:$I$89,5,0)</f>
        <v>0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190.9519472160006</v>
      </c>
      <c r="DU110" s="59">
        <f t="shared" si="98"/>
        <v>170.61553500287511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70.861144491443241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70.861144491443241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67.809221616983081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>
        <f>EJ110*VLOOKUP('Données projet'!$B$15,Paramètres!$A$1:$I$89,3,0)*VLOOKUP('Données projet'!$B$15,Paramètres!$A$1:$I$89,5,0)</f>
        <v>0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331.94255128154623</v>
      </c>
      <c r="EP110" s="59">
        <f t="shared" si="100"/>
        <v>258.40809812013964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905.3826744455738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905.3826744455738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67.809221616983081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>
        <f>FE110*VLOOKUP('Données projet'!$B$16,Paramètres!$A$1:$I$89,3,0)*VLOOKUP('Données projet'!$B$16,Paramètres!$A$1:$I$89,5,0)</f>
        <v>0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290.72311302449236</v>
      </c>
      <c r="FK110" s="59">
        <f t="shared" si="102"/>
        <v>352.32552988394434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272.37942959265956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272.37942959265956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67.809221616983081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>
        <f>FZ110*VLOOKUP('Données projet'!$B$17,Paramètres!$A$1:$I$89,3,0)*VLOOKUP('Données projet'!$B$17,Paramètres!$A$1:$I$89,5,0)</f>
        <v>0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123.03972959251965</v>
      </c>
      <c r="GF110" s="59">
        <f t="shared" si="104"/>
        <v>178.27657680839445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59.203294071384548</v>
      </c>
      <c r="GM110" s="21">
        <f>EXP(-LN(2)/25)*GM109+(1-EXP(-LN(2)/25))/(LN(2)/25)*Calculateur!GH110*Calculateur!GJ110*VLOOKUP('Données projet'!$B$17,Paramètres!$A$1:$I$89,3,0)*0.475*44/12</f>
        <v>12.042035303261946</v>
      </c>
      <c r="GN110" s="21">
        <f>EXP(-LN(2)/2)*GN109+(1-EXP(-LN(2)/2))/(LN(2)/2)*GH110*GK110*VLOOKUP('Données projet'!$B$17,Paramètres!$A$1:$I$89,3,0)*0.475*44/12</f>
        <v>2.7572156932169817E-5</v>
      </c>
      <c r="GO110" s="21">
        <f t="shared" si="81"/>
        <v>71.245356946803426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67.809221616983081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-4.5474735088646412E-13</v>
      </c>
      <c r="GV110" s="17">
        <f>GU110*VLOOKUP('Données projet'!$B$18,Paramètres!$A$1:$I$89,3,0)*VLOOKUP('Données projet'!$B$18,Paramètres!$A$1:$I$89,5,0)</f>
        <v>-3.0504452297464016E-13</v>
      </c>
      <c r="GW110" s="13" t="e">
        <f t="shared" si="105"/>
        <v>#NUM!</v>
      </c>
      <c r="GX110" s="20" t="e">
        <f t="shared" si="82"/>
        <v>#NUM!</v>
      </c>
      <c r="GY110" s="59" t="e">
        <f t="shared" si="83"/>
        <v>#NUM!</v>
      </c>
      <c r="GZ110" s="59">
        <f ca="1">AVERAGE(OFFSET($GY$3,0,0,'Données projet'!$E$18+1,1))-AVERAGE(OFFSET($H$3,0,0,'Données projet'!$E$18+1,1))</f>
        <v>542.25674729323623</v>
      </c>
      <c r="HA110" s="59">
        <f t="shared" si="106"/>
        <v>614.73906555680685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366.40403171840273</v>
      </c>
      <c r="HH110" s="21">
        <f>EXP(-LN(2)/25)*HH109+(1-EXP(-LN(2)/25))/(LN(2)/25)*Calculateur!HC110*Calculateur!HE110*VLOOKUP('Données projet'!$B$18,Paramètres!$A$1:$I$89,3,0)*0.475*44/12</f>
        <v>0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366.40403171840273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2.8499999999999996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10.449999999999998</v>
      </c>
      <c r="H111" s="67">
        <f t="shared" si="56"/>
        <v>214.86666666666667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67.847226724081708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-1.0231815394945443E-12</v>
      </c>
      <c r="O111" s="13">
        <f>N111*VLOOKUP('Données projet'!$B$9,Paramètres!$A$1:$I$89,3,0)*VLOOKUP('Données projet'!$B$9,Paramètres!$A$1:$I$89,5,0)</f>
        <v>-8.9385139290243408E-13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686.80970545599644</v>
      </c>
      <c r="T111" s="59">
        <f t="shared" si="88"/>
        <v>636.16485232937737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99.706861011341516</v>
      </c>
      <c r="AA111" s="21">
        <f>EXP(-LN(2)/25)*AA110+(1-EXP(-LN(2)/25))/(LN(2)/25)*Calculateur!V111*Calculateur!X111*VLOOKUP('Données projet'!$B$9,Paramètres!$A$1:$I$89,3,0)*0.475*44/12</f>
        <v>10.499790144979913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110.20665115632143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67.847226724081708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1.1368683772161603E-13</v>
      </c>
      <c r="AJ111" s="13">
        <f>AI111*VLOOKUP('Données projet'!$B$10,Paramètres!$A$1:$I$89,3,0)*VLOOKUP('Données projet'!$B$10,Paramètres!$A$1:$I$89,5,0)</f>
        <v>1.0286385077051818E-13</v>
      </c>
      <c r="AK111" s="13">
        <f t="shared" si="89"/>
        <v>1.5402366592183556E-12</v>
      </c>
      <c r="AL111" s="20">
        <f t="shared" si="58"/>
        <v>2.8617333882306215E-12</v>
      </c>
      <c r="AM111" s="59">
        <f t="shared" si="59"/>
        <v>285.43983132163578</v>
      </c>
      <c r="AN111" s="59">
        <f ca="1">AVERAGE(OFFSET($AM$3,0,0,'Données projet'!$E$10+1,1))-AVERAGE(OFFSET($H$3,0,0,'Données projet'!$E$10+1,1))</f>
        <v>323.67375363913726</v>
      </c>
      <c r="AO111" s="59">
        <f t="shared" si="90"/>
        <v>266.03902815735029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87.436737476699093</v>
      </c>
      <c r="AV111" s="21">
        <f>EXP(-LN(2)/25)*AV110+(1-EXP(-LN(2)/25))/(LN(2)/25)*Calculateur!AQ111*Calculateur!AS111*VLOOKUP('Données projet'!$B$10,Paramètres!$A$1:$I$89,3,0)*0.475*44/12</f>
        <v>24.237378042668812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111.6741155193679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67.847226724081708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371.46495716091965</v>
      </c>
      <c r="BJ111" s="59">
        <f t="shared" si="92"/>
        <v>579.95059529269417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63.806918081918596</v>
      </c>
      <c r="BQ111" s="21">
        <f>EXP(-LN(2)/25)*BQ110+(1-EXP(-LN(2)/25))/(LN(2)/25)*Calculateur!BL111*Calculateur!BN111*VLOOKUP('Données projet'!$B$11,Paramètres!$A$1:$I$89,3,0)*0.475*44/12</f>
        <v>12.011610788218659</v>
      </c>
      <c r="BR111" s="21">
        <f>EXP(-LN(2)/2)*BR110+(1-EXP(-LN(2)/2))/(LN(2)/2)*BL111*BO111*VLOOKUP('Données projet'!$B$11,Paramètres!$A$1:$I$89,3,0)*0.475*44/12</f>
        <v>1.2786252178469285E-8</v>
      </c>
      <c r="BS111" s="22">
        <f t="shared" si="63"/>
        <v>75.818528882923516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67.847226724081708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180.18752244216969</v>
      </c>
      <c r="CE111" s="59">
        <f t="shared" si="94"/>
        <v>350.12096474554676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77.047583861461703</v>
      </c>
      <c r="CL111" s="21">
        <f>EXP(-LN(2)/25)*CL110+(1-EXP(-LN(2)/25))/(LN(2)/25)*Calculateur!CG111*Calculateur!CI111*VLOOKUP('Données projet'!$B$12,Paramètres!$A$1:$I$89,3,0)*0.475*44/12</f>
        <v>21.416428825083152</v>
      </c>
      <c r="CM111" s="21">
        <f>EXP(-LN(2)/2)*CM110+(1-EXP(-LN(2)/2))/(LN(2)/2)*CG111*CJ111*VLOOKUP('Données projet'!$B$12,Paramètres!$A$1:$I$89,3,0)*0.475*44/12</f>
        <v>9.7143431546483575E-9</v>
      </c>
      <c r="CN111" s="22">
        <f t="shared" si="66"/>
        <v>98.464012696259203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67.847226724081708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5.6843418860808015E-14</v>
      </c>
      <c r="CU111" s="17">
        <f>CT111*VLOOKUP('Données projet'!$B$13,Paramètres!$A$1:$I$89,3,0)*VLOOKUP('Données projet'!$B$13,Paramètres!$A$1:$I$89,5,0)</f>
        <v>4.5224624045658861E-14</v>
      </c>
      <c r="CV111" s="13">
        <f t="shared" si="95"/>
        <v>7.4514601661523691E-13</v>
      </c>
      <c r="CW111" s="20">
        <f t="shared" si="67"/>
        <v>1.3765621991510601E-12</v>
      </c>
      <c r="CX111" s="59">
        <f t="shared" si="68"/>
        <v>285.4398313216343</v>
      </c>
      <c r="CY111" s="59">
        <f ca="1">AVERAGE(OFFSET($CX$3,0,0,'Données projet'!$E$13+1,1))-AVERAGE(OFFSET($H$3,0,0,'Données projet'!$E$13+1,1))</f>
        <v>284.31574332240928</v>
      </c>
      <c r="CZ111" s="59">
        <f t="shared" si="96"/>
        <v>403.96994631683913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324.44658334293433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324.44658334293433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67.847226724081708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>
        <f>DO111*VLOOKUP('Données projet'!$B$14,Paramètres!$A$1:$I$89,3,0)*VLOOKUP('Données projet'!$B$14,Paramètres!$A$1:$I$89,5,0)</f>
        <v>0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190.9519472160006</v>
      </c>
      <c r="DU111" s="59">
        <f t="shared" si="98"/>
        <v>170.61553500287511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69.471600668996459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69.471600668996459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67.847226724081708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>
        <f>EJ111*VLOOKUP('Données projet'!$B$15,Paramètres!$A$1:$I$89,3,0)*VLOOKUP('Données projet'!$B$15,Paramètres!$A$1:$I$89,5,0)</f>
        <v>0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331.94255128154623</v>
      </c>
      <c r="EP111" s="59">
        <f t="shared" si="100"/>
        <v>258.40809812013964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887.62867242859943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887.62867242859943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67.847226724081708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>
        <f>FE111*VLOOKUP('Données projet'!$B$16,Paramètres!$A$1:$I$89,3,0)*VLOOKUP('Données projet'!$B$16,Paramètres!$A$1:$I$89,5,0)</f>
        <v>0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290.72311302449236</v>
      </c>
      <c r="FK111" s="59">
        <f t="shared" si="102"/>
        <v>352.32552988394434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267.0382351133951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267.0382351133951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67.847226724081708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>
        <f>FZ111*VLOOKUP('Données projet'!$B$17,Paramètres!$A$1:$I$89,3,0)*VLOOKUP('Données projet'!$B$17,Paramètres!$A$1:$I$89,5,0)</f>
        <v>0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123.03972959251965</v>
      </c>
      <c r="GF111" s="59">
        <f t="shared" si="104"/>
        <v>178.27657680839445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58.04235358508847</v>
      </c>
      <c r="GM111" s="21">
        <f>EXP(-LN(2)/25)*GM110+(1-EXP(-LN(2)/25))/(LN(2)/25)*Calculateur!GH111*Calculateur!GJ111*VLOOKUP('Données projet'!$B$17,Paramètres!$A$1:$I$89,3,0)*0.475*44/12</f>
        <v>11.712745214631134</v>
      </c>
      <c r="GN111" s="21">
        <f>EXP(-LN(2)/2)*GN110+(1-EXP(-LN(2)/2))/(LN(2)/2)*GH111*GK111*VLOOKUP('Données projet'!$B$17,Paramètres!$A$1:$I$89,3,0)*0.475*44/12</f>
        <v>1.9496459138676952E-5</v>
      </c>
      <c r="GO111" s="21">
        <f t="shared" si="81"/>
        <v>69.755118296178736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67.847226724081708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-4.5474735088646412E-13</v>
      </c>
      <c r="GV111" s="17">
        <f>GU111*VLOOKUP('Données projet'!$B$18,Paramètres!$A$1:$I$89,3,0)*VLOOKUP('Données projet'!$B$18,Paramètres!$A$1:$I$89,5,0)</f>
        <v>-3.0504452297464016E-13</v>
      </c>
      <c r="GW111" s="13" t="e">
        <f t="shared" si="105"/>
        <v>#NUM!</v>
      </c>
      <c r="GX111" s="20" t="e">
        <f t="shared" si="82"/>
        <v>#NUM!</v>
      </c>
      <c r="GY111" s="59" t="e">
        <f t="shared" si="83"/>
        <v>#NUM!</v>
      </c>
      <c r="GZ111" s="59">
        <f ca="1">AVERAGE(OFFSET($GY$3,0,0,'Données projet'!$E$18+1,1))-AVERAGE(OFFSET($H$3,0,0,'Données projet'!$E$18+1,1))</f>
        <v>542.25674729323623</v>
      </c>
      <c r="HA111" s="59">
        <f t="shared" si="106"/>
        <v>614.73906555680685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359.21907214079698</v>
      </c>
      <c r="HH111" s="21">
        <f>EXP(-LN(2)/25)*HH110+(1-EXP(-LN(2)/25))/(LN(2)/25)*Calculateur!HC111*Calculateur!HE111*VLOOKUP('Données projet'!$B$18,Paramètres!$A$1:$I$89,3,0)*0.475*44/12</f>
        <v>0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359.21907214079698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2.8499999999999996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10.449999999999998</v>
      </c>
      <c r="H112" s="67">
        <f t="shared" si="56"/>
        <v>214.86666666666667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67.884572527538879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-1.0231815394945443E-12</v>
      </c>
      <c r="O112" s="13">
        <f>N112*VLOOKUP('Données projet'!$B$9,Paramètres!$A$1:$I$89,3,0)*VLOOKUP('Données projet'!$B$9,Paramètres!$A$1:$I$89,5,0)</f>
        <v>-8.9385139290243408E-13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686.80970545599644</v>
      </c>
      <c r="T112" s="59">
        <f t="shared" si="88"/>
        <v>636.16485232937737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97.751670282089322</v>
      </c>
      <c r="AA112" s="21">
        <f>EXP(-LN(2)/25)*AA111+(1-EXP(-LN(2)/25))/(LN(2)/25)*Calculateur!V112*Calculateur!X112*VLOOKUP('Données projet'!$B$9,Paramètres!$A$1:$I$89,3,0)*0.475*44/12</f>
        <v>10.212672831305472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107.96434311339479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67.884572527538879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1.1368683772161603E-13</v>
      </c>
      <c r="AJ112" s="13">
        <f>AI112*VLOOKUP('Données projet'!$B$10,Paramètres!$A$1:$I$89,3,0)*VLOOKUP('Données projet'!$B$10,Paramètres!$A$1:$I$89,5,0)</f>
        <v>1.0286385077051818E-13</v>
      </c>
      <c r="AK112" s="13">
        <f t="shared" si="89"/>
        <v>1.5402366592183556E-12</v>
      </c>
      <c r="AL112" s="20">
        <f t="shared" si="58"/>
        <v>2.8617333882306215E-12</v>
      </c>
      <c r="AM112" s="59">
        <f t="shared" si="59"/>
        <v>285.57676593431205</v>
      </c>
      <c r="AN112" s="59">
        <f ca="1">AVERAGE(OFFSET($AM$3,0,0,'Données projet'!$E$10+1,1))-AVERAGE(OFFSET($H$3,0,0,'Données projet'!$E$10+1,1))</f>
        <v>323.67375363913726</v>
      </c>
      <c r="AO112" s="59">
        <f t="shared" si="90"/>
        <v>266.03902815735029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85.722156385924876</v>
      </c>
      <c r="AV112" s="21">
        <f>EXP(-LN(2)/25)*AV111+(1-EXP(-LN(2)/25))/(LN(2)/25)*Calculateur!AQ112*Calculateur!AS112*VLOOKUP('Données projet'!$B$10,Paramètres!$A$1:$I$89,3,0)*0.475*44/12</f>
        <v>23.574605665503718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109.2967620514286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67.884572527538879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371.46495716091965</v>
      </c>
      <c r="BJ112" s="59">
        <f t="shared" si="92"/>
        <v>579.95059529269417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62.555703336709328</v>
      </c>
      <c r="BQ112" s="21">
        <f>EXP(-LN(2)/25)*BQ111+(1-EXP(-LN(2)/25))/(LN(2)/25)*Calculateur!BL112*Calculateur!BN112*VLOOKUP('Données projet'!$B$11,Paramètres!$A$1:$I$89,3,0)*0.475*44/12</f>
        <v>11.683152659551661</v>
      </c>
      <c r="BR112" s="21">
        <f>EXP(-LN(2)/2)*BR111+(1-EXP(-LN(2)/2))/(LN(2)/2)*BL112*BO112*VLOOKUP('Données projet'!$B$11,Paramètres!$A$1:$I$89,3,0)*0.475*44/12</f>
        <v>9.0412456213568971E-9</v>
      </c>
      <c r="BS112" s="22">
        <f t="shared" si="63"/>
        <v>74.238856005302239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67.884572527538879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180.18752244216969</v>
      </c>
      <c r="CE112" s="59">
        <f t="shared" si="94"/>
        <v>350.12096474554676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75.536727736324281</v>
      </c>
      <c r="CL112" s="21">
        <f>EXP(-LN(2)/25)*CL111+(1-EXP(-LN(2)/25))/(LN(2)/25)*Calculateur!CG112*Calculateur!CI112*VLOOKUP('Données projet'!$B$12,Paramètres!$A$1:$I$89,3,0)*0.475*44/12</f>
        <v>20.830795452620208</v>
      </c>
      <c r="CM112" s="21">
        <f>EXP(-LN(2)/2)*CM111+(1-EXP(-LN(2)/2))/(LN(2)/2)*CG112*CJ112*VLOOKUP('Données projet'!$B$12,Paramètres!$A$1:$I$89,3,0)*0.475*44/12</f>
        <v>6.869077919424972E-9</v>
      </c>
      <c r="CN112" s="22">
        <f t="shared" si="66"/>
        <v>96.367523195813561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67.884572527538879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5.6843418860808015E-14</v>
      </c>
      <c r="CU112" s="17">
        <f>CT112*VLOOKUP('Données projet'!$B$13,Paramètres!$A$1:$I$89,3,0)*VLOOKUP('Données projet'!$B$13,Paramètres!$A$1:$I$89,5,0)</f>
        <v>4.5224624045658861E-14</v>
      </c>
      <c r="CV112" s="13">
        <f t="shared" si="95"/>
        <v>7.4514601661523691E-13</v>
      </c>
      <c r="CW112" s="20">
        <f t="shared" si="67"/>
        <v>1.3765621991510601E-12</v>
      </c>
      <c r="CX112" s="59">
        <f t="shared" si="68"/>
        <v>285.57676593431057</v>
      </c>
      <c r="CY112" s="59">
        <f ca="1">AVERAGE(OFFSET($CX$3,0,0,'Données projet'!$E$13+1,1))-AVERAGE(OFFSET($H$3,0,0,'Données projet'!$E$13+1,1))</f>
        <v>284.31574332240928</v>
      </c>
      <c r="CZ112" s="59">
        <f t="shared" si="96"/>
        <v>403.96994631683913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318.08438373645492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318.08438373645492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67.884572527538879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>
        <f>DO112*VLOOKUP('Données projet'!$B$14,Paramètres!$A$1:$I$89,3,0)*VLOOKUP('Données projet'!$B$14,Paramètres!$A$1:$I$89,5,0)</f>
        <v>0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190.9519472160006</v>
      </c>
      <c r="DU112" s="59">
        <f t="shared" si="98"/>
        <v>170.61553500287511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68.109304953369815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68.109304953369815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67.884572527538879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>
        <f>EJ112*VLOOKUP('Données projet'!$B$15,Paramètres!$A$1:$I$89,3,0)*VLOOKUP('Données projet'!$B$15,Paramètres!$A$1:$I$89,5,0)</f>
        <v>0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331.94255128154623</v>
      </c>
      <c r="EP112" s="59">
        <f t="shared" si="100"/>
        <v>258.40809812013964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870.22281556230598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870.22281556230598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67.884572527538879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>
        <f>FE112*VLOOKUP('Données projet'!$B$16,Paramètres!$A$1:$I$89,3,0)*VLOOKUP('Données projet'!$B$16,Paramètres!$A$1:$I$89,5,0)</f>
        <v>0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290.72311302449236</v>
      </c>
      <c r="FK112" s="59">
        <f t="shared" si="102"/>
        <v>352.32552988394434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261.80177820006207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261.80177820006207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67.884572527538879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>
        <f>FZ112*VLOOKUP('Données projet'!$B$17,Paramètres!$A$1:$I$89,3,0)*VLOOKUP('Données projet'!$B$17,Paramètres!$A$1:$I$89,5,0)</f>
        <v>0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123.03972959251965</v>
      </c>
      <c r="GF112" s="59">
        <f t="shared" si="104"/>
        <v>178.27657680839445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56.904178433624878</v>
      </c>
      <c r="GM112" s="21">
        <f>EXP(-LN(2)/25)*GM111+(1-EXP(-LN(2)/25))/(LN(2)/25)*Calculateur!GH112*Calculateur!GJ112*VLOOKUP('Données projet'!$B$17,Paramètres!$A$1:$I$89,3,0)*0.475*44/12</f>
        <v>11.392459580790545</v>
      </c>
      <c r="GN112" s="21">
        <f>EXP(-LN(2)/2)*GN111+(1-EXP(-LN(2)/2))/(LN(2)/2)*GH112*GK112*VLOOKUP('Données projet'!$B$17,Paramètres!$A$1:$I$89,3,0)*0.475*44/12</f>
        <v>1.3786078466084909E-5</v>
      </c>
      <c r="GO112" s="21">
        <f t="shared" si="81"/>
        <v>68.296651800493891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67.884572527538879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-4.5474735088646412E-13</v>
      </c>
      <c r="GV112" s="17">
        <f>GU112*VLOOKUP('Données projet'!$B$18,Paramètres!$A$1:$I$89,3,0)*VLOOKUP('Données projet'!$B$18,Paramètres!$A$1:$I$89,5,0)</f>
        <v>-3.0504452297464016E-13</v>
      </c>
      <c r="GW112" s="13" t="e">
        <f t="shared" si="105"/>
        <v>#NUM!</v>
      </c>
      <c r="GX112" s="20" t="e">
        <f t="shared" si="82"/>
        <v>#NUM!</v>
      </c>
      <c r="GY112" s="59" t="e">
        <f t="shared" si="83"/>
        <v>#NUM!</v>
      </c>
      <c r="GZ112" s="59">
        <f ca="1">AVERAGE(OFFSET($GY$3,0,0,'Données projet'!$E$18+1,1))-AVERAGE(OFFSET($H$3,0,0,'Données projet'!$E$18+1,1))</f>
        <v>542.25674729323623</v>
      </c>
      <c r="HA112" s="59">
        <f t="shared" si="106"/>
        <v>614.73906555680685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352.17500523811543</v>
      </c>
      <c r="HH112" s="21">
        <f>EXP(-LN(2)/25)*HH111+(1-EXP(-LN(2)/25))/(LN(2)/25)*Calculateur!HC112*Calculateur!HE112*VLOOKUP('Données projet'!$B$18,Paramètres!$A$1:$I$89,3,0)*0.475*44/12</f>
        <v>0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352.17500523811543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2.8499999999999996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10.449999999999998</v>
      </c>
      <c r="H113" s="67">
        <f t="shared" si="56"/>
        <v>214.86666666666667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67.921270464798752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-1.0231815394945443E-12</v>
      </c>
      <c r="O113" s="13">
        <f>N113*VLOOKUP('Données projet'!$B$9,Paramètres!$A$1:$I$89,3,0)*VLOOKUP('Données projet'!$B$9,Paramètres!$A$1:$I$89,5,0)</f>
        <v>-8.9385139290243408E-13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686.80970545599644</v>
      </c>
      <c r="T113" s="59">
        <f t="shared" si="88"/>
        <v>636.16485232937737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95.83481965048918</v>
      </c>
      <c r="AA113" s="21">
        <f>EXP(-LN(2)/25)*AA112+(1-EXP(-LN(2)/25))/(LN(2)/25)*Calculateur!V113*Calculateur!X113*VLOOKUP('Données projet'!$B$9,Paramètres!$A$1:$I$89,3,0)*0.475*44/12</f>
        <v>9.9334067556723014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105.76822640616149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67.921270464798752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1.1368683772161603E-13</v>
      </c>
      <c r="AJ113" s="13">
        <f>AI113*VLOOKUP('Données projet'!$B$10,Paramètres!$A$1:$I$89,3,0)*VLOOKUP('Données projet'!$B$10,Paramètres!$A$1:$I$89,5,0)</f>
        <v>1.0286385077051818E-13</v>
      </c>
      <c r="AK113" s="13">
        <f t="shared" si="89"/>
        <v>1.5402366592183556E-12</v>
      </c>
      <c r="AL113" s="20">
        <f t="shared" si="58"/>
        <v>2.8617333882306215E-12</v>
      </c>
      <c r="AM113" s="59">
        <f t="shared" si="59"/>
        <v>285.71132503759827</v>
      </c>
      <c r="AN113" s="59">
        <f ca="1">AVERAGE(OFFSET($AM$3,0,0,'Données projet'!$E$10+1,1))-AVERAGE(OFFSET($H$3,0,0,'Données projet'!$E$10+1,1))</f>
        <v>323.67375363913726</v>
      </c>
      <c r="AO113" s="59">
        <f t="shared" si="90"/>
        <v>266.03902815735029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84.041197184549532</v>
      </c>
      <c r="AV113" s="21">
        <f>EXP(-LN(2)/25)*AV112+(1-EXP(-LN(2)/25))/(LN(2)/25)*Calculateur!AQ113*Calculateur!AS113*VLOOKUP('Données projet'!$B$10,Paramètres!$A$1:$I$89,3,0)*0.475*44/12</f>
        <v>22.929956833845889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106.97115401839542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67.921270464798752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371.46495716091965</v>
      </c>
      <c r="BJ113" s="59">
        <f t="shared" si="92"/>
        <v>579.95059529269417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61.329024149487978</v>
      </c>
      <c r="BQ113" s="21">
        <f>EXP(-LN(2)/25)*BQ112+(1-EXP(-LN(2)/25))/(LN(2)/25)*Calculateur!BL113*Calculateur!BN113*VLOOKUP('Données projet'!$B$11,Paramètres!$A$1:$I$89,3,0)*0.475*44/12</f>
        <v>11.363676235685924</v>
      </c>
      <c r="BR113" s="21">
        <f>EXP(-LN(2)/2)*BR112+(1-EXP(-LN(2)/2))/(LN(2)/2)*BL113*BO113*VLOOKUP('Données projet'!$B$11,Paramètres!$A$1:$I$89,3,0)*0.475*44/12</f>
        <v>6.3931260892346424E-9</v>
      </c>
      <c r="BS113" s="22">
        <f t="shared" si="63"/>
        <v>72.69270039156703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67.921270464798752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180.18752244216969</v>
      </c>
      <c r="CE113" s="59">
        <f t="shared" si="94"/>
        <v>350.12096474554676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74.055498578269564</v>
      </c>
      <c r="CL113" s="21">
        <f>EXP(-LN(2)/25)*CL112+(1-EXP(-LN(2)/25))/(LN(2)/25)*Calculateur!CG113*Calculateur!CI113*VLOOKUP('Données projet'!$B$12,Paramètres!$A$1:$I$89,3,0)*0.475*44/12</f>
        <v>20.261176255524386</v>
      </c>
      <c r="CM113" s="21">
        <f>EXP(-LN(2)/2)*CM112+(1-EXP(-LN(2)/2))/(LN(2)/2)*CG113*CJ113*VLOOKUP('Données projet'!$B$12,Paramètres!$A$1:$I$89,3,0)*0.475*44/12</f>
        <v>4.8571715773241788E-9</v>
      </c>
      <c r="CN113" s="22">
        <f t="shared" si="66"/>
        <v>94.316674838651124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67.921270464798752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5.6843418860808015E-14</v>
      </c>
      <c r="CU113" s="17">
        <f>CT113*VLOOKUP('Données projet'!$B$13,Paramètres!$A$1:$I$89,3,0)*VLOOKUP('Données projet'!$B$13,Paramètres!$A$1:$I$89,5,0)</f>
        <v>4.5224624045658861E-14</v>
      </c>
      <c r="CV113" s="13">
        <f t="shared" si="95"/>
        <v>7.4514601661523691E-13</v>
      </c>
      <c r="CW113" s="20">
        <f t="shared" si="67"/>
        <v>1.3765621991510601E-12</v>
      </c>
      <c r="CX113" s="59">
        <f t="shared" si="68"/>
        <v>285.71132503759679</v>
      </c>
      <c r="CY113" s="59">
        <f ca="1">AVERAGE(OFFSET($CX$3,0,0,'Données projet'!$E$13+1,1))-AVERAGE(OFFSET($H$3,0,0,'Données projet'!$E$13+1,1))</f>
        <v>284.31574332240928</v>
      </c>
      <c r="CZ113" s="59">
        <f t="shared" si="96"/>
        <v>403.96994631683913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311.84694298369999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311.84694298369999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67.921270464798752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>
        <f>DO113*VLOOKUP('Données projet'!$B$14,Paramètres!$A$1:$I$89,3,0)*VLOOKUP('Données projet'!$B$14,Paramètres!$A$1:$I$89,5,0)</f>
        <v>0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190.9519472160006</v>
      </c>
      <c r="DU113" s="59">
        <f t="shared" si="98"/>
        <v>170.61553500287511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66.773723025808266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66.773723025808266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67.921270464798752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>
        <f>EJ113*VLOOKUP('Données projet'!$B$15,Paramètres!$A$1:$I$89,3,0)*VLOOKUP('Données projet'!$B$15,Paramètres!$A$1:$I$89,5,0)</f>
        <v>0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331.94255128154623</v>
      </c>
      <c r="EP113" s="59">
        <f t="shared" si="100"/>
        <v>258.40809812013964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853.15827693263611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853.15827693263611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67.921270464798752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>
        <f>FE113*VLOOKUP('Données projet'!$B$16,Paramètres!$A$1:$I$89,3,0)*VLOOKUP('Données projet'!$B$16,Paramètres!$A$1:$I$89,5,0)</f>
        <v>0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290.72311302449236</v>
      </c>
      <c r="FK113" s="59">
        <f t="shared" si="102"/>
        <v>352.32552988394434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256.66800501287616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256.66800501287616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67.921270464798752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>
        <f>FZ113*VLOOKUP('Données projet'!$B$17,Paramètres!$A$1:$I$89,3,0)*VLOOKUP('Données projet'!$B$17,Paramètres!$A$1:$I$89,5,0)</f>
        <v>0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123.03972959251965</v>
      </c>
      <c r="GF113" s="59">
        <f t="shared" si="104"/>
        <v>178.27657680839445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55.788322202663196</v>
      </c>
      <c r="GM113" s="21">
        <f>EXP(-LN(2)/25)*GM112+(1-EXP(-LN(2)/25))/(LN(2)/25)*Calculateur!GH113*Calculateur!GJ113*VLOOKUP('Données projet'!$B$17,Paramètres!$A$1:$I$89,3,0)*0.475*44/12</f>
        <v>11.080932174450416</v>
      </c>
      <c r="GN113" s="21">
        <f>EXP(-LN(2)/2)*GN112+(1-EXP(-LN(2)/2))/(LN(2)/2)*GH113*GK113*VLOOKUP('Données projet'!$B$17,Paramètres!$A$1:$I$89,3,0)*0.475*44/12</f>
        <v>9.7482295693384762E-6</v>
      </c>
      <c r="GO113" s="21">
        <f t="shared" si="81"/>
        <v>66.869264125343179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67.921270464798752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-4.5474735088646412E-13</v>
      </c>
      <c r="GV113" s="17">
        <f>GU113*VLOOKUP('Données projet'!$B$18,Paramètres!$A$1:$I$89,3,0)*VLOOKUP('Données projet'!$B$18,Paramètres!$A$1:$I$89,5,0)</f>
        <v>-3.0504452297464016E-13</v>
      </c>
      <c r="GW113" s="13" t="e">
        <f t="shared" si="105"/>
        <v>#NUM!</v>
      </c>
      <c r="GX113" s="20" t="e">
        <f t="shared" si="82"/>
        <v>#NUM!</v>
      </c>
      <c r="GY113" s="59" t="e">
        <f t="shared" si="83"/>
        <v>#NUM!</v>
      </c>
      <c r="GZ113" s="59">
        <f ca="1">AVERAGE(OFFSET($GY$3,0,0,'Données projet'!$E$18+1,1))-AVERAGE(OFFSET($H$3,0,0,'Données projet'!$E$18+1,1))</f>
        <v>542.25674729323623</v>
      </c>
      <c r="HA113" s="59">
        <f t="shared" si="106"/>
        <v>614.73906555680685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345.26906819093892</v>
      </c>
      <c r="HH113" s="21">
        <f>EXP(-LN(2)/25)*HH112+(1-EXP(-LN(2)/25))/(LN(2)/25)*Calculateur!HC113*Calculateur!HE113*VLOOKUP('Données projet'!$B$18,Paramètres!$A$1:$I$89,3,0)*0.475*44/12</f>
        <v>0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345.26906819093892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2.8499999999999996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10.449999999999998</v>
      </c>
      <c r="H114" s="67">
        <f t="shared" si="56"/>
        <v>214.86666666666667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67.957331774891472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-1.0231815394945443E-12</v>
      </c>
      <c r="O114" s="13">
        <f>N114*VLOOKUP('Données projet'!$B$9,Paramètres!$A$1:$I$89,3,0)*VLOOKUP('Données projet'!$B$9,Paramètres!$A$1:$I$89,5,0)</f>
        <v>-8.9385139290243408E-13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686.80970545599644</v>
      </c>
      <c r="T114" s="59">
        <f t="shared" si="88"/>
        <v>636.16485232937737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93.955557290611267</v>
      </c>
      <c r="AA114" s="21">
        <f>EXP(-LN(2)/25)*AA113+(1-EXP(-LN(2)/25))/(LN(2)/25)*Calculateur!V114*Calculateur!X114*VLOOKUP('Données projet'!$B$9,Paramètres!$A$1:$I$89,3,0)*0.475*44/12</f>
        <v>9.6617772255632843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103.61733451617455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67.957331774891472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1.1368683772161603E-13</v>
      </c>
      <c r="AJ114" s="13">
        <f>AI114*VLOOKUP('Données projet'!$B$10,Paramètres!$A$1:$I$89,3,0)*VLOOKUP('Données projet'!$B$10,Paramètres!$A$1:$I$89,5,0)</f>
        <v>1.0286385077051818E-13</v>
      </c>
      <c r="AK114" s="13">
        <f t="shared" si="89"/>
        <v>1.5402366592183556E-12</v>
      </c>
      <c r="AL114" s="20">
        <f t="shared" si="58"/>
        <v>2.8617333882306215E-12</v>
      </c>
      <c r="AM114" s="59">
        <f t="shared" si="59"/>
        <v>285.84354984127157</v>
      </c>
      <c r="AN114" s="59">
        <f ca="1">AVERAGE(OFFSET($AM$3,0,0,'Données projet'!$E$10+1,1))-AVERAGE(OFFSET($H$3,0,0,'Données projet'!$E$10+1,1))</f>
        <v>323.67375363913726</v>
      </c>
      <c r="AO114" s="59">
        <f t="shared" si="90"/>
        <v>266.03902815735029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82.393200567829282</v>
      </c>
      <c r="AV114" s="21">
        <f>EXP(-LN(2)/25)*AV113+(1-EXP(-LN(2)/25))/(LN(2)/25)*Calculateur!AQ114*Calculateur!AS114*VLOOKUP('Données projet'!$B$10,Paramètres!$A$1:$I$89,3,0)*0.475*44/12</f>
        <v>22.30293595839035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104.69613652621963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67.957331774891472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371.46495716091965</v>
      </c>
      <c r="BJ114" s="59">
        <f t="shared" si="92"/>
        <v>579.95059529269417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60.126399392927617</v>
      </c>
      <c r="BQ114" s="21">
        <f>EXP(-LN(2)/25)*BQ113+(1-EXP(-LN(2)/25))/(LN(2)/25)*Calculateur!BL114*Calculateur!BN114*VLOOKUP('Données projet'!$B$11,Paramètres!$A$1:$I$89,3,0)*0.475*44/12</f>
        <v>11.052935911431332</v>
      </c>
      <c r="BR114" s="21">
        <f>EXP(-LN(2)/2)*BR113+(1-EXP(-LN(2)/2))/(LN(2)/2)*BL114*BO114*VLOOKUP('Données projet'!$B$11,Paramètres!$A$1:$I$89,3,0)*0.475*44/12</f>
        <v>4.5206228106784485E-9</v>
      </c>
      <c r="BS114" s="22">
        <f t="shared" si="63"/>
        <v>71.179335308879573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67.957331774891472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180.18752244216969</v>
      </c>
      <c r="CE114" s="59">
        <f t="shared" si="94"/>
        <v>350.12096474554676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72.603315420543723</v>
      </c>
      <c r="CL114" s="21">
        <f>EXP(-LN(2)/25)*CL113+(1-EXP(-LN(2)/25))/(LN(2)/25)*Calculateur!CG114*Calculateur!CI114*VLOOKUP('Données projet'!$B$12,Paramètres!$A$1:$I$89,3,0)*0.475*44/12</f>
        <v>19.707133325328119</v>
      </c>
      <c r="CM114" s="21">
        <f>EXP(-LN(2)/2)*CM113+(1-EXP(-LN(2)/2))/(LN(2)/2)*CG114*CJ114*VLOOKUP('Données projet'!$B$12,Paramètres!$A$1:$I$89,3,0)*0.475*44/12</f>
        <v>3.434538959712486E-9</v>
      </c>
      <c r="CN114" s="22">
        <f t="shared" si="66"/>
        <v>92.310448749306374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67.957331774891472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5.6843418860808015E-14</v>
      </c>
      <c r="CU114" s="17">
        <f>CT114*VLOOKUP('Données projet'!$B$13,Paramètres!$A$1:$I$89,3,0)*VLOOKUP('Données projet'!$B$13,Paramètres!$A$1:$I$89,5,0)</f>
        <v>4.5224624045658861E-14</v>
      </c>
      <c r="CV114" s="13">
        <f t="shared" si="95"/>
        <v>7.4514601661523691E-13</v>
      </c>
      <c r="CW114" s="20">
        <f t="shared" si="67"/>
        <v>1.3765621991510601E-12</v>
      </c>
      <c r="CX114" s="59">
        <f t="shared" si="68"/>
        <v>285.84354984127009</v>
      </c>
      <c r="CY114" s="59">
        <f ca="1">AVERAGE(OFFSET($CX$3,0,0,'Données projet'!$E$13+1,1))-AVERAGE(OFFSET($H$3,0,0,'Données projet'!$E$13+1,1))</f>
        <v>284.31574332240928</v>
      </c>
      <c r="CZ114" s="59">
        <f t="shared" si="96"/>
        <v>403.96994631683913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305.7318146396434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305.7318146396434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67.957331774891472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>
        <f>DO114*VLOOKUP('Données projet'!$B$14,Paramètres!$A$1:$I$89,3,0)*VLOOKUP('Données projet'!$B$14,Paramètres!$A$1:$I$89,5,0)</f>
        <v>0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190.9519472160006</v>
      </c>
      <c r="DU114" s="59">
        <f t="shared" si="98"/>
        <v>170.61553500287511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65.464331045221655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65.464331045221655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67.957331774891472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>
        <f>EJ114*VLOOKUP('Données projet'!$B$15,Paramètres!$A$1:$I$89,3,0)*VLOOKUP('Données projet'!$B$15,Paramètres!$A$1:$I$89,5,0)</f>
        <v>0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331.94255128154623</v>
      </c>
      <c r="EP114" s="59">
        <f t="shared" si="100"/>
        <v>258.40809812013964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836.42836349715321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836.42836349715321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67.957331774891472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>
        <f>FE114*VLOOKUP('Données projet'!$B$16,Paramètres!$A$1:$I$89,3,0)*VLOOKUP('Données projet'!$B$16,Paramètres!$A$1:$I$89,5,0)</f>
        <v>0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290.72311302449236</v>
      </c>
      <c r="FK114" s="59">
        <f t="shared" si="102"/>
        <v>352.32552988394434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251.63490198659849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251.63490198659849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67.957331774891472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>
        <f>FZ114*VLOOKUP('Données projet'!$B$17,Paramètres!$A$1:$I$89,3,0)*VLOOKUP('Données projet'!$B$17,Paramètres!$A$1:$I$89,5,0)</f>
        <v>0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123.03972959251965</v>
      </c>
      <c r="GF114" s="59">
        <f t="shared" si="104"/>
        <v>178.27657680839445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54.694347231785578</v>
      </c>
      <c r="GM114" s="21">
        <f>EXP(-LN(2)/25)*GM113+(1-EXP(-LN(2)/25))/(LN(2)/25)*Calculateur!GH114*Calculateur!GJ114*VLOOKUP('Données projet'!$B$17,Paramètres!$A$1:$I$89,3,0)*0.475*44/12</f>
        <v>10.777923501419172</v>
      </c>
      <c r="GN114" s="21">
        <f>EXP(-LN(2)/2)*GN113+(1-EXP(-LN(2)/2))/(LN(2)/2)*GH114*GK114*VLOOKUP('Données projet'!$B$17,Paramètres!$A$1:$I$89,3,0)*0.475*44/12</f>
        <v>6.8930392330424544E-6</v>
      </c>
      <c r="GO114" s="21">
        <f t="shared" si="81"/>
        <v>65.472277626243979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67.957331774891472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-4.5474735088646412E-13</v>
      </c>
      <c r="GV114" s="17">
        <f>GU114*VLOOKUP('Données projet'!$B$18,Paramètres!$A$1:$I$89,3,0)*VLOOKUP('Données projet'!$B$18,Paramètres!$A$1:$I$89,5,0)</f>
        <v>-3.0504452297464016E-13</v>
      </c>
      <c r="GW114" s="13" t="e">
        <f t="shared" si="105"/>
        <v>#NUM!</v>
      </c>
      <c r="GX114" s="20" t="e">
        <f t="shared" si="82"/>
        <v>#NUM!</v>
      </c>
      <c r="GY114" s="59" t="e">
        <f t="shared" si="83"/>
        <v>#NUM!</v>
      </c>
      <c r="GZ114" s="59">
        <f ca="1">AVERAGE(OFFSET($GY$3,0,0,'Données projet'!$E$18+1,1))-AVERAGE(OFFSET($H$3,0,0,'Données projet'!$E$18+1,1))</f>
        <v>542.25674729323623</v>
      </c>
      <c r="HA114" s="59">
        <f t="shared" si="106"/>
        <v>614.73906555680685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338.49855235705184</v>
      </c>
      <c r="HH114" s="21">
        <f>EXP(-LN(2)/25)*HH113+(1-EXP(-LN(2)/25))/(LN(2)/25)*Calculateur!HC114*Calculateur!HE114*VLOOKUP('Données projet'!$B$18,Paramètres!$A$1:$I$89,3,0)*0.475*44/12</f>
        <v>0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338.49855235705184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2.8499999999999996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10.449999999999998</v>
      </c>
      <c r="H115" s="67">
        <f t="shared" si="56"/>
        <v>214.86666666666667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67.992767501875107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-1.0231815394945443E-12</v>
      </c>
      <c r="O115" s="13">
        <f>N115*VLOOKUP('Données projet'!$B$9,Paramètres!$A$1:$I$89,3,0)*VLOOKUP('Données projet'!$B$9,Paramètres!$A$1:$I$89,5,0)</f>
        <v>-8.9385139290243408E-13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686.80970545599644</v>
      </c>
      <c r="T115" s="59">
        <f t="shared" si="88"/>
        <v>636.16485232937737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92.11314611937371</v>
      </c>
      <c r="AA115" s="21">
        <f>EXP(-LN(2)/25)*AA114+(1-EXP(-LN(2)/25))/(LN(2)/25)*Calculateur!V115*Calculateur!X115*VLOOKUP('Données projet'!$B$9,Paramètres!$A$1:$I$89,3,0)*0.475*44/12</f>
        <v>9.3975754192394749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101.51072153861318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67.992767501875107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1.1368683772161603E-13</v>
      </c>
      <c r="AJ115" s="13">
        <f>AI115*VLOOKUP('Données projet'!$B$10,Paramètres!$A$1:$I$89,3,0)*VLOOKUP('Données projet'!$B$10,Paramètres!$A$1:$I$89,5,0)</f>
        <v>1.0286385077051818E-13</v>
      </c>
      <c r="AK115" s="13">
        <f t="shared" si="89"/>
        <v>1.5402366592183556E-12</v>
      </c>
      <c r="AL115" s="20">
        <f t="shared" si="58"/>
        <v>2.8617333882306215E-12</v>
      </c>
      <c r="AM115" s="59">
        <f t="shared" si="59"/>
        <v>285.97348084021161</v>
      </c>
      <c r="AN115" s="59">
        <f ca="1">AVERAGE(OFFSET($AM$3,0,0,'Données projet'!$E$10+1,1))-AVERAGE(OFFSET($H$3,0,0,'Données projet'!$E$10+1,1))</f>
        <v>323.67375363913726</v>
      </c>
      <c r="AO115" s="59">
        <f t="shared" si="90"/>
        <v>266.03902815735029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80.777520159584242</v>
      </c>
      <c r="AV115" s="21">
        <f>EXP(-LN(2)/25)*AV114+(1-EXP(-LN(2)/25))/(LN(2)/25)*Calculateur!AQ115*Calculateur!AS115*VLOOKUP('Données projet'!$B$10,Paramètres!$A$1:$I$89,3,0)*0.475*44/12</f>
        <v>21.693061001747736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102.47058116133198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67.992767501875107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371.46495716091965</v>
      </c>
      <c r="BJ115" s="59">
        <f t="shared" si="92"/>
        <v>579.95059529269417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58.947357374314727</v>
      </c>
      <c r="BQ115" s="21">
        <f>EXP(-LN(2)/25)*BQ114+(1-EXP(-LN(2)/25))/(LN(2)/25)*Calculateur!BL115*Calculateur!BN115*VLOOKUP('Données projet'!$B$11,Paramètres!$A$1:$I$89,3,0)*0.475*44/12</f>
        <v>10.750692797684604</v>
      </c>
      <c r="BR115" s="21">
        <f>EXP(-LN(2)/2)*BR114+(1-EXP(-LN(2)/2))/(LN(2)/2)*BL115*BO115*VLOOKUP('Données projet'!$B$11,Paramètres!$A$1:$I$89,3,0)*0.475*44/12</f>
        <v>3.1965630446173212E-9</v>
      </c>
      <c r="BS115" s="22">
        <f t="shared" si="63"/>
        <v>69.698050175195888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67.992767501875107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180.18752244216969</v>
      </c>
      <c r="CE115" s="59">
        <f t="shared" si="94"/>
        <v>350.12096474554676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71.17960868879662</v>
      </c>
      <c r="CL115" s="21">
        <f>EXP(-LN(2)/25)*CL114+(1-EXP(-LN(2)/25))/(LN(2)/25)*Calculateur!CG115*Calculateur!CI115*VLOOKUP('Données projet'!$B$12,Paramètres!$A$1:$I$89,3,0)*0.475*44/12</f>
        <v>19.168240728193922</v>
      </c>
      <c r="CM115" s="21">
        <f>EXP(-LN(2)/2)*CM114+(1-EXP(-LN(2)/2))/(LN(2)/2)*CG115*CJ115*VLOOKUP('Données projet'!$B$12,Paramètres!$A$1:$I$89,3,0)*0.475*44/12</f>
        <v>2.4285857886620894E-9</v>
      </c>
      <c r="CN115" s="22">
        <f t="shared" si="66"/>
        <v>90.347849419419134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67.992767501875107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5.6843418860808015E-14</v>
      </c>
      <c r="CU115" s="17">
        <f>CT115*VLOOKUP('Données projet'!$B$13,Paramètres!$A$1:$I$89,3,0)*VLOOKUP('Données projet'!$B$13,Paramètres!$A$1:$I$89,5,0)</f>
        <v>4.5224624045658861E-14</v>
      </c>
      <c r="CV115" s="13">
        <f t="shared" si="95"/>
        <v>7.4514601661523691E-13</v>
      </c>
      <c r="CW115" s="20">
        <f t="shared" si="67"/>
        <v>1.3765621991510601E-12</v>
      </c>
      <c r="CX115" s="59">
        <f t="shared" si="68"/>
        <v>285.97348084021013</v>
      </c>
      <c r="CY115" s="59">
        <f ca="1">AVERAGE(OFFSET($CX$3,0,0,'Données projet'!$E$13+1,1))-AVERAGE(OFFSET($H$3,0,0,'Données projet'!$E$13+1,1))</f>
        <v>284.31574332240928</v>
      </c>
      <c r="CZ115" s="59">
        <f t="shared" si="96"/>
        <v>403.96994631683913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299.73660023255377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299.73660023255377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67.992767501875107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>
        <f>DO115*VLOOKUP('Données projet'!$B$14,Paramètres!$A$1:$I$89,3,0)*VLOOKUP('Données projet'!$B$14,Paramètres!$A$1:$I$89,5,0)</f>
        <v>0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190.9519472160006</v>
      </c>
      <c r="DU115" s="59">
        <f t="shared" si="98"/>
        <v>170.61553500287511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64.180615442724104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64.180615442724104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67.992767501875107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>
        <f>EJ115*VLOOKUP('Données projet'!$B$15,Paramètres!$A$1:$I$89,3,0)*VLOOKUP('Données projet'!$B$15,Paramètres!$A$1:$I$89,5,0)</f>
        <v>0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331.94255128154623</v>
      </c>
      <c r="EP115" s="59">
        <f t="shared" si="100"/>
        <v>258.40809812013964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820.02651345990057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820.02651345990057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67.992767501875107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>
        <f>FE115*VLOOKUP('Données projet'!$B$16,Paramètres!$A$1:$I$89,3,0)*VLOOKUP('Données projet'!$B$16,Paramètres!$A$1:$I$89,5,0)</f>
        <v>0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290.72311302449236</v>
      </c>
      <c r="FK115" s="59">
        <f t="shared" si="102"/>
        <v>352.32552988394434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246.70049504077642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246.70049504077642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67.992767501875107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>
        <f>FZ115*VLOOKUP('Données projet'!$B$17,Paramètres!$A$1:$I$89,3,0)*VLOOKUP('Données projet'!$B$17,Paramètres!$A$1:$I$89,5,0)</f>
        <v>0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123.03972959251965</v>
      </c>
      <c r="GF115" s="59">
        <f t="shared" si="104"/>
        <v>178.27657680839445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53.621824442828022</v>
      </c>
      <c r="GM115" s="21">
        <f>EXP(-LN(2)/25)*GM114+(1-EXP(-LN(2)/25))/(LN(2)/25)*Calculateur!GH115*Calculateur!GJ115*VLOOKUP('Données projet'!$B$17,Paramètres!$A$1:$I$89,3,0)*0.475*44/12</f>
        <v>10.483200616486501</v>
      </c>
      <c r="GN115" s="21">
        <f>EXP(-LN(2)/2)*GN114+(1-EXP(-LN(2)/2))/(LN(2)/2)*GH115*GK115*VLOOKUP('Données projet'!$B$17,Paramètres!$A$1:$I$89,3,0)*0.475*44/12</f>
        <v>4.8741147846692381E-6</v>
      </c>
      <c r="GO115" s="21">
        <f t="shared" si="81"/>
        <v>64.105029933429307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67.992767501875107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-4.5474735088646412E-13</v>
      </c>
      <c r="GV115" s="17">
        <f>GU115*VLOOKUP('Données projet'!$B$18,Paramètres!$A$1:$I$89,3,0)*VLOOKUP('Données projet'!$B$18,Paramètres!$A$1:$I$89,5,0)</f>
        <v>-3.0504452297464016E-13</v>
      </c>
      <c r="GW115" s="13" t="e">
        <f t="shared" si="105"/>
        <v>#NUM!</v>
      </c>
      <c r="GX115" s="20" t="e">
        <f t="shared" si="82"/>
        <v>#NUM!</v>
      </c>
      <c r="GY115" s="59" t="e">
        <f t="shared" si="83"/>
        <v>#NUM!</v>
      </c>
      <c r="GZ115" s="59">
        <f ca="1">AVERAGE(OFFSET($GY$3,0,0,'Données projet'!$E$18+1,1))-AVERAGE(OFFSET($H$3,0,0,'Données projet'!$E$18+1,1))</f>
        <v>542.25674729323623</v>
      </c>
      <c r="HA115" s="59">
        <f t="shared" si="106"/>
        <v>614.73906555680685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331.86080220906041</v>
      </c>
      <c r="HH115" s="21">
        <f>EXP(-LN(2)/25)*HH114+(1-EXP(-LN(2)/25))/(LN(2)/25)*Calculateur!HC115*Calculateur!HE115*VLOOKUP('Données projet'!$B$18,Paramètres!$A$1:$I$89,3,0)*0.475*44/12</f>
        <v>0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331.86080220906041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2.8499999999999996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10.449999999999998</v>
      </c>
      <c r="H116" s="67">
        <f t="shared" si="56"/>
        <v>214.86666666666667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68.02758849821798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-1.0231815394945443E-12</v>
      </c>
      <c r="O116" s="13">
        <f>N116*VLOOKUP('Données projet'!$B$9,Paramètres!$A$1:$I$89,3,0)*VLOOKUP('Données projet'!$B$9,Paramètres!$A$1:$I$89,5,0)</f>
        <v>-8.9385139290243408E-13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686.80970545599644</v>
      </c>
      <c r="T116" s="59">
        <f t="shared" si="88"/>
        <v>636.16485232937737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90.306863507444262</v>
      </c>
      <c r="AA116" s="21">
        <f>EXP(-LN(2)/25)*AA115+(1-EXP(-LN(2)/25))/(LN(2)/25)*Calculateur!V116*Calculateur!X116*VLOOKUP('Données projet'!$B$9,Paramètres!$A$1:$I$89,3,0)*0.475*44/12</f>
        <v>9.1405982252033589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99.447461732647625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68.02758849821798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1.1368683772161603E-13</v>
      </c>
      <c r="AJ116" s="13">
        <f>AI116*VLOOKUP('Données projet'!$B$10,Paramètres!$A$1:$I$89,3,0)*VLOOKUP('Données projet'!$B$10,Paramètres!$A$1:$I$89,5,0)</f>
        <v>1.0286385077051818E-13</v>
      </c>
      <c r="AK116" s="13">
        <f t="shared" si="89"/>
        <v>1.5402366592183556E-12</v>
      </c>
      <c r="AL116" s="20">
        <f t="shared" si="58"/>
        <v>2.8617333882306215E-12</v>
      </c>
      <c r="AM116" s="59">
        <f t="shared" si="59"/>
        <v>286.10115782680208</v>
      </c>
      <c r="AN116" s="59">
        <f ca="1">AVERAGE(OFFSET($AM$3,0,0,'Données projet'!$E$10+1,1))-AVERAGE(OFFSET($H$3,0,0,'Données projet'!$E$10+1,1))</f>
        <v>323.67375363913726</v>
      </c>
      <c r="AO116" s="59">
        <f t="shared" si="90"/>
        <v>266.03902815735029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79.193522258677135</v>
      </c>
      <c r="AV116" s="21">
        <f>EXP(-LN(2)/25)*AV115+(1-EXP(-LN(2)/25))/(LN(2)/25)*Calculateur!AQ116*Calculateur!AS116*VLOOKUP('Données projet'!$B$10,Paramètres!$A$1:$I$89,3,0)*0.475*44/12</f>
        <v>21.099863107866447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100.29338536654359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68.02758849821798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371.46495716091965</v>
      </c>
      <c r="BJ116" s="59">
        <f t="shared" si="92"/>
        <v>579.95059529269417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57.791435650542219</v>
      </c>
      <c r="BQ116" s="21">
        <f>EXP(-LN(2)/25)*BQ115+(1-EXP(-LN(2)/25))/(LN(2)/25)*Calculateur!BL116*Calculateur!BN116*VLOOKUP('Données projet'!$B$11,Paramètres!$A$1:$I$89,3,0)*0.475*44/12</f>
        <v>10.456714537777556</v>
      </c>
      <c r="BR116" s="21">
        <f>EXP(-LN(2)/2)*BR115+(1-EXP(-LN(2)/2))/(LN(2)/2)*BL116*BO116*VLOOKUP('Données projet'!$B$11,Paramètres!$A$1:$I$89,3,0)*0.475*44/12</f>
        <v>2.2603114053392243E-9</v>
      </c>
      <c r="BS116" s="22">
        <f t="shared" si="63"/>
        <v>68.248150190580077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68.02758849821798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180.18752244216969</v>
      </c>
      <c r="CE116" s="59">
        <f t="shared" si="94"/>
        <v>350.12096474554676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69.78381997768372</v>
      </c>
      <c r="CL116" s="21">
        <f>EXP(-LN(2)/25)*CL115+(1-EXP(-LN(2)/25))/(LN(2)/25)*Calculateur!CG116*Calculateur!CI116*VLOOKUP('Données projet'!$B$12,Paramètres!$A$1:$I$89,3,0)*0.475*44/12</f>
        <v>18.644084177467487</v>
      </c>
      <c r="CM116" s="21">
        <f>EXP(-LN(2)/2)*CM115+(1-EXP(-LN(2)/2))/(LN(2)/2)*CG116*CJ116*VLOOKUP('Données projet'!$B$12,Paramètres!$A$1:$I$89,3,0)*0.475*44/12</f>
        <v>1.717269479856243E-9</v>
      </c>
      <c r="CN116" s="22">
        <f t="shared" si="66"/>
        <v>88.427904156868479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68.02758849821798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5.6843418860808015E-14</v>
      </c>
      <c r="CU116" s="17">
        <f>CT116*VLOOKUP('Données projet'!$B$13,Paramètres!$A$1:$I$89,3,0)*VLOOKUP('Données projet'!$B$13,Paramètres!$A$1:$I$89,5,0)</f>
        <v>4.5224624045658861E-14</v>
      </c>
      <c r="CV116" s="13">
        <f t="shared" si="95"/>
        <v>7.4514601661523691E-13</v>
      </c>
      <c r="CW116" s="20">
        <f t="shared" si="67"/>
        <v>1.3765621991510601E-12</v>
      </c>
      <c r="CX116" s="59">
        <f t="shared" si="68"/>
        <v>286.1011578268006</v>
      </c>
      <c r="CY116" s="59">
        <f ca="1">AVERAGE(OFFSET($CX$3,0,0,'Données projet'!$E$13+1,1))-AVERAGE(OFFSET($H$3,0,0,'Données projet'!$E$13+1,1))</f>
        <v>284.31574332240928</v>
      </c>
      <c r="CZ116" s="59">
        <f t="shared" si="96"/>
        <v>403.96994631683913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293.85894832326744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293.85894832326744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68.02758849821798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>
        <f>DO116*VLOOKUP('Données projet'!$B$14,Paramètres!$A$1:$I$89,3,0)*VLOOKUP('Données projet'!$B$14,Paramètres!$A$1:$I$89,5,0)</f>
        <v>0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190.9519472160006</v>
      </c>
      <c r="DU116" s="59">
        <f t="shared" si="98"/>
        <v>170.61553500287511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62.92207272020233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62.92207272020233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68.02758849821798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>
        <f>EJ116*VLOOKUP('Données projet'!$B$15,Paramètres!$A$1:$I$89,3,0)*VLOOKUP('Données projet'!$B$15,Paramètres!$A$1:$I$89,5,0)</f>
        <v>0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331.94255128154623</v>
      </c>
      <c r="EP116" s="59">
        <f t="shared" si="100"/>
        <v>258.40809812013964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803.94629369773781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803.94629369773781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68.02758849821798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>
        <f>FE116*VLOOKUP('Données projet'!$B$16,Paramètres!$A$1:$I$89,3,0)*VLOOKUP('Données projet'!$B$16,Paramètres!$A$1:$I$89,5,0)</f>
        <v>0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290.72311302449236</v>
      </c>
      <c r="FK116" s="59">
        <f t="shared" si="102"/>
        <v>352.32552988394434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241.86284880547083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241.86284880547083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68.02758849821798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>
        <f>FZ116*VLOOKUP('Données projet'!$B$17,Paramètres!$A$1:$I$89,3,0)*VLOOKUP('Données projet'!$B$17,Paramètres!$A$1:$I$89,5,0)</f>
        <v>0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123.03972959251965</v>
      </c>
      <c r="GF116" s="59">
        <f t="shared" si="104"/>
        <v>178.27657680839445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52.570333171587613</v>
      </c>
      <c r="GM116" s="21">
        <f>EXP(-LN(2)/25)*GM115+(1-EXP(-LN(2)/25))/(LN(2)/25)*Calculateur!GH116*Calculateur!GJ116*VLOOKUP('Données projet'!$B$17,Paramètres!$A$1:$I$89,3,0)*0.475*44/12</f>
        <v>10.196536944341117</v>
      </c>
      <c r="GN116" s="21">
        <f>EXP(-LN(2)/2)*GN115+(1-EXP(-LN(2)/2))/(LN(2)/2)*GH116*GK116*VLOOKUP('Données projet'!$B$17,Paramètres!$A$1:$I$89,3,0)*0.475*44/12</f>
        <v>3.4465196165212272E-6</v>
      </c>
      <c r="GO116" s="21">
        <f t="shared" si="81"/>
        <v>62.766873562448346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68.02758849821798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-4.5474735088646412E-13</v>
      </c>
      <c r="GV116" s="17">
        <f>GU116*VLOOKUP('Données projet'!$B$18,Paramètres!$A$1:$I$89,3,0)*VLOOKUP('Données projet'!$B$18,Paramètres!$A$1:$I$89,5,0)</f>
        <v>-3.0504452297464016E-13</v>
      </c>
      <c r="GW116" s="13" t="e">
        <f t="shared" si="105"/>
        <v>#NUM!</v>
      </c>
      <c r="GX116" s="20" t="e">
        <f t="shared" si="82"/>
        <v>#NUM!</v>
      </c>
      <c r="GY116" s="59" t="e">
        <f t="shared" si="83"/>
        <v>#NUM!</v>
      </c>
      <c r="GZ116" s="59">
        <f ca="1">AVERAGE(OFFSET($GY$3,0,0,'Données projet'!$E$18+1,1))-AVERAGE(OFFSET($H$3,0,0,'Données projet'!$E$18+1,1))</f>
        <v>542.25674729323623</v>
      </c>
      <c r="HA116" s="59">
        <f t="shared" si="106"/>
        <v>614.73906555680685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325.35321429284323</v>
      </c>
      <c r="HH116" s="21">
        <f>EXP(-LN(2)/25)*HH115+(1-EXP(-LN(2)/25))/(LN(2)/25)*Calculateur!HC116*Calculateur!HE116*VLOOKUP('Données projet'!$B$18,Paramètres!$A$1:$I$89,3,0)*0.475*44/12</f>
        <v>0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325.35321429284323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2.8499999999999996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10.449999999999998</v>
      </c>
      <c r="H117" s="67">
        <f t="shared" si="56"/>
        <v>214.86666666666667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68.061805428122398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-1.0231815394945443E-12</v>
      </c>
      <c r="O117" s="13">
        <f>N117*VLOOKUP('Données projet'!$B$9,Paramètres!$A$1:$I$89,3,0)*VLOOKUP('Données projet'!$B$9,Paramètres!$A$1:$I$89,5,0)</f>
        <v>-8.9385139290243408E-13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686.80970545599644</v>
      </c>
      <c r="T117" s="59">
        <f t="shared" si="88"/>
        <v>636.16485232937737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88.53600099581115</v>
      </c>
      <c r="AA117" s="21">
        <f>EXP(-LN(2)/25)*AA116+(1-EXP(-LN(2)/25))/(LN(2)/25)*Calculateur!V117*Calculateur!X117*VLOOKUP('Données projet'!$B$9,Paramètres!$A$1:$I$89,3,0)*0.475*44/12</f>
        <v>8.8906480860520034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97.426649081863161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68.061805428122398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1.1368683772161603E-13</v>
      </c>
      <c r="AJ117" s="13">
        <f>AI117*VLOOKUP('Données projet'!$B$10,Paramètres!$A$1:$I$89,3,0)*VLOOKUP('Données projet'!$B$10,Paramètres!$A$1:$I$89,5,0)</f>
        <v>1.0286385077051818E-13</v>
      </c>
      <c r="AK117" s="13">
        <f t="shared" si="89"/>
        <v>1.5402366592183556E-12</v>
      </c>
      <c r="AL117" s="20">
        <f t="shared" si="58"/>
        <v>2.8617333882306215E-12</v>
      </c>
      <c r="AM117" s="59">
        <f t="shared" si="59"/>
        <v>286.22661990311832</v>
      </c>
      <c r="AN117" s="59">
        <f ca="1">AVERAGE(OFFSET($AM$3,0,0,'Données projet'!$E$10+1,1))-AVERAGE(OFFSET($H$3,0,0,'Données projet'!$E$10+1,1))</f>
        <v>323.67375363913726</v>
      </c>
      <c r="AO117" s="59">
        <f t="shared" si="90"/>
        <v>266.03902815735029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77.640585590463502</v>
      </c>
      <c r="AV117" s="21">
        <f>EXP(-LN(2)/25)*AV116+(1-EXP(-LN(2)/25))/(LN(2)/25)*Calculateur!AQ117*Calculateur!AS117*VLOOKUP('Données projet'!$B$10,Paramètres!$A$1:$I$89,3,0)*0.475*44/12</f>
        <v>20.522886241588264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98.163471832051769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68.061805428122398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371.46495716091965</v>
      </c>
      <c r="BJ117" s="59">
        <f t="shared" si="92"/>
        <v>579.95059529269417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56.658180846730254</v>
      </c>
      <c r="BQ117" s="21">
        <f>EXP(-LN(2)/25)*BQ116+(1-EXP(-LN(2)/25))/(LN(2)/25)*Calculateur!BL117*Calculateur!BN117*VLOOKUP('Données projet'!$B$11,Paramètres!$A$1:$I$89,3,0)*0.475*44/12</f>
        <v>10.17077512884731</v>
      </c>
      <c r="BR117" s="21">
        <f>EXP(-LN(2)/2)*BR116+(1-EXP(-LN(2)/2))/(LN(2)/2)*BL117*BO117*VLOOKUP('Données projet'!$B$11,Paramètres!$A$1:$I$89,3,0)*0.475*44/12</f>
        <v>1.5982815223086606E-9</v>
      </c>
      <c r="BS117" s="22">
        <f t="shared" si="63"/>
        <v>66.828955977175852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68.061805428122398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180.18752244216969</v>
      </c>
      <c r="CE117" s="59">
        <f t="shared" si="94"/>
        <v>350.12096474554676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68.415401831848683</v>
      </c>
      <c r="CL117" s="21">
        <f>EXP(-LN(2)/25)*CL116+(1-EXP(-LN(2)/25))/(LN(2)/25)*Calculateur!CG117*Calculateur!CI117*VLOOKUP('Données projet'!$B$12,Paramètres!$A$1:$I$89,3,0)*0.475*44/12</f>
        <v>18.134260715184862</v>
      </c>
      <c r="CM117" s="21">
        <f>EXP(-LN(2)/2)*CM116+(1-EXP(-LN(2)/2))/(LN(2)/2)*CG117*CJ117*VLOOKUP('Données projet'!$B$12,Paramètres!$A$1:$I$89,3,0)*0.475*44/12</f>
        <v>1.2142928943310447E-9</v>
      </c>
      <c r="CN117" s="22">
        <f t="shared" si="66"/>
        <v>86.549662548247838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68.061805428122398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5.6843418860808015E-14</v>
      </c>
      <c r="CU117" s="17">
        <f>CT117*VLOOKUP('Données projet'!$B$13,Paramètres!$A$1:$I$89,3,0)*VLOOKUP('Données projet'!$B$13,Paramètres!$A$1:$I$89,5,0)</f>
        <v>4.5224624045658861E-14</v>
      </c>
      <c r="CV117" s="13">
        <f t="shared" si="95"/>
        <v>7.4514601661523691E-13</v>
      </c>
      <c r="CW117" s="20">
        <f t="shared" si="67"/>
        <v>1.3765621991510601E-12</v>
      </c>
      <c r="CX117" s="59">
        <f t="shared" si="68"/>
        <v>286.22661990311684</v>
      </c>
      <c r="CY117" s="59">
        <f ca="1">AVERAGE(OFFSET($CX$3,0,0,'Données projet'!$E$13+1,1))-AVERAGE(OFFSET($H$3,0,0,'Données projet'!$E$13+1,1))</f>
        <v>284.31574332240928</v>
      </c>
      <c r="CZ117" s="59">
        <f t="shared" si="96"/>
        <v>403.96994631683913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288.09655358290854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288.09655358290854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68.061805428122398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>
        <f>DO117*VLOOKUP('Données projet'!$B$14,Paramètres!$A$1:$I$89,3,0)*VLOOKUP('Données projet'!$B$14,Paramètres!$A$1:$I$89,5,0)</f>
        <v>0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190.9519472160006</v>
      </c>
      <c r="DU117" s="59">
        <f t="shared" si="98"/>
        <v>170.61553500287511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61.688209252833943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61.688209252833943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68.061805428122398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>
        <f>EJ117*VLOOKUP('Données projet'!$B$15,Paramètres!$A$1:$I$89,3,0)*VLOOKUP('Données projet'!$B$15,Paramètres!$A$1:$I$89,5,0)</f>
        <v>0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331.94255128154623</v>
      </c>
      <c r="EP117" s="59">
        <f t="shared" si="100"/>
        <v>258.40809812013964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788.18139723714546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788.18139723714546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68.061805428122398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>
        <f>FE117*VLOOKUP('Données projet'!$B$16,Paramètres!$A$1:$I$89,3,0)*VLOOKUP('Données projet'!$B$16,Paramètres!$A$1:$I$89,5,0)</f>
        <v>0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290.72311302449236</v>
      </c>
      <c r="FK117" s="59">
        <f t="shared" si="102"/>
        <v>352.32552988394434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237.12006586216677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237.12006586216677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68.061805428122398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>
        <f>FZ117*VLOOKUP('Données projet'!$B$17,Paramètres!$A$1:$I$89,3,0)*VLOOKUP('Données projet'!$B$17,Paramètres!$A$1:$I$89,5,0)</f>
        <v>0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123.03972959251965</v>
      </c>
      <c r="GF117" s="59">
        <f t="shared" si="104"/>
        <v>178.27657680839445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51.539461002829889</v>
      </c>
      <c r="GM117" s="21">
        <f>EXP(-LN(2)/25)*GM116+(1-EXP(-LN(2)/25))/(LN(2)/25)*Calculateur!GH117*Calculateur!GJ117*VLOOKUP('Données projet'!$B$17,Paramètres!$A$1:$I$89,3,0)*0.475*44/12</f>
        <v>9.9177121053855366</v>
      </c>
      <c r="GN117" s="21">
        <f>EXP(-LN(2)/2)*GN116+(1-EXP(-LN(2)/2))/(LN(2)/2)*GH117*GK117*VLOOKUP('Données projet'!$B$17,Paramètres!$A$1:$I$89,3,0)*0.475*44/12</f>
        <v>2.437057392334619E-6</v>
      </c>
      <c r="GO117" s="21">
        <f t="shared" si="81"/>
        <v>61.457175545272818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68.061805428122398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-4.5474735088646412E-13</v>
      </c>
      <c r="GV117" s="17">
        <f>GU117*VLOOKUP('Données projet'!$B$18,Paramètres!$A$1:$I$89,3,0)*VLOOKUP('Données projet'!$B$18,Paramètres!$A$1:$I$89,5,0)</f>
        <v>-3.0504452297464016E-13</v>
      </c>
      <c r="GW117" s="13" t="e">
        <f t="shared" si="105"/>
        <v>#NUM!</v>
      </c>
      <c r="GX117" s="20" t="e">
        <f t="shared" si="82"/>
        <v>#NUM!</v>
      </c>
      <c r="GY117" s="59" t="e">
        <f t="shared" si="83"/>
        <v>#NUM!</v>
      </c>
      <c r="GZ117" s="59">
        <f ca="1">AVERAGE(OFFSET($GY$3,0,0,'Données projet'!$E$18+1,1))-AVERAGE(OFFSET($H$3,0,0,'Données projet'!$E$18+1,1))</f>
        <v>542.25674729323623</v>
      </c>
      <c r="HA117" s="59">
        <f t="shared" si="106"/>
        <v>614.73906555680685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318.97323620642641</v>
      </c>
      <c r="HH117" s="21">
        <f>EXP(-LN(2)/25)*HH116+(1-EXP(-LN(2)/25))/(LN(2)/25)*Calculateur!HC117*Calculateur!HE117*VLOOKUP('Données projet'!$B$18,Paramètres!$A$1:$I$89,3,0)*0.475*44/12</f>
        <v>0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318.97323620642641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2.8499999999999996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10.449999999999998</v>
      </c>
      <c r="H118" s="67">
        <f t="shared" si="56"/>
        <v>214.86666666666667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68.095428770790562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-1.0231815394945443E-12</v>
      </c>
      <c r="O118" s="13">
        <f>N118*VLOOKUP('Données projet'!$B$9,Paramètres!$A$1:$I$89,3,0)*VLOOKUP('Données projet'!$B$9,Paramètres!$A$1:$I$89,5,0)</f>
        <v>-8.9385139290243408E-13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686.80970545599644</v>
      </c>
      <c r="T118" s="59">
        <f t="shared" si="88"/>
        <v>636.16485232937737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86.799864017911688</v>
      </c>
      <c r="AA118" s="21">
        <f>EXP(-LN(2)/25)*AA117+(1-EXP(-LN(2)/25))/(LN(2)/25)*Calculateur!V118*Calculateur!X118*VLOOKUP('Données projet'!$B$9,Paramètres!$A$1:$I$89,3,0)*0.475*44/12</f>
        <v>8.6475328466000487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95.447396864511731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68.095428770790562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1.1368683772161603E-13</v>
      </c>
      <c r="AJ118" s="13">
        <f>AI118*VLOOKUP('Données projet'!$B$10,Paramètres!$A$1:$I$89,3,0)*VLOOKUP('Données projet'!$B$10,Paramètres!$A$1:$I$89,5,0)</f>
        <v>1.0286385077051818E-13</v>
      </c>
      <c r="AK118" s="13">
        <f t="shared" si="89"/>
        <v>1.5402366592183556E-12</v>
      </c>
      <c r="AL118" s="20">
        <f t="shared" si="58"/>
        <v>2.8617333882306215E-12</v>
      </c>
      <c r="AM118" s="59">
        <f t="shared" si="59"/>
        <v>286.34990549290154</v>
      </c>
      <c r="AN118" s="59">
        <f ca="1">AVERAGE(OFFSET($AM$3,0,0,'Données projet'!$E$10+1,1))-AVERAGE(OFFSET($H$3,0,0,'Données projet'!$E$10+1,1))</f>
        <v>323.67375363913726</v>
      </c>
      <c r="AO118" s="59">
        <f t="shared" si="90"/>
        <v>266.03902815735029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76.118101063115702</v>
      </c>
      <c r="AV118" s="21">
        <f>EXP(-LN(2)/25)*AV117+(1-EXP(-LN(2)/25))/(LN(2)/25)*Calculateur!AQ118*Calculateur!AS118*VLOOKUP('Données projet'!$B$10,Paramètres!$A$1:$I$89,3,0)*0.475*44/12</f>
        <v>19.961686838060352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96.079787901176047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68.095428770790562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371.46495716091965</v>
      </c>
      <c r="BJ118" s="59">
        <f t="shared" si="92"/>
        <v>579.95059529269417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55.547148478403862</v>
      </c>
      <c r="BQ118" s="21">
        <f>EXP(-LN(2)/25)*BQ117+(1-EXP(-LN(2)/25))/(LN(2)/25)*Calculateur!BL118*Calculateur!BN118*VLOOKUP('Données projet'!$B$11,Paramètres!$A$1:$I$89,3,0)*0.475*44/12</f>
        <v>9.8926547480911626</v>
      </c>
      <c r="BR118" s="21">
        <f>EXP(-LN(2)/2)*BR117+(1-EXP(-LN(2)/2))/(LN(2)/2)*BL118*BO118*VLOOKUP('Données projet'!$B$11,Paramètres!$A$1:$I$89,3,0)*0.475*44/12</f>
        <v>1.1301557026696121E-9</v>
      </c>
      <c r="BS118" s="22">
        <f t="shared" si="63"/>
        <v>65.439803227625191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68.095428770790562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180.18752244216969</v>
      </c>
      <c r="CE118" s="59">
        <f t="shared" si="94"/>
        <v>350.12096474554676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67.073817531200831</v>
      </c>
      <c r="CL118" s="21">
        <f>EXP(-LN(2)/25)*CL117+(1-EXP(-LN(2)/25))/(LN(2)/25)*Calculateur!CG118*Calculateur!CI118*VLOOKUP('Données projet'!$B$12,Paramètres!$A$1:$I$89,3,0)*0.475*44/12</f>
        <v>17.638378402288808</v>
      </c>
      <c r="CM118" s="21">
        <f>EXP(-LN(2)/2)*CM117+(1-EXP(-LN(2)/2))/(LN(2)/2)*CG118*CJ118*VLOOKUP('Données projet'!$B$12,Paramètres!$A$1:$I$89,3,0)*0.475*44/12</f>
        <v>8.586347399281215E-10</v>
      </c>
      <c r="CN118" s="22">
        <f t="shared" si="66"/>
        <v>84.712195934348273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68.095428770790562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5.6843418860808015E-14</v>
      </c>
      <c r="CU118" s="17">
        <f>CT118*VLOOKUP('Données projet'!$B$13,Paramètres!$A$1:$I$89,3,0)*VLOOKUP('Données projet'!$B$13,Paramètres!$A$1:$I$89,5,0)</f>
        <v>4.5224624045658861E-14</v>
      </c>
      <c r="CV118" s="13">
        <f t="shared" si="95"/>
        <v>7.4514601661523691E-13</v>
      </c>
      <c r="CW118" s="20">
        <f t="shared" si="67"/>
        <v>1.3765621991510601E-12</v>
      </c>
      <c r="CX118" s="59">
        <f t="shared" si="68"/>
        <v>286.34990549290006</v>
      </c>
      <c r="CY118" s="59">
        <f ca="1">AVERAGE(OFFSET($CX$3,0,0,'Données projet'!$E$13+1,1))-AVERAGE(OFFSET($H$3,0,0,'Données projet'!$E$13+1,1))</f>
        <v>284.31574332240928</v>
      </c>
      <c r="CZ118" s="59">
        <f t="shared" si="96"/>
        <v>403.96994631683913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282.44715588869434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282.44715588869434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68.095428770790562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>
        <f>DO118*VLOOKUP('Données projet'!$B$14,Paramètres!$A$1:$I$89,3,0)*VLOOKUP('Données projet'!$B$14,Paramètres!$A$1:$I$89,5,0)</f>
        <v>0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190.9519472160006</v>
      </c>
      <c r="DU118" s="59">
        <f t="shared" si="98"/>
        <v>170.61553500287511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60.478541095478242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60.478541095478242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68.095428770790562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>
        <f>EJ118*VLOOKUP('Données projet'!$B$15,Paramètres!$A$1:$I$89,3,0)*VLOOKUP('Données projet'!$B$15,Paramètres!$A$1:$I$89,5,0)</f>
        <v>0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331.94255128154623</v>
      </c>
      <c r="EP118" s="59">
        <f t="shared" si="100"/>
        <v>258.40809812013964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772.72564078050789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772.72564078050789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68.095428770790562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>
        <f>FE118*VLOOKUP('Données projet'!$B$16,Paramètres!$A$1:$I$89,3,0)*VLOOKUP('Données projet'!$B$16,Paramètres!$A$1:$I$89,5,0)</f>
        <v>0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290.72311302449236</v>
      </c>
      <c r="FK118" s="59">
        <f t="shared" si="102"/>
        <v>352.32552988394434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232.47028599956894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232.47028599956894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68.095428770790562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>
        <f>FZ118*VLOOKUP('Données projet'!$B$17,Paramètres!$A$1:$I$89,3,0)*VLOOKUP('Données projet'!$B$17,Paramètres!$A$1:$I$89,5,0)</f>
        <v>0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123.03972959251965</v>
      </c>
      <c r="GF118" s="59">
        <f t="shared" si="104"/>
        <v>178.27657680839445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50.528803608531561</v>
      </c>
      <c r="GM118" s="21">
        <f>EXP(-LN(2)/25)*GM117+(1-EXP(-LN(2)/25))/(LN(2)/25)*Calculateur!GH118*Calculateur!GJ118*VLOOKUP('Données projet'!$B$17,Paramètres!$A$1:$I$89,3,0)*0.475*44/12</f>
        <v>9.6465117463139567</v>
      </c>
      <c r="GN118" s="21">
        <f>EXP(-LN(2)/2)*GN117+(1-EXP(-LN(2)/2))/(LN(2)/2)*GH118*GK118*VLOOKUP('Données projet'!$B$17,Paramètres!$A$1:$I$89,3,0)*0.475*44/12</f>
        <v>1.7232598082606136E-6</v>
      </c>
      <c r="GO118" s="21">
        <f t="shared" si="81"/>
        <v>60.175317078105323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68.095428770790562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-4.5474735088646412E-13</v>
      </c>
      <c r="GV118" s="17">
        <f>GU118*VLOOKUP('Données projet'!$B$18,Paramètres!$A$1:$I$89,3,0)*VLOOKUP('Données projet'!$B$18,Paramètres!$A$1:$I$89,5,0)</f>
        <v>-3.0504452297464016E-13</v>
      </c>
      <c r="GW118" s="13" t="e">
        <f t="shared" si="105"/>
        <v>#NUM!</v>
      </c>
      <c r="GX118" s="20" t="e">
        <f t="shared" si="82"/>
        <v>#NUM!</v>
      </c>
      <c r="GY118" s="59" t="e">
        <f t="shared" si="83"/>
        <v>#NUM!</v>
      </c>
      <c r="GZ118" s="59">
        <f ca="1">AVERAGE(OFFSET($GY$3,0,0,'Données projet'!$E$18+1,1))-AVERAGE(OFFSET($H$3,0,0,'Données projet'!$E$18+1,1))</f>
        <v>542.25674729323623</v>
      </c>
      <c r="HA118" s="59">
        <f t="shared" si="106"/>
        <v>614.73906555680685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312.7183655988818</v>
      </c>
      <c r="HH118" s="21">
        <f>EXP(-LN(2)/25)*HH117+(1-EXP(-LN(2)/25))/(LN(2)/25)*Calculateur!HC118*Calculateur!HE118*VLOOKUP('Données projet'!$B$18,Paramètres!$A$1:$I$89,3,0)*0.475*44/12</f>
        <v>0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312.7183655988818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2.8499999999999996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10.449999999999998</v>
      </c>
      <c r="H119" s="67">
        <f t="shared" si="56"/>
        <v>214.86666666666667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68.128468823633966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-1.0231815394945443E-12</v>
      </c>
      <c r="O119" s="13">
        <f>N119*VLOOKUP('Données projet'!$B$9,Paramètres!$A$1:$I$89,3,0)*VLOOKUP('Données projet'!$B$9,Paramètres!$A$1:$I$89,5,0)</f>
        <v>-8.9385139290243408E-13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686.80970545599644</v>
      </c>
      <c r="T119" s="59">
        <f t="shared" si="88"/>
        <v>636.16485232937737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85.097771627209838</v>
      </c>
      <c r="AA119" s="21">
        <f>EXP(-LN(2)/25)*AA118+(1-EXP(-LN(2)/25))/(LN(2)/25)*Calculateur!V119*Calculateur!X119*VLOOKUP('Données projet'!$B$9,Paramètres!$A$1:$I$89,3,0)*0.475*44/12</f>
        <v>8.4110656061557822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93.508837233365625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68.128468823633966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1.1368683772161603E-13</v>
      </c>
      <c r="AJ119" s="13">
        <f>AI119*VLOOKUP('Données projet'!$B$10,Paramètres!$A$1:$I$89,3,0)*VLOOKUP('Données projet'!$B$10,Paramètres!$A$1:$I$89,5,0)</f>
        <v>1.0286385077051818E-13</v>
      </c>
      <c r="AK119" s="13">
        <f t="shared" si="89"/>
        <v>1.5402366592183556E-12</v>
      </c>
      <c r="AL119" s="20">
        <f t="shared" si="58"/>
        <v>2.8617333882306215E-12</v>
      </c>
      <c r="AM119" s="59">
        <f t="shared" si="59"/>
        <v>286.47105235332737</v>
      </c>
      <c r="AN119" s="59">
        <f ca="1">AVERAGE(OFFSET($AM$3,0,0,'Données projet'!$E$10+1,1))-AVERAGE(OFFSET($H$3,0,0,'Données projet'!$E$10+1,1))</f>
        <v>323.67375363913726</v>
      </c>
      <c r="AO119" s="59">
        <f t="shared" si="90"/>
        <v>266.03902815735029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74.625471528725328</v>
      </c>
      <c r="AV119" s="21">
        <f>EXP(-LN(2)/25)*AV118+(1-EXP(-LN(2)/25))/(LN(2)/25)*Calculateur!AQ119*Calculateur!AS119*VLOOKUP('Données projet'!$B$10,Paramètres!$A$1:$I$89,3,0)*0.475*44/12</f>
        <v>19.415833461734103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94.041304990459423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68.128468823633966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371.46495716091965</v>
      </c>
      <c r="BJ119" s="59">
        <f t="shared" si="92"/>
        <v>579.95059529269417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54.457902777157521</v>
      </c>
      <c r="BQ119" s="21">
        <f>EXP(-LN(2)/25)*BQ118+(1-EXP(-LN(2)/25))/(LN(2)/25)*Calculateur!BL119*Calculateur!BN119*VLOOKUP('Données projet'!$B$11,Paramètres!$A$1:$I$89,3,0)*0.475*44/12</f>
        <v>9.6221395837725066</v>
      </c>
      <c r="BR119" s="21">
        <f>EXP(-LN(2)/2)*BR118+(1-EXP(-LN(2)/2))/(LN(2)/2)*BL119*BO119*VLOOKUP('Données projet'!$B$11,Paramètres!$A$1:$I$89,3,0)*0.475*44/12</f>
        <v>7.991407611543303E-10</v>
      </c>
      <c r="BS119" s="22">
        <f t="shared" si="63"/>
        <v>64.08004236172917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68.128468823633966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180.18752244216969</v>
      </c>
      <c r="CE119" s="59">
        <f t="shared" si="94"/>
        <v>350.12096474554676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65.758540880403046</v>
      </c>
      <c r="CL119" s="21">
        <f>EXP(-LN(2)/25)*CL118+(1-EXP(-LN(2)/25))/(LN(2)/25)*Calculateur!CG119*Calculateur!CI119*VLOOKUP('Données projet'!$B$12,Paramètres!$A$1:$I$89,3,0)*0.475*44/12</f>
        <v>17.156056017316214</v>
      </c>
      <c r="CM119" s="21">
        <f>EXP(-LN(2)/2)*CM118+(1-EXP(-LN(2)/2))/(LN(2)/2)*CG119*CJ119*VLOOKUP('Données projet'!$B$12,Paramètres!$A$1:$I$89,3,0)*0.475*44/12</f>
        <v>6.0714644716552235E-10</v>
      </c>
      <c r="CN119" s="22">
        <f t="shared" si="66"/>
        <v>82.914596898326408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68.128468823633966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5.6843418860808015E-14</v>
      </c>
      <c r="CU119" s="17">
        <f>CT119*VLOOKUP('Données projet'!$B$13,Paramètres!$A$1:$I$89,3,0)*VLOOKUP('Données projet'!$B$13,Paramètres!$A$1:$I$89,5,0)</f>
        <v>4.5224624045658861E-14</v>
      </c>
      <c r="CV119" s="13">
        <f t="shared" si="95"/>
        <v>7.4514601661523691E-13</v>
      </c>
      <c r="CW119" s="20">
        <f t="shared" si="67"/>
        <v>1.3765621991510601E-12</v>
      </c>
      <c r="CX119" s="59">
        <f t="shared" si="68"/>
        <v>286.47105235332589</v>
      </c>
      <c r="CY119" s="59">
        <f ca="1">AVERAGE(OFFSET($CX$3,0,0,'Données projet'!$E$13+1,1))-AVERAGE(OFFSET($H$3,0,0,'Données projet'!$E$13+1,1))</f>
        <v>284.31574332240928</v>
      </c>
      <c r="CZ119" s="59">
        <f t="shared" si="96"/>
        <v>403.96994631683913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276.90853943747129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276.90853943747129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68.128468823633966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190.9519472160006</v>
      </c>
      <c r="DU119" s="59">
        <f t="shared" si="98"/>
        <v>170.61553500287511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59.29259379286357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59.29259379286357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68.128468823633966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>
        <f>EJ119*VLOOKUP('Données projet'!$B$15,Paramètres!$A$1:$I$89,3,0)*VLOOKUP('Données projet'!$B$15,Paramètres!$A$1:$I$89,5,0)</f>
        <v>0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331.94255128154623</v>
      </c>
      <c r="EP119" s="59">
        <f t="shared" si="100"/>
        <v>258.40809812013964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757.57296228090445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757.57296228090445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68.128468823633966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>
        <f>FE119*VLOOKUP('Données projet'!$B$16,Paramètres!$A$1:$I$89,3,0)*VLOOKUP('Données projet'!$B$16,Paramètres!$A$1:$I$89,5,0)</f>
        <v>0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290.72311302449236</v>
      </c>
      <c r="FK119" s="59">
        <f t="shared" si="102"/>
        <v>352.32552988394434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227.91168548399096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227.91168548399096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68.128468823633966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>
        <f>FZ119*VLOOKUP('Données projet'!$B$17,Paramètres!$A$1:$I$89,3,0)*VLOOKUP('Données projet'!$B$17,Paramètres!$A$1:$I$89,5,0)</f>
        <v>0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123.03972959251965</v>
      </c>
      <c r="GF119" s="59">
        <f t="shared" si="104"/>
        <v>178.27657680839445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49.537964589295285</v>
      </c>
      <c r="GM119" s="21">
        <f>EXP(-LN(2)/25)*GM118+(1-EXP(-LN(2)/25))/(LN(2)/25)*Calculateur!GH119*Calculateur!GJ119*VLOOKUP('Données projet'!$B$17,Paramètres!$A$1:$I$89,3,0)*0.475*44/12</f>
        <v>9.3827273753229967</v>
      </c>
      <c r="GN119" s="21">
        <f>EXP(-LN(2)/2)*GN118+(1-EXP(-LN(2)/2))/(LN(2)/2)*GH119*GK119*VLOOKUP('Données projet'!$B$17,Paramètres!$A$1:$I$89,3,0)*0.475*44/12</f>
        <v>1.2185286961673095E-6</v>
      </c>
      <c r="GO119" s="21">
        <f t="shared" si="81"/>
        <v>58.92069318314698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68.128468823633966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-4.5474735088646412E-13</v>
      </c>
      <c r="GV119" s="17">
        <f>GU119*VLOOKUP('Données projet'!$B$18,Paramètres!$A$1:$I$89,3,0)*VLOOKUP('Données projet'!$B$18,Paramètres!$A$1:$I$89,5,0)</f>
        <v>-3.0504452297464016E-13</v>
      </c>
      <c r="GW119" s="13" t="e">
        <f t="shared" si="105"/>
        <v>#NUM!</v>
      </c>
      <c r="GX119" s="20" t="e">
        <f t="shared" si="82"/>
        <v>#NUM!</v>
      </c>
      <c r="GY119" s="59" t="e">
        <f t="shared" si="83"/>
        <v>#NUM!</v>
      </c>
      <c r="GZ119" s="59">
        <f ca="1">AVERAGE(OFFSET($GY$3,0,0,'Données projet'!$E$18+1,1))-AVERAGE(OFFSET($H$3,0,0,'Données projet'!$E$18+1,1))</f>
        <v>542.25674729323623</v>
      </c>
      <c r="HA119" s="59">
        <f t="shared" si="106"/>
        <v>614.73906555680685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306.58614918885678</v>
      </c>
      <c r="HH119" s="21">
        <f>EXP(-LN(2)/25)*HH118+(1-EXP(-LN(2)/25))/(LN(2)/25)*Calculateur!HC119*Calculateur!HE119*VLOOKUP('Données projet'!$B$18,Paramètres!$A$1:$I$89,3,0)*0.475*44/12</f>
        <v>0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306.58614918885678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2.8499999999999996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10.449999999999998</v>
      </c>
      <c r="H120" s="67">
        <f t="shared" si="56"/>
        <v>214.86666666666667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68.160935705427036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-1.0231815394945443E-12</v>
      </c>
      <c r="O120" s="13">
        <f>N120*VLOOKUP('Données projet'!$B$9,Paramètres!$A$1:$I$89,3,0)*VLOOKUP('Données projet'!$B$9,Paramètres!$A$1:$I$89,5,0)</f>
        <v>-8.9385139290243408E-13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686.80970545599644</v>
      </c>
      <c r="T120" s="59">
        <f t="shared" si="88"/>
        <v>636.16485232937737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83.429056230115805</v>
      </c>
      <c r="AA120" s="21">
        <f>EXP(-LN(2)/25)*AA119+(1-EXP(-LN(2)/25))/(LN(2)/25)*Calculateur!V120*Calculateur!X120*VLOOKUP('Données projet'!$B$9,Paramètres!$A$1:$I$89,3,0)*0.475*44/12</f>
        <v>8.1810645748367357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91.610120804952544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68.160935705427036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1.1368683772161603E-13</v>
      </c>
      <c r="AJ120" s="13">
        <f>AI120*VLOOKUP('Données projet'!$B$10,Paramètres!$A$1:$I$89,3,0)*VLOOKUP('Données projet'!$B$10,Paramètres!$A$1:$I$89,5,0)</f>
        <v>1.0286385077051818E-13</v>
      </c>
      <c r="AK120" s="13">
        <f t="shared" si="89"/>
        <v>1.5402366592183556E-12</v>
      </c>
      <c r="AL120" s="20">
        <f t="shared" si="58"/>
        <v>2.8617333882306215E-12</v>
      </c>
      <c r="AM120" s="59">
        <f t="shared" si="59"/>
        <v>286.59009758656867</v>
      </c>
      <c r="AN120" s="59">
        <f ca="1">AVERAGE(OFFSET($AM$3,0,0,'Données projet'!$E$10+1,1))-AVERAGE(OFFSET($H$3,0,0,'Données projet'!$E$10+1,1))</f>
        <v>323.67375363913726</v>
      </c>
      <c r="AO120" s="59">
        <f t="shared" si="90"/>
        <v>266.03902815735029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73.162111549090227</v>
      </c>
      <c r="AV120" s="21">
        <f>EXP(-LN(2)/25)*AV119+(1-EXP(-LN(2)/25))/(LN(2)/25)*Calculateur!AQ120*Calculateur!AS120*VLOOKUP('Données projet'!$B$10,Paramètres!$A$1:$I$89,3,0)*0.475*44/12</f>
        <v>18.884906474688677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92.047018023778904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68.160935705427036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371.46495716091965</v>
      </c>
      <c r="BJ120" s="59">
        <f t="shared" si="92"/>
        <v>579.95059529269417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53.390016519738346</v>
      </c>
      <c r="BQ120" s="21">
        <f>EXP(-LN(2)/25)*BQ119+(1-EXP(-LN(2)/25))/(LN(2)/25)*Calculateur!BL120*Calculateur!BN120*VLOOKUP('Données projet'!$B$11,Paramètres!$A$1:$I$89,3,0)*0.475*44/12</f>
        <v>9.3590216708479179</v>
      </c>
      <c r="BR120" s="21">
        <f>EXP(-LN(2)/2)*BR119+(1-EXP(-LN(2)/2))/(LN(2)/2)*BL120*BO120*VLOOKUP('Données projet'!$B$11,Paramètres!$A$1:$I$89,3,0)*0.475*44/12</f>
        <v>5.6507785133480607E-10</v>
      </c>
      <c r="BS120" s="22">
        <f t="shared" si="63"/>
        <v>62.749038191151342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68.160935705427036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180.18752244216969</v>
      </c>
      <c r="CE120" s="59">
        <f t="shared" si="94"/>
        <v>350.12096474554676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64.469056002487875</v>
      </c>
      <c r="CL120" s="21">
        <f>EXP(-LN(2)/25)*CL119+(1-EXP(-LN(2)/25))/(LN(2)/25)*Calculateur!CG120*Calculateur!CI120*VLOOKUP('Données projet'!$B$12,Paramètres!$A$1:$I$89,3,0)*0.475*44/12</f>
        <v>16.686922763324926</v>
      </c>
      <c r="CM120" s="21">
        <f>EXP(-LN(2)/2)*CM119+(1-EXP(-LN(2)/2))/(LN(2)/2)*CG120*CJ120*VLOOKUP('Données projet'!$B$12,Paramètres!$A$1:$I$89,3,0)*0.475*44/12</f>
        <v>4.2931736996406075E-10</v>
      </c>
      <c r="CN120" s="22">
        <f t="shared" si="66"/>
        <v>81.155978766242129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68.160935705427036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5.6843418860808015E-14</v>
      </c>
      <c r="CU120" s="17">
        <f>CT120*VLOOKUP('Données projet'!$B$13,Paramètres!$A$1:$I$89,3,0)*VLOOKUP('Données projet'!$B$13,Paramètres!$A$1:$I$89,5,0)</f>
        <v>4.5224624045658861E-14</v>
      </c>
      <c r="CV120" s="13">
        <f t="shared" si="95"/>
        <v>7.4514601661523691E-13</v>
      </c>
      <c r="CW120" s="20">
        <f t="shared" si="67"/>
        <v>1.3765621991510601E-12</v>
      </c>
      <c r="CX120" s="59">
        <f t="shared" si="68"/>
        <v>286.5900975865672</v>
      </c>
      <c r="CY120" s="59">
        <f ca="1">AVERAGE(OFFSET($CX$3,0,0,'Données projet'!$E$13+1,1))-AVERAGE(OFFSET($H$3,0,0,'Données projet'!$E$13+1,1))</f>
        <v>284.31574332240928</v>
      </c>
      <c r="CZ120" s="59">
        <f t="shared" si="96"/>
        <v>403.96994631683913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271.47853187663429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271.47853187663429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68.160935705427036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190.9519472160006</v>
      </c>
      <c r="DU120" s="59">
        <f t="shared" si="98"/>
        <v>170.61553500287511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58.12990219349674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58.12990219349674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68.160935705427036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>
        <f>EJ120*VLOOKUP('Données projet'!$B$15,Paramètres!$A$1:$I$89,3,0)*VLOOKUP('Données projet'!$B$15,Paramètres!$A$1:$I$89,5,0)</f>
        <v>0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331.94255128154623</v>
      </c>
      <c r="EP120" s="59">
        <f t="shared" si="100"/>
        <v>258.40809812013964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742.71741856445692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742.71741856445692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68.160935705427036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>
        <f>FE120*VLOOKUP('Données projet'!$B$16,Paramètres!$A$1:$I$89,3,0)*VLOOKUP('Données projet'!$B$16,Paramètres!$A$1:$I$89,5,0)</f>
        <v>0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290.72311302449236</v>
      </c>
      <c r="FK120" s="59">
        <f t="shared" si="102"/>
        <v>352.32552988394434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223.44247634405173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223.44247634405173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68.160935705427036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>
        <f>FZ120*VLOOKUP('Données projet'!$B$17,Paramètres!$A$1:$I$89,3,0)*VLOOKUP('Données projet'!$B$17,Paramètres!$A$1:$I$89,5,0)</f>
        <v>0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123.03972959251965</v>
      </c>
      <c r="GF120" s="59">
        <f t="shared" si="104"/>
        <v>178.27657680839445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48.566555318874101</v>
      </c>
      <c r="GM120" s="21">
        <f>EXP(-LN(2)/25)*GM119+(1-EXP(-LN(2)/25))/(LN(2)/25)*Calculateur!GH120*Calculateur!GJ120*VLOOKUP('Données projet'!$B$17,Paramètres!$A$1:$I$89,3,0)*0.475*44/12</f>
        <v>9.1261562018286018</v>
      </c>
      <c r="GN120" s="21">
        <f>EXP(-LN(2)/2)*GN119+(1-EXP(-LN(2)/2))/(LN(2)/2)*GH120*GK120*VLOOKUP('Données projet'!$B$17,Paramètres!$A$1:$I$89,3,0)*0.475*44/12</f>
        <v>8.616299041303068E-7</v>
      </c>
      <c r="GO120" s="21">
        <f t="shared" si="81"/>
        <v>57.692712382332608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68.160935705427036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-4.5474735088646412E-13</v>
      </c>
      <c r="GV120" s="17">
        <f>GU120*VLOOKUP('Données projet'!$B$18,Paramètres!$A$1:$I$89,3,0)*VLOOKUP('Données projet'!$B$18,Paramètres!$A$1:$I$89,5,0)</f>
        <v>-3.0504452297464016E-13</v>
      </c>
      <c r="GW120" s="13" t="e">
        <f t="shared" si="105"/>
        <v>#NUM!</v>
      </c>
      <c r="GX120" s="20" t="e">
        <f t="shared" si="82"/>
        <v>#NUM!</v>
      </c>
      <c r="GY120" s="59" t="e">
        <f t="shared" si="83"/>
        <v>#NUM!</v>
      </c>
      <c r="GZ120" s="59">
        <f ca="1">AVERAGE(OFFSET($GY$3,0,0,'Données projet'!$E$18+1,1))-AVERAGE(OFFSET($H$3,0,0,'Données projet'!$E$18+1,1))</f>
        <v>542.25674729323623</v>
      </c>
      <c r="HA120" s="59">
        <f t="shared" si="106"/>
        <v>614.73906555680685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300.5741818023497</v>
      </c>
      <c r="HH120" s="21">
        <f>EXP(-LN(2)/25)*HH119+(1-EXP(-LN(2)/25))/(LN(2)/25)*Calculateur!HC120*Calculateur!HE120*VLOOKUP('Données projet'!$B$18,Paramètres!$A$1:$I$89,3,0)*0.475*44/12</f>
        <v>0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300.5741818023497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2.8499999999999996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10.449999999999998</v>
      </c>
      <c r="H121" s="67">
        <f t="shared" si="56"/>
        <v>214.86666666666667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68.192839359406065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-1.0231815394945443E-12</v>
      </c>
      <c r="O121" s="13">
        <f>N121*VLOOKUP('Données projet'!$B$9,Paramètres!$A$1:$I$89,3,0)*VLOOKUP('Données projet'!$B$9,Paramètres!$A$1:$I$89,5,0)</f>
        <v>-8.9385139290243408E-13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686.80970545599644</v>
      </c>
      <c r="T121" s="59">
        <f t="shared" si="88"/>
        <v>636.16485232937737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81.793063324142892</v>
      </c>
      <c r="AA121" s="21">
        <f>EXP(-LN(2)/25)*AA120+(1-EXP(-LN(2)/25))/(LN(2)/25)*Calculateur!V121*Calculateur!X121*VLOOKUP('Données projet'!$B$9,Paramètres!$A$1:$I$89,3,0)*0.475*44/12</f>
        <v>7.9573529338143372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89.750416257957227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68.192839359406065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1.1368683772161603E-13</v>
      </c>
      <c r="AJ121" s="13">
        <f>AI121*VLOOKUP('Données projet'!$B$10,Paramètres!$A$1:$I$89,3,0)*VLOOKUP('Données projet'!$B$10,Paramètres!$A$1:$I$89,5,0)</f>
        <v>1.0286385077051818E-13</v>
      </c>
      <c r="AK121" s="13">
        <f t="shared" si="89"/>
        <v>1.5402366592183556E-12</v>
      </c>
      <c r="AL121" s="20">
        <f t="shared" si="58"/>
        <v>2.8617333882306215E-12</v>
      </c>
      <c r="AM121" s="59">
        <f t="shared" si="59"/>
        <v>286.70707765115839</v>
      </c>
      <c r="AN121" s="59">
        <f ca="1">AVERAGE(OFFSET($AM$3,0,0,'Données projet'!$E$10+1,1))-AVERAGE(OFFSET($H$3,0,0,'Données projet'!$E$10+1,1))</f>
        <v>323.67375363913726</v>
      </c>
      <c r="AO121" s="59">
        <f t="shared" si="90"/>
        <v>266.03902815735029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71.727447166094308</v>
      </c>
      <c r="AV121" s="21">
        <f>EXP(-LN(2)/25)*AV120+(1-EXP(-LN(2)/25))/(LN(2)/25)*Calculateur!AQ121*Calculateur!AS121*VLOOKUP('Données projet'!$B$10,Paramètres!$A$1:$I$89,3,0)*0.475*44/12</f>
        <v>18.368497714024244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90.095944880118552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68.192839359406065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371.46495716091965</v>
      </c>
      <c r="BJ121" s="59">
        <f t="shared" si="92"/>
        <v>579.95059529269417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52.343070860480857</v>
      </c>
      <c r="BQ121" s="21">
        <f>EXP(-LN(2)/25)*BQ120+(1-EXP(-LN(2)/25))/(LN(2)/25)*Calculateur!BL121*Calculateur!BN121*VLOOKUP('Données projet'!$B$11,Paramètres!$A$1:$I$89,3,0)*0.475*44/12</f>
        <v>9.1030987310890215</v>
      </c>
      <c r="BR121" s="21">
        <f>EXP(-LN(2)/2)*BR120+(1-EXP(-LN(2)/2))/(LN(2)/2)*BL121*BO121*VLOOKUP('Données projet'!$B$11,Paramètres!$A$1:$I$89,3,0)*0.475*44/12</f>
        <v>3.9957038057716515E-10</v>
      </c>
      <c r="BS121" s="22">
        <f t="shared" si="63"/>
        <v>61.446169591969451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68.192839359406065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180.18752244216969</v>
      </c>
      <c r="CE121" s="59">
        <f t="shared" si="94"/>
        <v>350.12096474554676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63.204857136520502</v>
      </c>
      <c r="CL121" s="21">
        <f>EXP(-LN(2)/25)*CL120+(1-EXP(-LN(2)/25))/(LN(2)/25)*Calculateur!CG121*Calculateur!CI121*VLOOKUP('Données projet'!$B$12,Paramètres!$A$1:$I$89,3,0)*0.475*44/12</f>
        <v>16.230617982834676</v>
      </c>
      <c r="CM121" s="21">
        <f>EXP(-LN(2)/2)*CM120+(1-EXP(-LN(2)/2))/(LN(2)/2)*CG121*CJ121*VLOOKUP('Données projet'!$B$12,Paramètres!$A$1:$I$89,3,0)*0.475*44/12</f>
        <v>3.0357322358276117E-10</v>
      </c>
      <c r="CN121" s="22">
        <f t="shared" si="66"/>
        <v>79.435475119658747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68.192839359406065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5.6843418860808015E-14</v>
      </c>
      <c r="CU121" s="17">
        <f>CT121*VLOOKUP('Données projet'!$B$13,Paramètres!$A$1:$I$89,3,0)*VLOOKUP('Données projet'!$B$13,Paramètres!$A$1:$I$89,5,0)</f>
        <v>4.5224624045658861E-14</v>
      </c>
      <c r="CV121" s="13">
        <f t="shared" si="95"/>
        <v>7.4514601661523691E-13</v>
      </c>
      <c r="CW121" s="20">
        <f t="shared" si="67"/>
        <v>1.3765621991510601E-12</v>
      </c>
      <c r="CX121" s="59">
        <f t="shared" si="68"/>
        <v>286.70707765115691</v>
      </c>
      <c r="CY121" s="59">
        <f ca="1">AVERAGE(OFFSET($CX$3,0,0,'Données projet'!$E$13+1,1))-AVERAGE(OFFSET($H$3,0,0,'Données projet'!$E$13+1,1))</f>
        <v>284.31574332240928</v>
      </c>
      <c r="CZ121" s="59">
        <f t="shared" si="96"/>
        <v>403.96994631683913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266.15500345208773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266.15500345208773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68.192839359406065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190.9519472160006</v>
      </c>
      <c r="DU121" s="59">
        <f t="shared" si="98"/>
        <v>170.61553500287511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56.990010267221642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56.990010267221642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68.192839359406065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>
        <f>EJ121*VLOOKUP('Données projet'!$B$15,Paramètres!$A$1:$I$89,3,0)*VLOOKUP('Données projet'!$B$15,Paramètres!$A$1:$I$89,5,0)</f>
        <v>0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331.94255128154623</v>
      </c>
      <c r="EP121" s="59">
        <f t="shared" si="100"/>
        <v>258.40809812013964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728.15318299930198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728.15318299930198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68.192839359406065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>
        <f>FE121*VLOOKUP('Données projet'!$B$16,Paramètres!$A$1:$I$89,3,0)*VLOOKUP('Données projet'!$B$16,Paramètres!$A$1:$I$89,5,0)</f>
        <v>0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290.72311302449236</v>
      </c>
      <c r="FK121" s="59">
        <f t="shared" si="102"/>
        <v>352.32552988394434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219.06090566939827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219.06090566939827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68.192839359406065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>
        <f>FZ121*VLOOKUP('Données projet'!$B$17,Paramètres!$A$1:$I$89,3,0)*VLOOKUP('Données projet'!$B$17,Paramètres!$A$1:$I$89,5,0)</f>
        <v>0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123.03972959251965</v>
      </c>
      <c r="GF121" s="59">
        <f t="shared" si="104"/>
        <v>178.27657680839445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47.61419479174473</v>
      </c>
      <c r="GM121" s="21">
        <f>EXP(-LN(2)/25)*GM120+(1-EXP(-LN(2)/25))/(LN(2)/25)*Calculateur!GH121*Calculateur!GJ121*VLOOKUP('Données projet'!$B$17,Paramètres!$A$1:$I$89,3,0)*0.475*44/12</f>
        <v>8.8766009805659021</v>
      </c>
      <c r="GN121" s="21">
        <f>EXP(-LN(2)/2)*GN120+(1-EXP(-LN(2)/2))/(LN(2)/2)*GH121*GK121*VLOOKUP('Données projet'!$B$17,Paramètres!$A$1:$I$89,3,0)*0.475*44/12</f>
        <v>6.0926434808365476E-7</v>
      </c>
      <c r="GO121" s="21">
        <f t="shared" si="81"/>
        <v>56.490796381574981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68.192839359406065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-4.5474735088646412E-13</v>
      </c>
      <c r="GV121" s="17">
        <f>GU121*VLOOKUP('Données projet'!$B$18,Paramètres!$A$1:$I$89,3,0)*VLOOKUP('Données projet'!$B$18,Paramètres!$A$1:$I$89,5,0)</f>
        <v>-3.0504452297464016E-13</v>
      </c>
      <c r="GW121" s="13" t="e">
        <f t="shared" si="105"/>
        <v>#NUM!</v>
      </c>
      <c r="GX121" s="20" t="e">
        <f t="shared" si="82"/>
        <v>#NUM!</v>
      </c>
      <c r="GY121" s="59" t="e">
        <f t="shared" si="83"/>
        <v>#NUM!</v>
      </c>
      <c r="GZ121" s="59">
        <f ca="1">AVERAGE(OFFSET($GY$3,0,0,'Données projet'!$E$18+1,1))-AVERAGE(OFFSET($H$3,0,0,'Données projet'!$E$18+1,1))</f>
        <v>542.25674729323623</v>
      </c>
      <c r="HA121" s="59">
        <f t="shared" si="106"/>
        <v>614.73906555680685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294.680105429354</v>
      </c>
      <c r="HH121" s="21">
        <f>EXP(-LN(2)/25)*HH120+(1-EXP(-LN(2)/25))/(LN(2)/25)*Calculateur!HC121*Calculateur!HE121*VLOOKUP('Données projet'!$B$18,Paramètres!$A$1:$I$89,3,0)*0.475*44/12</f>
        <v>0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294.680105429354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2.8499999999999996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10.449999999999998</v>
      </c>
      <c r="H122" s="67">
        <f t="shared" si="56"/>
        <v>214.86666666666667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68.224189556314442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-1.0231815394945443E-12</v>
      </c>
      <c r="O122" s="13">
        <f>N122*VLOOKUP('Données projet'!$B$9,Paramètres!$A$1:$I$89,3,0)*VLOOKUP('Données projet'!$B$9,Paramètres!$A$1:$I$89,5,0)</f>
        <v>-8.9385139290243408E-13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686.80970545599644</v>
      </c>
      <c r="T122" s="59">
        <f t="shared" si="88"/>
        <v>636.16485232937737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80.189151241198957</v>
      </c>
      <c r="AA122" s="21">
        <f>EXP(-LN(2)/25)*AA121+(1-EXP(-LN(2)/25))/(LN(2)/25)*Calculateur!V122*Calculateur!X122*VLOOKUP('Données projet'!$B$9,Paramètres!$A$1:$I$89,3,0)*0.475*44/12</f>
        <v>7.7397586993801797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87.928909940579132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68.224189556314442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1.1368683772161603E-13</v>
      </c>
      <c r="AJ122" s="13">
        <f>AI122*VLOOKUP('Données projet'!$B$10,Paramètres!$A$1:$I$89,3,0)*VLOOKUP('Données projet'!$B$10,Paramètres!$A$1:$I$89,5,0)</f>
        <v>1.0286385077051818E-13</v>
      </c>
      <c r="AK122" s="13">
        <f t="shared" si="89"/>
        <v>1.5402366592183556E-12</v>
      </c>
      <c r="AL122" s="20">
        <f t="shared" si="58"/>
        <v>2.8617333882306215E-12</v>
      </c>
      <c r="AM122" s="59">
        <f t="shared" si="59"/>
        <v>286.82202837315577</v>
      </c>
      <c r="AN122" s="59">
        <f ca="1">AVERAGE(OFFSET($AM$3,0,0,'Données projet'!$E$10+1,1))-AVERAGE(OFFSET($H$3,0,0,'Données projet'!$E$10+1,1))</f>
        <v>323.67375363913726</v>
      </c>
      <c r="AO122" s="59">
        <f t="shared" si="90"/>
        <v>266.03902815735029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70.320915676590076</v>
      </c>
      <c r="AV122" s="21">
        <f>EXP(-LN(2)/25)*AV121+(1-EXP(-LN(2)/25))/(LN(2)/25)*Calculateur!AQ122*Calculateur!AS122*VLOOKUP('Données projet'!$B$10,Paramètres!$A$1:$I$89,3,0)*0.475*44/12</f>
        <v>17.866210178076937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88.187125854667016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68.224189556314442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371.46495716091965</v>
      </c>
      <c r="BJ122" s="59">
        <f t="shared" si="92"/>
        <v>579.95059529269417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51.316655167027612</v>
      </c>
      <c r="BQ122" s="21">
        <f>EXP(-LN(2)/25)*BQ121+(1-EXP(-LN(2)/25))/(LN(2)/25)*Calculateur!BL122*Calculateur!BN122*VLOOKUP('Données projet'!$B$11,Paramètres!$A$1:$I$89,3,0)*0.475*44/12</f>
        <v>8.854174017576236</v>
      </c>
      <c r="BR122" s="21">
        <f>EXP(-LN(2)/2)*BR121+(1-EXP(-LN(2)/2))/(LN(2)/2)*BL122*BO122*VLOOKUP('Données projet'!$B$11,Paramètres!$A$1:$I$89,3,0)*0.475*44/12</f>
        <v>2.8253892566740303E-10</v>
      </c>
      <c r="BS122" s="22">
        <f t="shared" si="63"/>
        <v>60.170829184886387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68.224189556314442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180.18752244216969</v>
      </c>
      <c r="CE122" s="59">
        <f t="shared" si="94"/>
        <v>350.12096474554676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61.965448439229576</v>
      </c>
      <c r="CL122" s="21">
        <f>EXP(-LN(2)/25)*CL121+(1-EXP(-LN(2)/25))/(LN(2)/25)*Calculateur!CG122*Calculateur!CI122*VLOOKUP('Données projet'!$B$12,Paramètres!$A$1:$I$89,3,0)*0.475*44/12</f>
        <v>15.786790880562958</v>
      </c>
      <c r="CM122" s="21">
        <f>EXP(-LN(2)/2)*CM121+(1-EXP(-LN(2)/2))/(LN(2)/2)*CG122*CJ122*VLOOKUP('Données projet'!$B$12,Paramètres!$A$1:$I$89,3,0)*0.475*44/12</f>
        <v>2.1465868498203038E-10</v>
      </c>
      <c r="CN122" s="22">
        <f t="shared" si="66"/>
        <v>77.752239320007192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68.224189556314442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5.6843418860808015E-14</v>
      </c>
      <c r="CU122" s="17">
        <f>CT122*VLOOKUP('Données projet'!$B$13,Paramètres!$A$1:$I$89,3,0)*VLOOKUP('Données projet'!$B$13,Paramètres!$A$1:$I$89,5,0)</f>
        <v>4.5224624045658861E-14</v>
      </c>
      <c r="CV122" s="13">
        <f t="shared" si="95"/>
        <v>7.4514601661523691E-13</v>
      </c>
      <c r="CW122" s="20">
        <f t="shared" si="67"/>
        <v>1.3765621991510601E-12</v>
      </c>
      <c r="CX122" s="59">
        <f t="shared" si="68"/>
        <v>286.8220283731543</v>
      </c>
      <c r="CY122" s="59">
        <f ca="1">AVERAGE(OFFSET($CX$3,0,0,'Données projet'!$E$13+1,1))-AVERAGE(OFFSET($H$3,0,0,'Données projet'!$E$13+1,1))</f>
        <v>284.31574332240928</v>
      </c>
      <c r="CZ122" s="59">
        <f t="shared" si="96"/>
        <v>403.96994631683913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260.93586617291481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260.93586617291481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68.224189556314442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190.9519472160006</v>
      </c>
      <c r="DU122" s="59">
        <f t="shared" si="98"/>
        <v>170.61553500287511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55.872470926355376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55.872470926355376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68.224189556314442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>
        <f>EJ122*VLOOKUP('Données projet'!$B$15,Paramètres!$A$1:$I$89,3,0)*VLOOKUP('Données projet'!$B$15,Paramètres!$A$1:$I$89,5,0)</f>
        <v>0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331.94255128154623</v>
      </c>
      <c r="EP122" s="59">
        <f t="shared" si="100"/>
        <v>258.40809812013964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713.87454321027315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713.87454321027315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68.224189556314442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>
        <f>FE122*VLOOKUP('Données projet'!$B$16,Paramètres!$A$1:$I$89,3,0)*VLOOKUP('Données projet'!$B$16,Paramètres!$A$1:$I$89,5,0)</f>
        <v>0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290.72311302449236</v>
      </c>
      <c r="FK122" s="59">
        <f t="shared" si="102"/>
        <v>352.32552988394434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214.76525492318055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214.76525492318055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68.224189556314442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>
        <f>FZ122*VLOOKUP('Données projet'!$B$17,Paramètres!$A$1:$I$89,3,0)*VLOOKUP('Données projet'!$B$17,Paramètres!$A$1:$I$89,5,0)</f>
        <v>0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123.03972959251965</v>
      </c>
      <c r="GF122" s="59">
        <f t="shared" si="104"/>
        <v>178.27657680839445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46.680509473669801</v>
      </c>
      <c r="GM122" s="21">
        <f>EXP(-LN(2)/25)*GM121+(1-EXP(-LN(2)/25))/(LN(2)/25)*Calculateur!GH122*Calculateur!GJ122*VLOOKUP('Données projet'!$B$17,Paramètres!$A$1:$I$89,3,0)*0.475*44/12</f>
        <v>8.6338698599521688</v>
      </c>
      <c r="GN122" s="21">
        <f>EXP(-LN(2)/2)*GN121+(1-EXP(-LN(2)/2))/(LN(2)/2)*GH122*GK122*VLOOKUP('Données projet'!$B$17,Paramètres!$A$1:$I$89,3,0)*0.475*44/12</f>
        <v>4.308149520651534E-7</v>
      </c>
      <c r="GO122" s="21">
        <f t="shared" si="81"/>
        <v>55.314379764436922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68.224189556314442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-4.5474735088646412E-13</v>
      </c>
      <c r="GV122" s="17">
        <f>GU122*VLOOKUP('Données projet'!$B$18,Paramètres!$A$1:$I$89,3,0)*VLOOKUP('Données projet'!$B$18,Paramètres!$A$1:$I$89,5,0)</f>
        <v>-3.0504452297464016E-13</v>
      </c>
      <c r="GW122" s="13" t="e">
        <f t="shared" si="105"/>
        <v>#NUM!</v>
      </c>
      <c r="GX122" s="20" t="e">
        <f t="shared" si="82"/>
        <v>#NUM!</v>
      </c>
      <c r="GY122" s="59" t="e">
        <f t="shared" si="83"/>
        <v>#NUM!</v>
      </c>
      <c r="GZ122" s="59">
        <f ca="1">AVERAGE(OFFSET($GY$3,0,0,'Données projet'!$E$18+1,1))-AVERAGE(OFFSET($H$3,0,0,'Données projet'!$E$18+1,1))</f>
        <v>542.25674729323623</v>
      </c>
      <c r="HA122" s="59">
        <f t="shared" si="106"/>
        <v>614.73906555680685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288.90160829900111</v>
      </c>
      <c r="HH122" s="21">
        <f>EXP(-LN(2)/25)*HH121+(1-EXP(-LN(2)/25))/(LN(2)/25)*Calculateur!HC122*Calculateur!HE122*VLOOKUP('Données projet'!$B$18,Paramètres!$A$1:$I$89,3,0)*0.475*44/12</f>
        <v>0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288.90160829900111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2.8499999999999996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10.449999999999998</v>
      </c>
      <c r="H123" s="67">
        <f t="shared" si="56"/>
        <v>214.86666666666667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68.254995897395005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-1.0231815394945443E-12</v>
      </c>
      <c r="O123" s="13">
        <f>N123*VLOOKUP('Données projet'!$B$9,Paramètres!$A$1:$I$89,3,0)*VLOOKUP('Données projet'!$B$9,Paramètres!$A$1:$I$89,5,0)</f>
        <v>-8.9385139290243408E-13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686.80970545599644</v>
      </c>
      <c r="T123" s="59">
        <f t="shared" si="88"/>
        <v>636.16485232937737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78.616690895911788</v>
      </c>
      <c r="AA123" s="21">
        <f>EXP(-LN(2)/25)*AA122+(1-EXP(-LN(2)/25))/(LN(2)/25)*Calculateur!V123*Calculateur!X123*VLOOKUP('Données projet'!$B$9,Paramètres!$A$1:$I$89,3,0)*0.475*44/12</f>
        <v>7.528114590729408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86.144805486641189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68.254995897395005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1.1368683772161603E-13</v>
      </c>
      <c r="AJ123" s="13">
        <f>AI123*VLOOKUP('Données projet'!$B$10,Paramètres!$A$1:$I$89,3,0)*VLOOKUP('Données projet'!$B$10,Paramètres!$A$1:$I$89,5,0)</f>
        <v>1.0286385077051818E-13</v>
      </c>
      <c r="AK123" s="13">
        <f t="shared" si="89"/>
        <v>1.5402366592183556E-12</v>
      </c>
      <c r="AL123" s="20">
        <f t="shared" si="58"/>
        <v>2.8617333882306215E-12</v>
      </c>
      <c r="AM123" s="59">
        <f t="shared" si="59"/>
        <v>286.93498495711788</v>
      </c>
      <c r="AN123" s="59">
        <f ca="1">AVERAGE(OFFSET($AM$3,0,0,'Données projet'!$E$10+1,1))-AVERAGE(OFFSET($H$3,0,0,'Données projet'!$E$10+1,1))</f>
        <v>323.67375363913726</v>
      </c>
      <c r="AO123" s="59">
        <f t="shared" si="90"/>
        <v>266.03902815735029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68.94196541169552</v>
      </c>
      <c r="AV123" s="21">
        <f>EXP(-LN(2)/25)*AV122+(1-EXP(-LN(2)/25))/(LN(2)/25)*Calculateur!AQ123*Calculateur!AS123*VLOOKUP('Données projet'!$B$10,Paramètres!$A$1:$I$89,3,0)*0.475*44/12</f>
        <v>17.377657721214263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86.319623132909783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68.254995897395005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371.46495716091965</v>
      </c>
      <c r="BJ123" s="59">
        <f t="shared" si="92"/>
        <v>579.95059529269417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50.310366859271227</v>
      </c>
      <c r="BQ123" s="21">
        <f>EXP(-LN(2)/25)*BQ122+(1-EXP(-LN(2)/25))/(LN(2)/25)*Calculateur!BL123*Calculateur!BN123*VLOOKUP('Données projet'!$B$11,Paramètres!$A$1:$I$89,3,0)*0.475*44/12</f>
        <v>8.6120561634448389</v>
      </c>
      <c r="BR123" s="21">
        <f>EXP(-LN(2)/2)*BR122+(1-EXP(-LN(2)/2))/(LN(2)/2)*BL123*BO123*VLOOKUP('Données projet'!$B$11,Paramètres!$A$1:$I$89,3,0)*0.475*44/12</f>
        <v>1.9978519028858258E-10</v>
      </c>
      <c r="BS123" s="22">
        <f t="shared" si="63"/>
        <v>58.922423022915851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68.254995897395005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180.18752244216969</v>
      </c>
      <c r="CE123" s="59">
        <f t="shared" si="94"/>
        <v>350.12096474554676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60.750343790527864</v>
      </c>
      <c r="CL123" s="21">
        <f>EXP(-LN(2)/25)*CL122+(1-EXP(-LN(2)/25))/(LN(2)/25)*Calculateur!CG123*Calculateur!CI123*VLOOKUP('Données projet'!$B$12,Paramètres!$A$1:$I$89,3,0)*0.475*44/12</f>
        <v>15.355100253742712</v>
      </c>
      <c r="CM123" s="21">
        <f>EXP(-LN(2)/2)*CM122+(1-EXP(-LN(2)/2))/(LN(2)/2)*CG123*CJ123*VLOOKUP('Données projet'!$B$12,Paramètres!$A$1:$I$89,3,0)*0.475*44/12</f>
        <v>1.5178661179138059E-10</v>
      </c>
      <c r="CN123" s="22">
        <f t="shared" si="66"/>
        <v>76.105444044422356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68.254995897395005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5.6843418860808015E-14</v>
      </c>
      <c r="CU123" s="17">
        <f>CT123*VLOOKUP('Données projet'!$B$13,Paramètres!$A$1:$I$89,3,0)*VLOOKUP('Données projet'!$B$13,Paramètres!$A$1:$I$89,5,0)</f>
        <v>4.5224624045658861E-14</v>
      </c>
      <c r="CV123" s="13">
        <f t="shared" si="95"/>
        <v>7.4514601661523691E-13</v>
      </c>
      <c r="CW123" s="20">
        <f t="shared" si="67"/>
        <v>1.3765621991510601E-12</v>
      </c>
      <c r="CX123" s="59">
        <f t="shared" si="68"/>
        <v>286.9349849571164</v>
      </c>
      <c r="CY123" s="59">
        <f ca="1">AVERAGE(OFFSET($CX$3,0,0,'Données projet'!$E$13+1,1))-AVERAGE(OFFSET($H$3,0,0,'Données projet'!$E$13+1,1))</f>
        <v>284.31574332240928</v>
      </c>
      <c r="CZ123" s="59">
        <f t="shared" si="96"/>
        <v>403.96994631683913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255.81907299242707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255.81907299242707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68.254995897395005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190.9519472160006</v>
      </c>
      <c r="DU123" s="59">
        <f t="shared" si="98"/>
        <v>170.61553500287511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54.776845850331803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54.776845850331803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68.254995897395005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>
        <f>EJ123*VLOOKUP('Données projet'!$B$15,Paramètres!$A$1:$I$89,3,0)*VLOOKUP('Données projet'!$B$15,Paramètres!$A$1:$I$89,5,0)</f>
        <v>0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331.94255128154623</v>
      </c>
      <c r="EP123" s="59">
        <f t="shared" si="100"/>
        <v>258.40809812013964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699.87589883839689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699.87589883839689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68.254995897395005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>
        <f>FE123*VLOOKUP('Données projet'!$B$16,Paramètres!$A$1:$I$89,3,0)*VLOOKUP('Données projet'!$B$16,Paramètres!$A$1:$I$89,5,0)</f>
        <v>0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290.72311302449236</v>
      </c>
      <c r="FK123" s="59">
        <f t="shared" si="102"/>
        <v>352.32552988394434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210.55383926800792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210.55383926800792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68.254995897395005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>
        <f>FZ123*VLOOKUP('Données projet'!$B$17,Paramètres!$A$1:$I$89,3,0)*VLOOKUP('Données projet'!$B$17,Paramètres!$A$1:$I$89,5,0)</f>
        <v>0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123.03972959251965</v>
      </c>
      <c r="GF123" s="59">
        <f t="shared" si="104"/>
        <v>178.27657680839445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45.765133155190512</v>
      </c>
      <c r="GM123" s="21">
        <f>EXP(-LN(2)/25)*GM122+(1-EXP(-LN(2)/25))/(LN(2)/25)*Calculateur!GH123*Calculateur!GJ123*VLOOKUP('Données projet'!$B$17,Paramètres!$A$1:$I$89,3,0)*0.475*44/12</f>
        <v>8.397776234596293</v>
      </c>
      <c r="GN123" s="21">
        <f>EXP(-LN(2)/2)*GN122+(1-EXP(-LN(2)/2))/(LN(2)/2)*GH123*GK123*VLOOKUP('Données projet'!$B$17,Paramètres!$A$1:$I$89,3,0)*0.475*44/12</f>
        <v>3.0463217404182738E-7</v>
      </c>
      <c r="GO123" s="21">
        <f t="shared" si="81"/>
        <v>54.162909694418978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68.254995897395005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-4.5474735088646412E-13</v>
      </c>
      <c r="GV123" s="17">
        <f>GU123*VLOOKUP('Données projet'!$B$18,Paramètres!$A$1:$I$89,3,0)*VLOOKUP('Données projet'!$B$18,Paramètres!$A$1:$I$89,5,0)</f>
        <v>-3.0504452297464016E-13</v>
      </c>
      <c r="GW123" s="13" t="e">
        <f t="shared" si="105"/>
        <v>#NUM!</v>
      </c>
      <c r="GX123" s="20" t="e">
        <f t="shared" si="82"/>
        <v>#NUM!</v>
      </c>
      <c r="GY123" s="59" t="e">
        <f t="shared" si="83"/>
        <v>#NUM!</v>
      </c>
      <c r="GZ123" s="59">
        <f ca="1">AVERAGE(OFFSET($GY$3,0,0,'Données projet'!$E$18+1,1))-AVERAGE(OFFSET($H$3,0,0,'Données projet'!$E$18+1,1))</f>
        <v>542.25674729323623</v>
      </c>
      <c r="HA123" s="59">
        <f t="shared" si="106"/>
        <v>614.73906555680685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283.23642397283919</v>
      </c>
      <c r="HH123" s="21">
        <f>EXP(-LN(2)/25)*HH122+(1-EXP(-LN(2)/25))/(LN(2)/25)*Calculateur!HC123*Calculateur!HE123*VLOOKUP('Données projet'!$B$18,Paramètres!$A$1:$I$89,3,0)*0.475*44/12</f>
        <v>0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283.23642397283919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2.8499999999999996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10.449999999999998</v>
      </c>
      <c r="H124" s="67">
        <f t="shared" si="56"/>
        <v>214.86666666666667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68.285267817330478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-1.0231815394945443E-12</v>
      </c>
      <c r="O124" s="13">
        <f>N124*VLOOKUP('Données projet'!$B$9,Paramètres!$A$1:$I$89,3,0)*VLOOKUP('Données projet'!$B$9,Paramètres!$A$1:$I$89,5,0)</f>
        <v>-8.9385139290243408E-13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686.80970545599644</v>
      </c>
      <c r="T124" s="59">
        <f t="shared" si="88"/>
        <v>636.16485232937737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77.075065538889589</v>
      </c>
      <c r="AA124" s="21">
        <f>EXP(-LN(2)/25)*AA123+(1-EXP(-LN(2)/25))/(LN(2)/25)*Calculateur!V124*Calculateur!X124*VLOOKUP('Données projet'!$B$9,Paramètres!$A$1:$I$89,3,0)*0.475*44/12</f>
        <v>7.3222579013595714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84.397323440249167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68.285267817330478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1.1368683772161603E-13</v>
      </c>
      <c r="AJ124" s="13">
        <f>AI124*VLOOKUP('Données projet'!$B$10,Paramètres!$A$1:$I$89,3,0)*VLOOKUP('Données projet'!$B$10,Paramètres!$A$1:$I$89,5,0)</f>
        <v>1.0286385077051818E-13</v>
      </c>
      <c r="AK124" s="13">
        <f t="shared" si="89"/>
        <v>1.5402366592183556E-12</v>
      </c>
      <c r="AL124" s="20">
        <f t="shared" si="58"/>
        <v>2.8617333882306215E-12</v>
      </c>
      <c r="AM124" s="59">
        <f t="shared" si="59"/>
        <v>287.04598199688127</v>
      </c>
      <c r="AN124" s="59">
        <f ca="1">AVERAGE(OFFSET($AM$3,0,0,'Données projet'!$E$10+1,1))-AVERAGE(OFFSET($H$3,0,0,'Données projet'!$E$10+1,1))</f>
        <v>323.67375363913726</v>
      </c>
      <c r="AO124" s="59">
        <f t="shared" si="90"/>
        <v>266.03902815735029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67.590055520418929</v>
      </c>
      <c r="AV124" s="21">
        <f>EXP(-LN(2)/25)*AV123+(1-EXP(-LN(2)/25))/(LN(2)/25)*Calculateur!AQ124*Calculateur!AS124*VLOOKUP('Données projet'!$B$10,Paramètres!$A$1:$I$89,3,0)*0.475*44/12</f>
        <v>16.902464756976357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84.492520277395286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68.285267817330478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371.46495716091965</v>
      </c>
      <c r="BJ124" s="59">
        <f t="shared" si="92"/>
        <v>579.95059529269417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49.323811251454686</v>
      </c>
      <c r="BQ124" s="21">
        <f>EXP(-LN(2)/25)*BQ123+(1-EXP(-LN(2)/25))/(LN(2)/25)*Calculateur!BL124*Calculateur!BN124*VLOOKUP('Données projet'!$B$11,Paramètres!$A$1:$I$89,3,0)*0.475*44/12</f>
        <v>8.3765590347670891</v>
      </c>
      <c r="BR124" s="21">
        <f>EXP(-LN(2)/2)*BR123+(1-EXP(-LN(2)/2))/(LN(2)/2)*BL124*BO124*VLOOKUP('Données projet'!$B$11,Paramètres!$A$1:$I$89,3,0)*0.475*44/12</f>
        <v>1.4126946283370152E-10</v>
      </c>
      <c r="BS124" s="22">
        <f t="shared" si="63"/>
        <v>57.700370286363047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68.285267817330478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180.18752244216969</v>
      </c>
      <c r="CE124" s="59">
        <f t="shared" si="94"/>
        <v>350.12096474554676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59.559066602846542</v>
      </c>
      <c r="CL124" s="21">
        <f>EXP(-LN(2)/25)*CL123+(1-EXP(-LN(2)/25))/(LN(2)/25)*Calculateur!CG124*Calculateur!CI124*VLOOKUP('Données projet'!$B$12,Paramètres!$A$1:$I$89,3,0)*0.475*44/12</f>
        <v>14.935214229814489</v>
      </c>
      <c r="CM124" s="21">
        <f>EXP(-LN(2)/2)*CM123+(1-EXP(-LN(2)/2))/(LN(2)/2)*CG124*CJ124*VLOOKUP('Données projet'!$B$12,Paramètres!$A$1:$I$89,3,0)*0.475*44/12</f>
        <v>1.0732934249101519E-10</v>
      </c>
      <c r="CN124" s="22">
        <f t="shared" si="66"/>
        <v>74.494280832768368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68.285267817330478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5.6843418860808015E-14</v>
      </c>
      <c r="CU124" s="17">
        <f>CT124*VLOOKUP('Données projet'!$B$13,Paramètres!$A$1:$I$89,3,0)*VLOOKUP('Données projet'!$B$13,Paramètres!$A$1:$I$89,5,0)</f>
        <v>4.5224624045658861E-14</v>
      </c>
      <c r="CV124" s="13">
        <f t="shared" si="95"/>
        <v>7.4514601661523691E-13</v>
      </c>
      <c r="CW124" s="20">
        <f t="shared" si="67"/>
        <v>1.3765621991510601E-12</v>
      </c>
      <c r="CX124" s="59">
        <f t="shared" si="68"/>
        <v>287.04598199687979</v>
      </c>
      <c r="CY124" s="59">
        <f ca="1">AVERAGE(OFFSET($CX$3,0,0,'Données projet'!$E$13+1,1))-AVERAGE(OFFSET($H$3,0,0,'Données projet'!$E$13+1,1))</f>
        <v>284.31574332240928</v>
      </c>
      <c r="CZ124" s="59">
        <f t="shared" si="96"/>
        <v>403.96994631683913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250.80261700527299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250.80261700527299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68.285267817330478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190.9519472160006</v>
      </c>
      <c r="DU124" s="59">
        <f t="shared" si="98"/>
        <v>170.61553500287511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53.702705313783746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53.702705313783746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68.285267817330478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>
        <f>EJ124*VLOOKUP('Données projet'!$B$15,Paramètres!$A$1:$I$89,3,0)*VLOOKUP('Données projet'!$B$15,Paramètres!$A$1:$I$89,5,0)</f>
        <v>0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331.94255128154623</v>
      </c>
      <c r="EP124" s="59">
        <f t="shared" si="100"/>
        <v>258.40809812013964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686.15175934432307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686.15175934432307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68.285267817330478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>
        <f>FE124*VLOOKUP('Données projet'!$B$16,Paramètres!$A$1:$I$89,3,0)*VLOOKUP('Données projet'!$B$16,Paramètres!$A$1:$I$89,5,0)</f>
        <v>0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290.72311302449236</v>
      </c>
      <c r="FK124" s="59">
        <f t="shared" si="102"/>
        <v>352.32552988394434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206.4250069051233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206.4250069051233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68.285267817330478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>
        <f>FZ124*VLOOKUP('Données projet'!$B$17,Paramètres!$A$1:$I$89,3,0)*VLOOKUP('Données projet'!$B$17,Paramètres!$A$1:$I$89,5,0)</f>
        <v>0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123.03972959251965</v>
      </c>
      <c r="GF124" s="59">
        <f t="shared" si="104"/>
        <v>178.27657680839445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44.867706807992171</v>
      </c>
      <c r="GM124" s="21">
        <f>EXP(-LN(2)/25)*GM123+(1-EXP(-LN(2)/25))/(LN(2)/25)*Calculateur!GH124*Calculateur!GJ124*VLOOKUP('Données projet'!$B$17,Paramètres!$A$1:$I$89,3,0)*0.475*44/12</f>
        <v>8.1681386018413988</v>
      </c>
      <c r="GN124" s="21">
        <f>EXP(-LN(2)/2)*GN123+(1-EXP(-LN(2)/2))/(LN(2)/2)*GH124*GK124*VLOOKUP('Données projet'!$B$17,Paramètres!$A$1:$I$89,3,0)*0.475*44/12</f>
        <v>2.154074760325767E-7</v>
      </c>
      <c r="GO124" s="21">
        <f t="shared" si="81"/>
        <v>53.035845625241045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68.285267817330478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-4.5474735088646412E-13</v>
      </c>
      <c r="GV124" s="17">
        <f>GU124*VLOOKUP('Données projet'!$B$18,Paramètres!$A$1:$I$89,3,0)*VLOOKUP('Données projet'!$B$18,Paramètres!$A$1:$I$89,5,0)</f>
        <v>-3.0504452297464016E-13</v>
      </c>
      <c r="GW124" s="13" t="e">
        <f t="shared" si="105"/>
        <v>#NUM!</v>
      </c>
      <c r="GX124" s="20" t="e">
        <f t="shared" si="82"/>
        <v>#NUM!</v>
      </c>
      <c r="GY124" s="59" t="e">
        <f t="shared" si="83"/>
        <v>#NUM!</v>
      </c>
      <c r="GZ124" s="59">
        <f ca="1">AVERAGE(OFFSET($GY$3,0,0,'Données projet'!$E$18+1,1))-AVERAGE(OFFSET($H$3,0,0,'Données projet'!$E$18+1,1))</f>
        <v>542.25674729323623</v>
      </c>
      <c r="HA124" s="59">
        <f t="shared" si="106"/>
        <v>614.73906555680685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277.6823304558921</v>
      </c>
      <c r="HH124" s="21">
        <f>EXP(-LN(2)/25)*HH123+(1-EXP(-LN(2)/25))/(LN(2)/25)*Calculateur!HC124*Calculateur!HE124*VLOOKUP('Données projet'!$B$18,Paramètres!$A$1:$I$89,3,0)*0.475*44/12</f>
        <v>0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277.6823304558921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2.8499999999999996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10.449999999999998</v>
      </c>
      <c r="H125" s="67">
        <f t="shared" si="56"/>
        <v>214.86666666666667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68.315014587132936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-1.0231815394945443E-12</v>
      </c>
      <c r="O125" s="13">
        <f>N125*VLOOKUP('Données projet'!$B$9,Paramètres!$A$1:$I$89,3,0)*VLOOKUP('Données projet'!$B$9,Paramètres!$A$1:$I$89,5,0)</f>
        <v>-8.9385139290243408E-13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686.80970545599644</v>
      </c>
      <c r="T125" s="59">
        <f t="shared" si="88"/>
        <v>636.16485232937737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75.563670514819975</v>
      </c>
      <c r="AA125" s="21">
        <f>EXP(-LN(2)/25)*AA124+(1-EXP(-LN(2)/25))/(LN(2)/25)*Calculateur!V125*Calculateur!X125*VLOOKUP('Données projet'!$B$9,Paramètres!$A$1:$I$89,3,0)*0.475*44/12</f>
        <v>7.1220303739860862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82.685700888806068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68.315014587132936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1.1368683772161603E-13</v>
      </c>
      <c r="AJ125" s="13">
        <f>AI125*VLOOKUP('Données projet'!$B$10,Paramètres!$A$1:$I$89,3,0)*VLOOKUP('Données projet'!$B$10,Paramètres!$A$1:$I$89,5,0)</f>
        <v>1.0286385077051818E-13</v>
      </c>
      <c r="AK125" s="13">
        <f t="shared" si="89"/>
        <v>1.5402366592183556E-12</v>
      </c>
      <c r="AL125" s="20">
        <f t="shared" si="58"/>
        <v>2.8617333882306215E-12</v>
      </c>
      <c r="AM125" s="59">
        <f t="shared" si="59"/>
        <v>287.15505348615693</v>
      </c>
      <c r="AN125" s="59">
        <f ca="1">AVERAGE(OFFSET($AM$3,0,0,'Données projet'!$E$10+1,1))-AVERAGE(OFFSET($H$3,0,0,'Données projet'!$E$10+1,1))</f>
        <v>323.67375363913726</v>
      </c>
      <c r="AO125" s="59">
        <f t="shared" si="90"/>
        <v>266.03902815735029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66.264655757526668</v>
      </c>
      <c r="AV125" s="21">
        <f>EXP(-LN(2)/25)*AV124+(1-EXP(-LN(2)/25))/(LN(2)/25)*Calculateur!AQ125*Calculateur!AS125*VLOOKUP('Données projet'!$B$10,Paramètres!$A$1:$I$89,3,0)*0.475*44/12</f>
        <v>16.440265969334849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82.704921726861514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68.315014587132936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371.46495716091965</v>
      </c>
      <c r="BJ125" s="59">
        <f t="shared" si="92"/>
        <v>579.95059529269417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48.356601397367918</v>
      </c>
      <c r="BQ125" s="21">
        <f>EXP(-LN(2)/25)*BQ124+(1-EXP(-LN(2)/25))/(LN(2)/25)*Calculateur!BL125*Calculateur!BN125*VLOOKUP('Données projet'!$B$11,Paramètres!$A$1:$I$89,3,0)*0.475*44/12</f>
        <v>8.1475015874572883</v>
      </c>
      <c r="BR125" s="21">
        <f>EXP(-LN(2)/2)*BR124+(1-EXP(-LN(2)/2))/(LN(2)/2)*BL125*BO125*VLOOKUP('Données projet'!$B$11,Paramètres!$A$1:$I$89,3,0)*0.475*44/12</f>
        <v>9.9892595144291288E-11</v>
      </c>
      <c r="BS125" s="22">
        <f t="shared" si="63"/>
        <v>56.504102984925105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68.315014587132936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180.18752244216969</v>
      </c>
      <c r="CE125" s="59">
        <f t="shared" si="94"/>
        <v>350.12096474554676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58.391149634208311</v>
      </c>
      <c r="CL125" s="21">
        <f>EXP(-LN(2)/25)*CL124+(1-EXP(-LN(2)/25))/(LN(2)/25)*Calculateur!CG125*Calculateur!CI125*VLOOKUP('Données projet'!$B$12,Paramètres!$A$1:$I$89,3,0)*0.475*44/12</f>
        <v>14.526810011291431</v>
      </c>
      <c r="CM125" s="21">
        <f>EXP(-LN(2)/2)*CM124+(1-EXP(-LN(2)/2))/(LN(2)/2)*CG125*CJ125*VLOOKUP('Données projet'!$B$12,Paramètres!$A$1:$I$89,3,0)*0.475*44/12</f>
        <v>7.5893305895690293E-11</v>
      </c>
      <c r="CN125" s="22">
        <f t="shared" si="66"/>
        <v>72.917959645575635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68.315014587132936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5.6843418860808015E-14</v>
      </c>
      <c r="CU125" s="17">
        <f>CT125*VLOOKUP('Données projet'!$B$13,Paramètres!$A$1:$I$89,3,0)*VLOOKUP('Données projet'!$B$13,Paramètres!$A$1:$I$89,5,0)</f>
        <v>4.5224624045658861E-14</v>
      </c>
      <c r="CV125" s="13">
        <f t="shared" si="95"/>
        <v>7.4514601661523691E-13</v>
      </c>
      <c r="CW125" s="20">
        <f t="shared" si="67"/>
        <v>1.3765621991510601E-12</v>
      </c>
      <c r="CX125" s="59">
        <f t="shared" si="68"/>
        <v>287.15505348615545</v>
      </c>
      <c r="CY125" s="59">
        <f ca="1">AVERAGE(OFFSET($CX$3,0,0,'Données projet'!$E$13+1,1))-AVERAGE(OFFSET($H$3,0,0,'Données projet'!$E$13+1,1))</f>
        <v>284.31574332240928</v>
      </c>
      <c r="CZ125" s="59">
        <f t="shared" si="96"/>
        <v>403.96994631683913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245.88453066029098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245.88453066029098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68.315014587132936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190.9519472160006</v>
      </c>
      <c r="DU125" s="59">
        <f t="shared" si="98"/>
        <v>170.61553500287511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52.649628017996356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52.649628017996356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68.315014587132936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>
        <f>EJ125*VLOOKUP('Données projet'!$B$15,Paramètres!$A$1:$I$89,3,0)*VLOOKUP('Données projet'!$B$15,Paramètres!$A$1:$I$89,5,0)</f>
        <v>0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331.94255128154623</v>
      </c>
      <c r="EP125" s="59">
        <f t="shared" si="100"/>
        <v>258.40809812013964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672.6967418548295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672.6967418548295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68.315014587132936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>
        <f>FE125*VLOOKUP('Données projet'!$B$16,Paramètres!$A$1:$I$89,3,0)*VLOOKUP('Données projet'!$B$16,Paramètres!$A$1:$I$89,5,0)</f>
        <v>0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290.72311302449236</v>
      </c>
      <c r="FK125" s="59">
        <f t="shared" si="102"/>
        <v>352.32552988394434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202.37713842653577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202.37713842653577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68.315014587132936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>
        <f>FZ125*VLOOKUP('Données projet'!$B$17,Paramètres!$A$1:$I$89,3,0)*VLOOKUP('Données projet'!$B$17,Paramètres!$A$1:$I$89,5,0)</f>
        <v>0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123.03972959251965</v>
      </c>
      <c r="GF125" s="59">
        <f t="shared" si="104"/>
        <v>178.27657680839445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43.98787844408637</v>
      </c>
      <c r="GM125" s="21">
        <f>EXP(-LN(2)/25)*GM124+(1-EXP(-LN(2)/25))/(LN(2)/25)*Calculateur!GH125*Calculateur!GJ125*VLOOKUP('Données projet'!$B$17,Paramètres!$A$1:$I$89,3,0)*0.475*44/12</f>
        <v>7.9447804222303056</v>
      </c>
      <c r="GN125" s="21">
        <f>EXP(-LN(2)/2)*GN124+(1-EXP(-LN(2)/2))/(LN(2)/2)*GH125*GK125*VLOOKUP('Données projet'!$B$17,Paramètres!$A$1:$I$89,3,0)*0.475*44/12</f>
        <v>1.5231608702091369E-7</v>
      </c>
      <c r="GO125" s="21">
        <f t="shared" si="81"/>
        <v>51.932659018632762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68.315014587132936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-4.5474735088646412E-13</v>
      </c>
      <c r="GV125" s="17">
        <f>GU125*VLOOKUP('Données projet'!$B$18,Paramètres!$A$1:$I$89,3,0)*VLOOKUP('Données projet'!$B$18,Paramètres!$A$1:$I$89,5,0)</f>
        <v>-3.0504452297464016E-13</v>
      </c>
      <c r="GW125" s="13" t="e">
        <f t="shared" si="105"/>
        <v>#NUM!</v>
      </c>
      <c r="GX125" s="20" t="e">
        <f t="shared" si="82"/>
        <v>#NUM!</v>
      </c>
      <c r="GY125" s="59" t="e">
        <f t="shared" si="83"/>
        <v>#NUM!</v>
      </c>
      <c r="GZ125" s="59">
        <f ca="1">AVERAGE(OFFSET($GY$3,0,0,'Données projet'!$E$18+1,1))-AVERAGE(OFFSET($H$3,0,0,'Données projet'!$E$18+1,1))</f>
        <v>542.25674729323623</v>
      </c>
      <c r="HA125" s="59">
        <f t="shared" si="106"/>
        <v>614.73906555680685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272.2371493251498</v>
      </c>
      <c r="HH125" s="21">
        <f>EXP(-LN(2)/25)*HH124+(1-EXP(-LN(2)/25))/(LN(2)/25)*Calculateur!HC125*Calculateur!HE125*VLOOKUP('Données projet'!$B$18,Paramètres!$A$1:$I$89,3,0)*0.475*44/12</f>
        <v>0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272.2371493251498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2.8499999999999996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10.449999999999998</v>
      </c>
      <c r="H126" s="67">
        <f t="shared" si="56"/>
        <v>214.86666666666667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68.344245316983148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-1.0231815394945443E-12</v>
      </c>
      <c r="O126" s="13">
        <f>N126*VLOOKUP('Données projet'!$B$9,Paramètres!$A$1:$I$89,3,0)*VLOOKUP('Données projet'!$B$9,Paramètres!$A$1:$I$89,5,0)</f>
        <v>-8.9385139290243408E-13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686.80970545599644</v>
      </c>
      <c r="T126" s="59">
        <f t="shared" si="88"/>
        <v>636.16485232937737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74.081913025312431</v>
      </c>
      <c r="AA126" s="21">
        <f>EXP(-LN(2)/25)*AA125+(1-EXP(-LN(2)/25))/(LN(2)/25)*Calculateur!V126*Calculateur!X126*VLOOKUP('Données projet'!$B$9,Paramètres!$A$1:$I$89,3,0)*0.475*44/12</f>
        <v>6.9272780788781372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81.009191104190563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68.344245316983148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1.1368683772161603E-13</v>
      </c>
      <c r="AJ126" s="13">
        <f>AI126*VLOOKUP('Données projet'!$B$10,Paramètres!$A$1:$I$89,3,0)*VLOOKUP('Données projet'!$B$10,Paramètres!$A$1:$I$89,5,0)</f>
        <v>1.0286385077051818E-13</v>
      </c>
      <c r="AK126" s="13">
        <f t="shared" si="89"/>
        <v>1.5402366592183556E-12</v>
      </c>
      <c r="AL126" s="20">
        <f t="shared" si="58"/>
        <v>2.8617333882306215E-12</v>
      </c>
      <c r="AM126" s="59">
        <f t="shared" si="59"/>
        <v>287.26223282894108</v>
      </c>
      <c r="AN126" s="59">
        <f ca="1">AVERAGE(OFFSET($AM$3,0,0,'Données projet'!$E$10+1,1))-AVERAGE(OFFSET($H$3,0,0,'Données projet'!$E$10+1,1))</f>
        <v>323.67375363913726</v>
      </c>
      <c r="AO126" s="59">
        <f t="shared" si="90"/>
        <v>266.03902815735029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64.965246275570692</v>
      </c>
      <c r="AV126" s="21">
        <f>EXP(-LN(2)/25)*AV125+(1-EXP(-LN(2)/25))/(LN(2)/25)*Calculateur!AQ126*Calculateur!AS126*VLOOKUP('Données projet'!$B$10,Paramètres!$A$1:$I$89,3,0)*0.475*44/12</f>
        <v>15.990706031847376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80.955952307418073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68.344245316983148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371.46495716091965</v>
      </c>
      <c r="BJ126" s="59">
        <f t="shared" si="92"/>
        <v>579.95059529269417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47.408357938580032</v>
      </c>
      <c r="BQ126" s="21">
        <f>EXP(-LN(2)/25)*BQ125+(1-EXP(-LN(2)/25))/(LN(2)/25)*Calculateur!BL126*Calculateur!BN126*VLOOKUP('Données projet'!$B$11,Paramètres!$A$1:$I$89,3,0)*0.475*44/12</f>
        <v>7.924707728089782</v>
      </c>
      <c r="BR126" s="21">
        <f>EXP(-LN(2)/2)*BR125+(1-EXP(-LN(2)/2))/(LN(2)/2)*BL126*BO126*VLOOKUP('Données projet'!$B$11,Paramètres!$A$1:$I$89,3,0)*0.475*44/12</f>
        <v>7.0634731416850758E-11</v>
      </c>
      <c r="BS126" s="22">
        <f t="shared" si="63"/>
        <v>55.333065666740445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68.344245316983148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180.18752244216969</v>
      </c>
      <c r="CE126" s="59">
        <f t="shared" si="94"/>
        <v>350.12096474554676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57.246134804966069</v>
      </c>
      <c r="CL126" s="21">
        <f>EXP(-LN(2)/25)*CL125+(1-EXP(-LN(2)/25))/(LN(2)/25)*Calculateur!CG126*Calculateur!CI126*VLOOKUP('Données projet'!$B$12,Paramètres!$A$1:$I$89,3,0)*0.475*44/12</f>
        <v>14.12957362760093</v>
      </c>
      <c r="CM126" s="21">
        <f>EXP(-LN(2)/2)*CM125+(1-EXP(-LN(2)/2))/(LN(2)/2)*CG126*CJ126*VLOOKUP('Données projet'!$B$12,Paramètres!$A$1:$I$89,3,0)*0.475*44/12</f>
        <v>5.3664671245507594E-11</v>
      </c>
      <c r="CN126" s="22">
        <f t="shared" si="66"/>
        <v>71.375708432620655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68.344245316983148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5.6843418860808015E-14</v>
      </c>
      <c r="CU126" s="17">
        <f>CT126*VLOOKUP('Données projet'!$B$13,Paramètres!$A$1:$I$89,3,0)*VLOOKUP('Données projet'!$B$13,Paramètres!$A$1:$I$89,5,0)</f>
        <v>4.5224624045658861E-14</v>
      </c>
      <c r="CV126" s="13">
        <f t="shared" si="95"/>
        <v>7.4514601661523691E-13</v>
      </c>
      <c r="CW126" s="20">
        <f t="shared" si="67"/>
        <v>1.3765621991510601E-12</v>
      </c>
      <c r="CX126" s="59">
        <f t="shared" si="68"/>
        <v>287.2622328289396</v>
      </c>
      <c r="CY126" s="59">
        <f ca="1">AVERAGE(OFFSET($CX$3,0,0,'Données projet'!$E$13+1,1))-AVERAGE(OFFSET($H$3,0,0,'Données projet'!$E$13+1,1))</f>
        <v>284.31574332240928</v>
      </c>
      <c r="CZ126" s="59">
        <f t="shared" si="96"/>
        <v>403.96994631683913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241.06288498879761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241.06288498879761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68.344245316983148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190.9519472160006</v>
      </c>
      <c r="DU126" s="59">
        <f t="shared" si="98"/>
        <v>170.61553500287511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51.617200925665635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51.617200925665635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68.344245316983148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>
        <f>EJ126*VLOOKUP('Données projet'!$B$15,Paramètres!$A$1:$I$89,3,0)*VLOOKUP('Données projet'!$B$15,Paramètres!$A$1:$I$89,5,0)</f>
        <v>0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331.94255128154623</v>
      </c>
      <c r="EP126" s="59">
        <f t="shared" si="100"/>
        <v>258.40809812013964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659.50556905155463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659.50556905155463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68.344245316983148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>
        <f>FE126*VLOOKUP('Données projet'!$B$16,Paramètres!$A$1:$I$89,3,0)*VLOOKUP('Données projet'!$B$16,Paramètres!$A$1:$I$89,5,0)</f>
        <v>0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290.72311302449236</v>
      </c>
      <c r="FK126" s="59">
        <f t="shared" si="102"/>
        <v>352.32552988394434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198.40864617985736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198.40864617985736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68.344245316983148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>
        <f>FZ126*VLOOKUP('Données projet'!$B$17,Paramètres!$A$1:$I$89,3,0)*VLOOKUP('Données projet'!$B$17,Paramètres!$A$1:$I$89,5,0)</f>
        <v>0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123.03972959251965</v>
      </c>
      <c r="GF126" s="59">
        <f t="shared" si="104"/>
        <v>178.27657680839445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43.125302977754451</v>
      </c>
      <c r="GM126" s="21">
        <f>EXP(-LN(2)/25)*GM125+(1-EXP(-LN(2)/25))/(LN(2)/25)*Calculateur!GH126*Calculateur!GJ126*VLOOKUP('Données projet'!$B$17,Paramètres!$A$1:$I$89,3,0)*0.475*44/12</f>
        <v>7.7275299837865736</v>
      </c>
      <c r="GN126" s="21">
        <f>EXP(-LN(2)/2)*GN125+(1-EXP(-LN(2)/2))/(LN(2)/2)*GH126*GK126*VLOOKUP('Données projet'!$B$17,Paramètres!$A$1:$I$89,3,0)*0.475*44/12</f>
        <v>1.0770373801628835E-7</v>
      </c>
      <c r="GO126" s="21">
        <f t="shared" si="81"/>
        <v>50.852833069244767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68.344245316983148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-4.5474735088646412E-13</v>
      </c>
      <c r="GV126" s="17">
        <f>GU126*VLOOKUP('Données projet'!$B$18,Paramètres!$A$1:$I$89,3,0)*VLOOKUP('Données projet'!$B$18,Paramètres!$A$1:$I$89,5,0)</f>
        <v>-3.0504452297464016E-13</v>
      </c>
      <c r="GW126" s="13" t="e">
        <f t="shared" si="105"/>
        <v>#NUM!</v>
      </c>
      <c r="GX126" s="20" t="e">
        <f t="shared" si="82"/>
        <v>#NUM!</v>
      </c>
      <c r="GY126" s="59" t="e">
        <f t="shared" si="83"/>
        <v>#NUM!</v>
      </c>
      <c r="GZ126" s="59">
        <f ca="1">AVERAGE(OFFSET($GY$3,0,0,'Données projet'!$E$18+1,1))-AVERAGE(OFFSET($H$3,0,0,'Données projet'!$E$18+1,1))</f>
        <v>542.25674729323623</v>
      </c>
      <c r="HA126" s="59">
        <f t="shared" si="106"/>
        <v>614.73906555680685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266.89874487514879</v>
      </c>
      <c r="HH126" s="21">
        <f>EXP(-LN(2)/25)*HH125+(1-EXP(-LN(2)/25))/(LN(2)/25)*Calculateur!HC126*Calculateur!HE126*VLOOKUP('Données projet'!$B$18,Paramètres!$A$1:$I$89,3,0)*0.475*44/12</f>
        <v>0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266.89874487514879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2.8499999999999996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10.449999999999998</v>
      </c>
      <c r="H127" s="67">
        <f t="shared" si="56"/>
        <v>214.86666666666667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68.372968959020582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-1.0231815394945443E-12</v>
      </c>
      <c r="O127" s="13">
        <f>N127*VLOOKUP('Données projet'!$B$9,Paramètres!$A$1:$I$89,3,0)*VLOOKUP('Données projet'!$B$9,Paramètres!$A$1:$I$89,5,0)</f>
        <v>-8.9385139290243408E-13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686.80970545599644</v>
      </c>
      <c r="T127" s="59">
        <f t="shared" si="88"/>
        <v>636.16485232937737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72.629211896391297</v>
      </c>
      <c r="AA127" s="21">
        <f>EXP(-LN(2)/25)*AA126+(1-EXP(-LN(2)/25))/(LN(2)/25)*Calculateur!V127*Calculateur!X127*VLOOKUP('Données projet'!$B$9,Paramètres!$A$1:$I$89,3,0)*0.475*44/12</f>
        <v>6.7378512955214926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79.367063191912791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68.372968959020582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1.1368683772161603E-13</v>
      </c>
      <c r="AJ127" s="13">
        <f>AI127*VLOOKUP('Données projet'!$B$10,Paramètres!$A$1:$I$89,3,0)*VLOOKUP('Données projet'!$B$10,Paramètres!$A$1:$I$89,5,0)</f>
        <v>1.0286385077051818E-13</v>
      </c>
      <c r="AK127" s="13">
        <f t="shared" si="89"/>
        <v>1.5402366592183556E-12</v>
      </c>
      <c r="AL127" s="20">
        <f t="shared" si="58"/>
        <v>2.8617333882306215E-12</v>
      </c>
      <c r="AM127" s="59">
        <f t="shared" si="59"/>
        <v>287.36755284974498</v>
      </c>
      <c r="AN127" s="59">
        <f ca="1">AVERAGE(OFFSET($AM$3,0,0,'Données projet'!$E$10+1,1))-AVERAGE(OFFSET($H$3,0,0,'Données projet'!$E$10+1,1))</f>
        <v>323.67375363913726</v>
      </c>
      <c r="AO127" s="59">
        <f t="shared" si="90"/>
        <v>266.03902815735029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63.691317420994345</v>
      </c>
      <c r="AV127" s="21">
        <f>EXP(-LN(2)/25)*AV126+(1-EXP(-LN(2)/25))/(LN(2)/25)*Calculateur!AQ127*Calculateur!AS127*VLOOKUP('Données projet'!$B$10,Paramètres!$A$1:$I$89,3,0)*0.475*44/12</f>
        <v>15.553439334491827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79.244756755486179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68.372968959020582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371.46495716091965</v>
      </c>
      <c r="BJ127" s="59">
        <f t="shared" si="92"/>
        <v>579.95059529269417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46.478708955647576</v>
      </c>
      <c r="BQ127" s="21">
        <f>EXP(-LN(2)/25)*BQ126+(1-EXP(-LN(2)/25))/(LN(2)/25)*Calculateur!BL127*Calculateur!BN127*VLOOKUP('Données projet'!$B$11,Paramètres!$A$1:$I$89,3,0)*0.475*44/12</f>
        <v>7.7080061785228997</v>
      </c>
      <c r="BR127" s="21">
        <f>EXP(-LN(2)/2)*BR126+(1-EXP(-LN(2)/2))/(LN(2)/2)*BL127*BO127*VLOOKUP('Données projet'!$B$11,Paramètres!$A$1:$I$89,3,0)*0.475*44/12</f>
        <v>4.9946297572145644E-11</v>
      </c>
      <c r="BS127" s="22">
        <f t="shared" si="63"/>
        <v>54.186715134220421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68.372968959020582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180.18752244216969</v>
      </c>
      <c r="CE127" s="59">
        <f t="shared" si="94"/>
        <v>350.12096474554676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56.123573018135176</v>
      </c>
      <c r="CL127" s="21">
        <f>EXP(-LN(2)/25)*CL126+(1-EXP(-LN(2)/25))/(LN(2)/25)*Calculateur!CG127*Calculateur!CI127*VLOOKUP('Données projet'!$B$12,Paramètres!$A$1:$I$89,3,0)*0.475*44/12</f>
        <v>13.743199693712199</v>
      </c>
      <c r="CM127" s="21">
        <f>EXP(-LN(2)/2)*CM126+(1-EXP(-LN(2)/2))/(LN(2)/2)*CG127*CJ127*VLOOKUP('Données projet'!$B$12,Paramètres!$A$1:$I$89,3,0)*0.475*44/12</f>
        <v>3.7946652947845147E-11</v>
      </c>
      <c r="CN127" s="22">
        <f t="shared" si="66"/>
        <v>69.866772711885318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68.372968959020582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5.6843418860808015E-14</v>
      </c>
      <c r="CU127" s="17">
        <f>CT127*VLOOKUP('Données projet'!$B$13,Paramètres!$A$1:$I$89,3,0)*VLOOKUP('Données projet'!$B$13,Paramètres!$A$1:$I$89,5,0)</f>
        <v>4.5224624045658861E-14</v>
      </c>
      <c r="CV127" s="13">
        <f t="shared" si="95"/>
        <v>7.4514601661523691E-13</v>
      </c>
      <c r="CW127" s="20">
        <f t="shared" si="67"/>
        <v>1.3765621991510601E-12</v>
      </c>
      <c r="CX127" s="59">
        <f t="shared" si="68"/>
        <v>287.3675528497435</v>
      </c>
      <c r="CY127" s="59">
        <f ca="1">AVERAGE(OFFSET($CX$3,0,0,'Données projet'!$E$13+1,1))-AVERAGE(OFFSET($H$3,0,0,'Données projet'!$E$13+1,1))</f>
        <v>284.31574332240928</v>
      </c>
      <c r="CZ127" s="59">
        <f t="shared" si="96"/>
        <v>403.96994631683913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236.33578884800875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236.33578884800875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68.372968959020582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190.9519472160006</v>
      </c>
      <c r="DU127" s="59">
        <f t="shared" si="98"/>
        <v>170.61553500287511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50.605019098897174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50.605019098897174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68.372968959020582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>
        <f>EJ127*VLOOKUP('Données projet'!$B$15,Paramètres!$A$1:$I$89,3,0)*VLOOKUP('Données projet'!$B$15,Paramètres!$A$1:$I$89,5,0)</f>
        <v>0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331.94255128154623</v>
      </c>
      <c r="EP127" s="59">
        <f t="shared" si="100"/>
        <v>258.40809812013964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646.57306710113107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646.57306710113107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68.372968959020582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>
        <f>FE127*VLOOKUP('Données projet'!$B$16,Paramètres!$A$1:$I$89,3,0)*VLOOKUP('Données projet'!$B$16,Paramètres!$A$1:$I$89,5,0)</f>
        <v>0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290.72311302449236</v>
      </c>
      <c r="FK127" s="59">
        <f t="shared" si="102"/>
        <v>352.32552988394434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194.51797364559505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194.51797364559505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68.372968959020582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>
        <f>FZ127*VLOOKUP('Données projet'!$B$17,Paramètres!$A$1:$I$89,3,0)*VLOOKUP('Données projet'!$B$17,Paramètres!$A$1:$I$89,5,0)</f>
        <v>0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123.03972959251965</v>
      </c>
      <c r="GF127" s="59">
        <f t="shared" si="104"/>
        <v>178.27657680839445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42.279642090198216</v>
      </c>
      <c r="GM127" s="21">
        <f>EXP(-LN(2)/25)*GM126+(1-EXP(-LN(2)/25))/(LN(2)/25)*Calculateur!GH127*Calculateur!GJ127*VLOOKUP('Données projet'!$B$17,Paramètres!$A$1:$I$89,3,0)*0.475*44/12</f>
        <v>7.5162202700067891</v>
      </c>
      <c r="GN127" s="21">
        <f>EXP(-LN(2)/2)*GN126+(1-EXP(-LN(2)/2))/(LN(2)/2)*GH127*GK127*VLOOKUP('Données projet'!$B$17,Paramètres!$A$1:$I$89,3,0)*0.475*44/12</f>
        <v>7.6158043510456845E-8</v>
      </c>
      <c r="GO127" s="21">
        <f t="shared" si="81"/>
        <v>49.795862436363052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68.372968959020582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-4.5474735088646412E-13</v>
      </c>
      <c r="GV127" s="17">
        <f>GU127*VLOOKUP('Données projet'!$B$18,Paramètres!$A$1:$I$89,3,0)*VLOOKUP('Données projet'!$B$18,Paramètres!$A$1:$I$89,5,0)</f>
        <v>-3.0504452297464016E-13</v>
      </c>
      <c r="GW127" s="13" t="e">
        <f t="shared" si="105"/>
        <v>#NUM!</v>
      </c>
      <c r="GX127" s="20" t="e">
        <f t="shared" si="82"/>
        <v>#NUM!</v>
      </c>
      <c r="GY127" s="59" t="e">
        <f t="shared" si="83"/>
        <v>#NUM!</v>
      </c>
      <c r="GZ127" s="59">
        <f ca="1">AVERAGE(OFFSET($GY$3,0,0,'Données projet'!$E$18+1,1))-AVERAGE(OFFSET($H$3,0,0,'Données projet'!$E$18+1,1))</f>
        <v>542.25674729323623</v>
      </c>
      <c r="HA127" s="59">
        <f t="shared" si="106"/>
        <v>614.73906555680685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261.66502328030708</v>
      </c>
      <c r="HH127" s="21">
        <f>EXP(-LN(2)/25)*HH126+(1-EXP(-LN(2)/25))/(LN(2)/25)*Calculateur!HC127*Calculateur!HE127*VLOOKUP('Données projet'!$B$18,Paramètres!$A$1:$I$89,3,0)*0.475*44/12</f>
        <v>0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261.66502328030708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2.8499999999999996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10.449999999999998</v>
      </c>
      <c r="H128" s="67">
        <f t="shared" si="56"/>
        <v>214.86666666666667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68.401194310085103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-1.0231815394945443E-12</v>
      </c>
      <c r="O128" s="13">
        <f>N128*VLOOKUP('Données projet'!$B$9,Paramètres!$A$1:$I$89,3,0)*VLOOKUP('Données projet'!$B$9,Paramètres!$A$1:$I$89,5,0)</f>
        <v>-8.9385139290243408E-13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686.80970545599644</v>
      </c>
      <c r="T128" s="59">
        <f t="shared" si="88"/>
        <v>636.16485232937737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71.204997350548112</v>
      </c>
      <c r="AA128" s="21">
        <f>EXP(-LN(2)/25)*AA127+(1-EXP(-LN(2)/25))/(LN(2)/25)*Calculateur!V128*Calculateur!X128*VLOOKUP('Données projet'!$B$9,Paramètres!$A$1:$I$89,3,0)*0.475*44/12</f>
        <v>6.5536043975172573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77.758601748065374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68.401194310085103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1.1368683772161603E-13</v>
      </c>
      <c r="AJ128" s="13">
        <f>AI128*VLOOKUP('Données projet'!$B$10,Paramètres!$A$1:$I$89,3,0)*VLOOKUP('Données projet'!$B$10,Paramètres!$A$1:$I$89,5,0)</f>
        <v>1.0286385077051818E-13</v>
      </c>
      <c r="AK128" s="13">
        <f t="shared" si="89"/>
        <v>1.5402366592183556E-12</v>
      </c>
      <c r="AL128" s="20">
        <f t="shared" si="58"/>
        <v>2.8617333882306215E-12</v>
      </c>
      <c r="AM128" s="59">
        <f t="shared" si="59"/>
        <v>287.47104580364822</v>
      </c>
      <c r="AN128" s="59">
        <f ca="1">AVERAGE(OFFSET($AM$3,0,0,'Données projet'!$E$10+1,1))-AVERAGE(OFFSET($H$3,0,0,'Données projet'!$E$10+1,1))</f>
        <v>323.67375363913726</v>
      </c>
      <c r="AO128" s="59">
        <f t="shared" si="90"/>
        <v>266.03902815735029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62.442369534236363</v>
      </c>
      <c r="AV128" s="21">
        <f>EXP(-LN(2)/25)*AV127+(1-EXP(-LN(2)/25))/(LN(2)/25)*Calculateur!AQ128*Calculateur!AS128*VLOOKUP('Données projet'!$B$10,Paramètres!$A$1:$I$89,3,0)*0.475*44/12</f>
        <v>15.128129717970321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77.570499252206687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68.401194310085103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371.46495716091965</v>
      </c>
      <c r="BJ128" s="59">
        <f t="shared" si="92"/>
        <v>579.95059529269417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45.567289822240539</v>
      </c>
      <c r="BQ128" s="21">
        <f>EXP(-LN(2)/25)*BQ127+(1-EXP(-LN(2)/25))/(LN(2)/25)*Calculateur!BL128*Calculateur!BN128*VLOOKUP('Données projet'!$B$11,Paramètres!$A$1:$I$89,3,0)*0.475*44/12</f>
        <v>7.4972303442247625</v>
      </c>
      <c r="BR128" s="21">
        <f>EXP(-LN(2)/2)*BR127+(1-EXP(-LN(2)/2))/(LN(2)/2)*BL128*BO128*VLOOKUP('Données projet'!$B$11,Paramètres!$A$1:$I$89,3,0)*0.475*44/12</f>
        <v>3.5317365708425379E-11</v>
      </c>
      <c r="BS128" s="22">
        <f t="shared" si="63"/>
        <v>53.064520166500614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68.401194310085103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180.18752244216969</v>
      </c>
      <c r="CE128" s="59">
        <f t="shared" si="94"/>
        <v>350.12096474554676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55.023023983248954</v>
      </c>
      <c r="CL128" s="21">
        <f>EXP(-LN(2)/25)*CL127+(1-EXP(-LN(2)/25))/(LN(2)/25)*Calculateur!CG128*Calculateur!CI128*VLOOKUP('Données projet'!$B$12,Paramètres!$A$1:$I$89,3,0)*0.475*44/12</f>
        <v>13.367391175364178</v>
      </c>
      <c r="CM128" s="21">
        <f>EXP(-LN(2)/2)*CM127+(1-EXP(-LN(2)/2))/(LN(2)/2)*CG128*CJ128*VLOOKUP('Données projet'!$B$12,Paramètres!$A$1:$I$89,3,0)*0.475*44/12</f>
        <v>2.6832335622753797E-11</v>
      </c>
      <c r="CN128" s="22">
        <f t="shared" si="66"/>
        <v>68.390415158639968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68.401194310085103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5.6843418860808015E-14</v>
      </c>
      <c r="CU128" s="17">
        <f>CT128*VLOOKUP('Données projet'!$B$13,Paramètres!$A$1:$I$89,3,0)*VLOOKUP('Données projet'!$B$13,Paramètres!$A$1:$I$89,5,0)</f>
        <v>4.5224624045658861E-14</v>
      </c>
      <c r="CV128" s="13">
        <f t="shared" si="95"/>
        <v>7.4514601661523691E-13</v>
      </c>
      <c r="CW128" s="20">
        <f t="shared" si="67"/>
        <v>1.3765621991510601E-12</v>
      </c>
      <c r="CX128" s="59">
        <f t="shared" si="68"/>
        <v>287.47104580364675</v>
      </c>
      <c r="CY128" s="59">
        <f ca="1">AVERAGE(OFFSET($CX$3,0,0,'Données projet'!$E$13+1,1))-AVERAGE(OFFSET($H$3,0,0,'Données projet'!$E$13+1,1))</f>
        <v>284.31574332240928</v>
      </c>
      <c r="CZ128" s="59">
        <f t="shared" si="96"/>
        <v>403.96994631683913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231.7013881792968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231.7013881792968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68.401194310085103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190.9519472160006</v>
      </c>
      <c r="DU128" s="59">
        <f t="shared" si="98"/>
        <v>170.61553500287511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49.612685540381683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49.612685540381683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68.401194310085103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>
        <f>EJ128*VLOOKUP('Données projet'!$B$15,Paramètres!$A$1:$I$89,3,0)*VLOOKUP('Données projet'!$B$15,Paramètres!$A$1:$I$89,5,0)</f>
        <v>0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331.94255128154623</v>
      </c>
      <c r="EP128" s="59">
        <f t="shared" si="100"/>
        <v>258.40809812013964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633.89416362590794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633.89416362590794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68.401194310085103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>
        <f>FE128*VLOOKUP('Données projet'!$B$16,Paramètres!$A$1:$I$89,3,0)*VLOOKUP('Données projet'!$B$16,Paramètres!$A$1:$I$89,5,0)</f>
        <v>0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290.72311302449236</v>
      </c>
      <c r="FK128" s="59">
        <f t="shared" si="102"/>
        <v>352.32552988394434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190.7035948266537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190.7035948266537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68.401194310085103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>
        <f>FZ128*VLOOKUP('Données projet'!$B$17,Paramètres!$A$1:$I$89,3,0)*VLOOKUP('Données projet'!$B$17,Paramètres!$A$1:$I$89,5,0)</f>
        <v>0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123.03972959251965</v>
      </c>
      <c r="GF128" s="59">
        <f t="shared" si="104"/>
        <v>178.27657680839445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41.450564096844744</v>
      </c>
      <c r="GM128" s="21">
        <f>EXP(-LN(2)/25)*GM127+(1-EXP(-LN(2)/25))/(LN(2)/25)*Calculateur!GH128*Calculateur!GJ128*VLOOKUP('Données projet'!$B$17,Paramètres!$A$1:$I$89,3,0)*0.475*44/12</f>
        <v>7.310688831462608</v>
      </c>
      <c r="GN128" s="21">
        <f>EXP(-LN(2)/2)*GN127+(1-EXP(-LN(2)/2))/(LN(2)/2)*GH128*GK128*VLOOKUP('Données projet'!$B$17,Paramètres!$A$1:$I$89,3,0)*0.475*44/12</f>
        <v>5.3851869008144175E-8</v>
      </c>
      <c r="GO128" s="21">
        <f t="shared" si="81"/>
        <v>48.76125298215922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68.401194310085103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-4.5474735088646412E-13</v>
      </c>
      <c r="GV128" s="17">
        <f>GU128*VLOOKUP('Données projet'!$B$18,Paramètres!$A$1:$I$89,3,0)*VLOOKUP('Données projet'!$B$18,Paramètres!$A$1:$I$89,5,0)</f>
        <v>-3.0504452297464016E-13</v>
      </c>
      <c r="GW128" s="13" t="e">
        <f t="shared" si="105"/>
        <v>#NUM!</v>
      </c>
      <c r="GX128" s="20" t="e">
        <f t="shared" si="82"/>
        <v>#NUM!</v>
      </c>
      <c r="GY128" s="59" t="e">
        <f t="shared" si="83"/>
        <v>#NUM!</v>
      </c>
      <c r="GZ128" s="59">
        <f ca="1">AVERAGE(OFFSET($GY$3,0,0,'Données projet'!$E$18+1,1))-AVERAGE(OFFSET($H$3,0,0,'Données projet'!$E$18+1,1))</f>
        <v>542.25674729323623</v>
      </c>
      <c r="HA128" s="59">
        <f t="shared" si="106"/>
        <v>614.73906555680685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256.53393177368525</v>
      </c>
      <c r="HH128" s="21">
        <f>EXP(-LN(2)/25)*HH127+(1-EXP(-LN(2)/25))/(LN(2)/25)*Calculateur!HC128*Calculateur!HE128*VLOOKUP('Données projet'!$B$18,Paramètres!$A$1:$I$89,3,0)*0.475*44/12</f>
        <v>0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256.53393177368525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2.8499999999999996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10.449999999999998</v>
      </c>
      <c r="H129" s="67">
        <f t="shared" si="56"/>
        <v>214.86666666666667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68.42893001441108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-1.0231815394945443E-12</v>
      </c>
      <c r="O129" s="13">
        <f>N129*VLOOKUP('Données projet'!$B$9,Paramètres!$A$1:$I$89,3,0)*VLOOKUP('Données projet'!$B$9,Paramètres!$A$1:$I$89,5,0)</f>
        <v>-8.9385139290243408E-13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686.80970545599644</v>
      </c>
      <c r="T129" s="59">
        <f t="shared" si="88"/>
        <v>636.16485232937737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69.80871078326382</v>
      </c>
      <c r="AA129" s="21">
        <f>EXP(-LN(2)/25)*AA128+(1-EXP(-LN(2)/25))/(LN(2)/25)*Calculateur!V129*Calculateur!X129*VLOOKUP('Données projet'!$B$9,Paramètres!$A$1:$I$89,3,0)*0.475*44/12</f>
        <v>6.3743957406280707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76.183106523891894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68.42893001441108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1.1368683772161603E-13</v>
      </c>
      <c r="AJ129" s="13">
        <f>AI129*VLOOKUP('Données projet'!$B$10,Paramètres!$A$1:$I$89,3,0)*VLOOKUP('Données projet'!$B$10,Paramètres!$A$1:$I$89,5,0)</f>
        <v>1.0286385077051818E-13</v>
      </c>
      <c r="AK129" s="13">
        <f t="shared" si="89"/>
        <v>1.5402366592183556E-12</v>
      </c>
      <c r="AL129" s="20">
        <f t="shared" si="58"/>
        <v>2.8617333882306215E-12</v>
      </c>
      <c r="AM129" s="59">
        <f t="shared" si="59"/>
        <v>287.5727433861768</v>
      </c>
      <c r="AN129" s="59">
        <f ca="1">AVERAGE(OFFSET($AM$3,0,0,'Données projet'!$E$10+1,1))-AVERAGE(OFFSET($H$3,0,0,'Données projet'!$E$10+1,1))</f>
        <v>323.67375363913726</v>
      </c>
      <c r="AO129" s="59">
        <f t="shared" si="90"/>
        <v>266.03902815735029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61.217912753754717</v>
      </c>
      <c r="AV129" s="21">
        <f>EXP(-LN(2)/25)*AV128+(1-EXP(-LN(2)/25))/(LN(2)/25)*Calculateur!AQ129*Calculateur!AS129*VLOOKUP('Données projet'!$B$10,Paramètres!$A$1:$I$89,3,0)*0.475*44/12</f>
        <v>14.714450215278656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75.932362969033377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68.42893001441108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371.46495716091965</v>
      </c>
      <c r="BJ129" s="59">
        <f t="shared" si="92"/>
        <v>579.95059529269417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44.673743062128835</v>
      </c>
      <c r="BQ129" s="21">
        <f>EXP(-LN(2)/25)*BQ128+(1-EXP(-LN(2)/25))/(LN(2)/25)*Calculateur!BL129*Calculateur!BN129*VLOOKUP('Données projet'!$B$11,Paramètres!$A$1:$I$89,3,0)*0.475*44/12</f>
        <v>7.2922181861997277</v>
      </c>
      <c r="BR129" s="21">
        <f>EXP(-LN(2)/2)*BR128+(1-EXP(-LN(2)/2))/(LN(2)/2)*BL129*BO129*VLOOKUP('Données projet'!$B$11,Paramètres!$A$1:$I$89,3,0)*0.475*44/12</f>
        <v>2.4973148786072822E-11</v>
      </c>
      <c r="BS129" s="22">
        <f t="shared" si="63"/>
        <v>51.965961248353537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68.42893001441108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180.18752244216969</v>
      </c>
      <c r="CE129" s="59">
        <f t="shared" si="94"/>
        <v>350.12096474554676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53.944056043668226</v>
      </c>
      <c r="CL129" s="21">
        <f>EXP(-LN(2)/25)*CL128+(1-EXP(-LN(2)/25))/(LN(2)/25)*Calculateur!CG129*Calculateur!CI129*VLOOKUP('Données projet'!$B$12,Paramètres!$A$1:$I$89,3,0)*0.475*44/12</f>
        <v>13.001859160713295</v>
      </c>
      <c r="CM129" s="21">
        <f>EXP(-LN(2)/2)*CM128+(1-EXP(-LN(2)/2))/(LN(2)/2)*CG129*CJ129*VLOOKUP('Données projet'!$B$12,Paramètres!$A$1:$I$89,3,0)*0.475*44/12</f>
        <v>1.8973326473922573E-11</v>
      </c>
      <c r="CN129" s="22">
        <f t="shared" si="66"/>
        <v>66.945915204400492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68.42893001441108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5.6843418860808015E-14</v>
      </c>
      <c r="CU129" s="17">
        <f>CT129*VLOOKUP('Données projet'!$B$13,Paramètres!$A$1:$I$89,3,0)*VLOOKUP('Données projet'!$B$13,Paramètres!$A$1:$I$89,5,0)</f>
        <v>4.5224624045658861E-14</v>
      </c>
      <c r="CV129" s="13">
        <f t="shared" si="95"/>
        <v>7.4514601661523691E-13</v>
      </c>
      <c r="CW129" s="20">
        <f t="shared" si="67"/>
        <v>1.3765621991510601E-12</v>
      </c>
      <c r="CX129" s="59">
        <f t="shared" si="68"/>
        <v>287.57274338617532</v>
      </c>
      <c r="CY129" s="59">
        <f ca="1">AVERAGE(OFFSET($CX$3,0,0,'Données projet'!$E$13+1,1))-AVERAGE(OFFSET($H$3,0,0,'Données projet'!$E$13+1,1))</f>
        <v>284.31574332240928</v>
      </c>
      <c r="CZ129" s="59">
        <f t="shared" si="96"/>
        <v>403.96994631683913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227.15786528099301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227.15786528099301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68.42893001441108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190.9519472160006</v>
      </c>
      <c r="DU129" s="59">
        <f t="shared" si="98"/>
        <v>170.61553500287511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48.639811037684979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48.639811037684979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68.42893001441108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>
        <f>EJ129*VLOOKUP('Données projet'!$B$15,Paramètres!$A$1:$I$89,3,0)*VLOOKUP('Données projet'!$B$15,Paramètres!$A$1:$I$89,5,0)</f>
        <v>0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331.94255128154623</v>
      </c>
      <c r="EP129" s="59">
        <f t="shared" si="100"/>
        <v>258.40809812013964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621.46388571446641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621.46388571446641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68.42893001441108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>
        <f>FE129*VLOOKUP('Données projet'!$B$16,Paramètres!$A$1:$I$89,3,0)*VLOOKUP('Données projet'!$B$16,Paramètres!$A$1:$I$89,5,0)</f>
        <v>0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290.72311302449236</v>
      </c>
      <c r="FK129" s="59">
        <f t="shared" si="102"/>
        <v>352.32552988394434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186.96401364981045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186.96401364981045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68.42893001441108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>
        <f>FZ129*VLOOKUP('Données projet'!$B$17,Paramètres!$A$1:$I$89,3,0)*VLOOKUP('Données projet'!$B$17,Paramètres!$A$1:$I$89,5,0)</f>
        <v>0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123.03972959251965</v>
      </c>
      <c r="GF129" s="59">
        <f t="shared" si="104"/>
        <v>178.27657680839445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40.637743817253295</v>
      </c>
      <c r="GM129" s="21">
        <f>EXP(-LN(2)/25)*GM128+(1-EXP(-LN(2)/25))/(LN(2)/25)*Calculateur!GH129*Calculateur!GJ129*VLOOKUP('Données projet'!$B$17,Paramètres!$A$1:$I$89,3,0)*0.475*44/12</f>
        <v>7.110777660913846</v>
      </c>
      <c r="GN129" s="21">
        <f>EXP(-LN(2)/2)*GN128+(1-EXP(-LN(2)/2))/(LN(2)/2)*GH129*GK129*VLOOKUP('Données projet'!$B$17,Paramètres!$A$1:$I$89,3,0)*0.475*44/12</f>
        <v>3.8079021755228423E-8</v>
      </c>
      <c r="GO129" s="21">
        <f t="shared" si="81"/>
        <v>47.748521516246164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68.42893001441108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-4.5474735088646412E-13</v>
      </c>
      <c r="GV129" s="17">
        <f>GU129*VLOOKUP('Données projet'!$B$18,Paramètres!$A$1:$I$89,3,0)*VLOOKUP('Données projet'!$B$18,Paramètres!$A$1:$I$89,5,0)</f>
        <v>-3.0504452297464016E-13</v>
      </c>
      <c r="GW129" s="13" t="e">
        <f t="shared" si="105"/>
        <v>#NUM!</v>
      </c>
      <c r="GX129" s="20" t="e">
        <f t="shared" si="82"/>
        <v>#NUM!</v>
      </c>
      <c r="GY129" s="59" t="e">
        <f t="shared" si="83"/>
        <v>#NUM!</v>
      </c>
      <c r="GZ129" s="59">
        <f ca="1">AVERAGE(OFFSET($GY$3,0,0,'Données projet'!$E$18+1,1))-AVERAGE(OFFSET($H$3,0,0,'Données projet'!$E$18+1,1))</f>
        <v>542.25674729323623</v>
      </c>
      <c r="HA129" s="59">
        <f t="shared" si="106"/>
        <v>614.73906555680685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251.50345784185151</v>
      </c>
      <c r="HH129" s="21">
        <f>EXP(-LN(2)/25)*HH128+(1-EXP(-LN(2)/25))/(LN(2)/25)*Calculateur!HC129*Calculateur!HE129*VLOOKUP('Données projet'!$B$18,Paramètres!$A$1:$I$89,3,0)*0.475*44/12</f>
        <v>0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251.50345784185151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2.8499999999999996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10.449999999999998</v>
      </c>
      <c r="H130" s="67">
        <f t="shared" si="56"/>
        <v>214.86666666666667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68.456184566274757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-1.0231815394945443E-12</v>
      </c>
      <c r="O130" s="13">
        <f>N130*VLOOKUP('Données projet'!$B$9,Paramètres!$A$1:$I$89,3,0)*VLOOKUP('Données projet'!$B$9,Paramètres!$A$1:$I$89,5,0)</f>
        <v>-8.9385139290243408E-13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686.80970545599644</v>
      </c>
      <c r="T130" s="59">
        <f t="shared" si="88"/>
        <v>636.16485232937737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68.439804543913255</v>
      </c>
      <c r="AA130" s="21">
        <f>EXP(-LN(2)/25)*AA129+(1-EXP(-LN(2)/25))/(LN(2)/25)*Calculateur!V130*Calculateur!X130*VLOOKUP('Données projet'!$B$9,Paramètres!$A$1:$I$89,3,0)*0.475*44/12</f>
        <v>6.2000875538856928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74.639892097798949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68.456184566274757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1.1368683772161603E-13</v>
      </c>
      <c r="AJ130" s="13">
        <f>AI130*VLOOKUP('Données projet'!$B$10,Paramètres!$A$1:$I$89,3,0)*VLOOKUP('Données projet'!$B$10,Paramètres!$A$1:$I$89,5,0)</f>
        <v>1.0286385077051818E-13</v>
      </c>
      <c r="AK130" s="13">
        <f t="shared" si="89"/>
        <v>1.5402366592183556E-12</v>
      </c>
      <c r="AL130" s="20">
        <f t="shared" si="58"/>
        <v>2.8617333882306215E-12</v>
      </c>
      <c r="AM130" s="59">
        <f t="shared" si="59"/>
        <v>287.6726767430103</v>
      </c>
      <c r="AN130" s="59">
        <f ca="1">AVERAGE(OFFSET($AM$3,0,0,'Données projet'!$E$10+1,1))-AVERAGE(OFFSET($H$3,0,0,'Données projet'!$E$10+1,1))</f>
        <v>323.67375363913726</v>
      </c>
      <c r="AO130" s="59">
        <f t="shared" si="90"/>
        <v>266.03902815735029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60.017466823893422</v>
      </c>
      <c r="AV130" s="21">
        <f>EXP(-LN(2)/25)*AV129+(1-EXP(-LN(2)/25))/(LN(2)/25)*Calculateur!AQ130*Calculateur!AS130*VLOOKUP('Données projet'!$B$10,Paramètres!$A$1:$I$89,3,0)*0.475*44/12</f>
        <v>14.312082800342555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74.32954962423598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68.456184566274757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371.46495716091965</v>
      </c>
      <c r="BJ130" s="59">
        <f t="shared" si="92"/>
        <v>579.95059529269417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43.797718208973208</v>
      </c>
      <c r="BQ130" s="21">
        <f>EXP(-LN(2)/25)*BQ129+(1-EXP(-LN(2)/25))/(LN(2)/25)*Calculateur!BL130*Calculateur!BN130*VLOOKUP('Données projet'!$B$11,Paramètres!$A$1:$I$89,3,0)*0.475*44/12</f>
        <v>7.092812096417008</v>
      </c>
      <c r="BR130" s="21">
        <f>EXP(-LN(2)/2)*BR129+(1-EXP(-LN(2)/2))/(LN(2)/2)*BL130*BO130*VLOOKUP('Données projet'!$B$11,Paramètres!$A$1:$I$89,3,0)*0.475*44/12</f>
        <v>1.765868285421269E-11</v>
      </c>
      <c r="BS130" s="22">
        <f t="shared" si="63"/>
        <v>50.890530305407871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68.456184566274757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180.18752244216969</v>
      </c>
      <c r="CE130" s="59">
        <f t="shared" si="94"/>
        <v>350.12096474554676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52.886246007277215</v>
      </c>
      <c r="CL130" s="21">
        <f>EXP(-LN(2)/25)*CL129+(1-EXP(-LN(2)/25))/(LN(2)/25)*Calculateur!CG130*Calculateur!CI130*VLOOKUP('Données projet'!$B$12,Paramètres!$A$1:$I$89,3,0)*0.475*44/12</f>
        <v>12.646322638225532</v>
      </c>
      <c r="CM130" s="21">
        <f>EXP(-LN(2)/2)*CM129+(1-EXP(-LN(2)/2))/(LN(2)/2)*CG130*CJ130*VLOOKUP('Données projet'!$B$12,Paramètres!$A$1:$I$89,3,0)*0.475*44/12</f>
        <v>1.3416167811376898E-11</v>
      </c>
      <c r="CN130" s="22">
        <f t="shared" si="66"/>
        <v>65.532568645516164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68.456184566274757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5.6843418860808015E-14</v>
      </c>
      <c r="CU130" s="17">
        <f>CT130*VLOOKUP('Données projet'!$B$13,Paramètres!$A$1:$I$89,3,0)*VLOOKUP('Données projet'!$B$13,Paramètres!$A$1:$I$89,5,0)</f>
        <v>4.5224624045658861E-14</v>
      </c>
      <c r="CV130" s="13">
        <f t="shared" si="95"/>
        <v>7.4514601661523691E-13</v>
      </c>
      <c r="CW130" s="20">
        <f t="shared" si="67"/>
        <v>1.3765621991510601E-12</v>
      </c>
      <c r="CX130" s="59">
        <f t="shared" si="68"/>
        <v>287.67267674300882</v>
      </c>
      <c r="CY130" s="59">
        <f ca="1">AVERAGE(OFFSET($CX$3,0,0,'Données projet'!$E$13+1,1))-AVERAGE(OFFSET($H$3,0,0,'Données projet'!$E$13+1,1))</f>
        <v>284.31574332240928</v>
      </c>
      <c r="CZ130" s="59">
        <f t="shared" si="96"/>
        <v>403.96994631683913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222.70343809544963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222.70343809544963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68.456184566274757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190.9519472160006</v>
      </c>
      <c r="DU130" s="59">
        <f t="shared" si="98"/>
        <v>170.61553500287511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47.6860140105913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47.6860140105913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68.456184566274757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>
        <f>EJ130*VLOOKUP('Données projet'!$B$15,Paramètres!$A$1:$I$89,3,0)*VLOOKUP('Données projet'!$B$15,Paramètres!$A$1:$I$89,5,0)</f>
        <v>0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331.94255128154623</v>
      </c>
      <c r="EP130" s="59">
        <f t="shared" si="100"/>
        <v>258.40809812013964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609.27735797114735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609.27735797114735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68.456184566274757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>
        <f>FE130*VLOOKUP('Données projet'!$B$16,Paramètres!$A$1:$I$89,3,0)*VLOOKUP('Données projet'!$B$16,Paramètres!$A$1:$I$89,5,0)</f>
        <v>0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290.72311302449236</v>
      </c>
      <c r="FK130" s="59">
        <f t="shared" si="102"/>
        <v>352.32552988394434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183.29776337892579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183.29776337892579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68.456184566274757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>
        <f>FZ130*VLOOKUP('Données projet'!$B$17,Paramètres!$A$1:$I$89,3,0)*VLOOKUP('Données projet'!$B$17,Paramètres!$A$1:$I$89,5,0)</f>
        <v>0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123.03972959251965</v>
      </c>
      <c r="GF130" s="59">
        <f t="shared" si="104"/>
        <v>178.27657680839445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39.840862447573215</v>
      </c>
      <c r="GM130" s="21">
        <f>EXP(-LN(2)/25)*GM129+(1-EXP(-LN(2)/25))/(LN(2)/25)*Calculateur!GH130*Calculateur!GJ130*VLOOKUP('Données projet'!$B$17,Paramètres!$A$1:$I$89,3,0)*0.475*44/12</f>
        <v>6.9163330718366112</v>
      </c>
      <c r="GN130" s="21">
        <f>EXP(-LN(2)/2)*GN129+(1-EXP(-LN(2)/2))/(LN(2)/2)*GH130*GK130*VLOOKUP('Données projet'!$B$17,Paramètres!$A$1:$I$89,3,0)*0.475*44/12</f>
        <v>2.6925934504072087E-8</v>
      </c>
      <c r="GO130" s="21">
        <f t="shared" si="81"/>
        <v>46.757195546335758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68.456184566274757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-4.5474735088646412E-13</v>
      </c>
      <c r="GV130" s="17">
        <f>GU130*VLOOKUP('Données projet'!$B$18,Paramètres!$A$1:$I$89,3,0)*VLOOKUP('Données projet'!$B$18,Paramètres!$A$1:$I$89,5,0)</f>
        <v>-3.0504452297464016E-13</v>
      </c>
      <c r="GW130" s="13" t="e">
        <f t="shared" si="105"/>
        <v>#NUM!</v>
      </c>
      <c r="GX130" s="20" t="e">
        <f t="shared" si="82"/>
        <v>#NUM!</v>
      </c>
      <c r="GY130" s="59" t="e">
        <f t="shared" si="83"/>
        <v>#NUM!</v>
      </c>
      <c r="GZ130" s="59">
        <f ca="1">AVERAGE(OFFSET($GY$3,0,0,'Données projet'!$E$18+1,1))-AVERAGE(OFFSET($H$3,0,0,'Données projet'!$E$18+1,1))</f>
        <v>542.25674729323623</v>
      </c>
      <c r="HA130" s="59">
        <f t="shared" si="106"/>
        <v>614.73906555680685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246.5716284355349</v>
      </c>
      <c r="HH130" s="21">
        <f>EXP(-LN(2)/25)*HH129+(1-EXP(-LN(2)/25))/(LN(2)/25)*Calculateur!HC130*Calculateur!HE130*VLOOKUP('Données projet'!$B$18,Paramètres!$A$1:$I$89,3,0)*0.475*44/12</f>
        <v>0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246.5716284355349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2.8499999999999996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10.449999999999998</v>
      </c>
      <c r="H131" s="67">
        <f t="shared" si="56"/>
        <v>214.86666666666667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68.482966312595636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-1.0231815394945443E-12</v>
      </c>
      <c r="O131" s="13">
        <f>N131*VLOOKUP('Données projet'!$B$9,Paramètres!$A$1:$I$89,3,0)*VLOOKUP('Données projet'!$B$9,Paramètres!$A$1:$I$89,5,0)</f>
        <v>-8.9385139290243408E-13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686.80970545599644</v>
      </c>
      <c r="T131" s="59">
        <f t="shared" si="88"/>
        <v>636.16485232937737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67.097741720965999</v>
      </c>
      <c r="AA131" s="21">
        <f>EXP(-LN(2)/25)*AA130+(1-EXP(-LN(2)/25))/(LN(2)/25)*Calculateur!V131*Calculateur!X131*VLOOKUP('Données projet'!$B$9,Paramètres!$A$1:$I$89,3,0)*0.475*44/12</f>
        <v>6.0305458336762543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73.128287554642256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68.482966312595636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1.1368683772161603E-13</v>
      </c>
      <c r="AJ131" s="13">
        <f>AI131*VLOOKUP('Données projet'!$B$10,Paramètres!$A$1:$I$89,3,0)*VLOOKUP('Données projet'!$B$10,Paramètres!$A$1:$I$89,5,0)</f>
        <v>1.0286385077051818E-13</v>
      </c>
      <c r="AK131" s="13">
        <f t="shared" si="89"/>
        <v>1.5402366592183556E-12</v>
      </c>
      <c r="AL131" s="20">
        <f t="shared" si="58"/>
        <v>2.8617333882306215E-12</v>
      </c>
      <c r="AM131" s="59">
        <f t="shared" si="59"/>
        <v>287.77087647952015</v>
      </c>
      <c r="AN131" s="59">
        <f ca="1">AVERAGE(OFFSET($AM$3,0,0,'Données projet'!$E$10+1,1))-AVERAGE(OFFSET($H$3,0,0,'Données projet'!$E$10+1,1))</f>
        <v>323.67375363913726</v>
      </c>
      <c r="AO131" s="59">
        <f t="shared" si="90"/>
        <v>266.03902815735029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58.840560906516991</v>
      </c>
      <c r="AV131" s="21">
        <f>EXP(-LN(2)/25)*AV130+(1-EXP(-LN(2)/25))/(LN(2)/25)*Calculateur!AQ131*Calculateur!AS131*VLOOKUP('Données projet'!$B$10,Paramètres!$A$1:$I$89,3,0)*0.475*44/12</f>
        <v>13.920718143527465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72.76127905004445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68.482966312595636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371.46495716091965</v>
      </c>
      <c r="BJ131" s="59">
        <f t="shared" si="92"/>
        <v>579.95059529269417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42.938871668865566</v>
      </c>
      <c r="BQ131" s="21">
        <f>EXP(-LN(2)/25)*BQ130+(1-EXP(-LN(2)/25))/(LN(2)/25)*Calculateur!BL131*Calculateur!BN131*VLOOKUP('Données projet'!$B$11,Paramètres!$A$1:$I$89,3,0)*0.475*44/12</f>
        <v>6.8988587766457075</v>
      </c>
      <c r="BR131" s="21">
        <f>EXP(-LN(2)/2)*BR130+(1-EXP(-LN(2)/2))/(LN(2)/2)*BL131*BO131*VLOOKUP('Données projet'!$B$11,Paramètres!$A$1:$I$89,3,0)*0.475*44/12</f>
        <v>1.2486574393036411E-11</v>
      </c>
      <c r="BS131" s="22">
        <f t="shared" si="63"/>
        <v>49.837730445523761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68.482966312595636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180.18752244216969</v>
      </c>
      <c r="CE131" s="59">
        <f t="shared" si="94"/>
        <v>350.12096474554676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51.849178980499417</v>
      </c>
      <c r="CL131" s="21">
        <f>EXP(-LN(2)/25)*CL130+(1-EXP(-LN(2)/25))/(LN(2)/25)*Calculateur!CG131*Calculateur!CI131*VLOOKUP('Données projet'!$B$12,Paramètres!$A$1:$I$89,3,0)*0.475*44/12</f>
        <v>12.300508280642051</v>
      </c>
      <c r="CM131" s="21">
        <f>EXP(-LN(2)/2)*CM130+(1-EXP(-LN(2)/2))/(LN(2)/2)*CG131*CJ131*VLOOKUP('Données projet'!$B$12,Paramètres!$A$1:$I$89,3,0)*0.475*44/12</f>
        <v>9.4866632369612867E-12</v>
      </c>
      <c r="CN131" s="22">
        <f t="shared" si="66"/>
        <v>64.149687261150959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68.482966312595636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5.6843418860808015E-14</v>
      </c>
      <c r="CU131" s="17">
        <f>CT131*VLOOKUP('Données projet'!$B$13,Paramètres!$A$1:$I$89,3,0)*VLOOKUP('Données projet'!$B$13,Paramètres!$A$1:$I$89,5,0)</f>
        <v>4.5224624045658861E-14</v>
      </c>
      <c r="CV131" s="13">
        <f t="shared" si="95"/>
        <v>7.4514601661523691E-13</v>
      </c>
      <c r="CW131" s="20">
        <f t="shared" si="67"/>
        <v>1.3765621991510601E-12</v>
      </c>
      <c r="CX131" s="59">
        <f t="shared" si="68"/>
        <v>287.77087647951868</v>
      </c>
      <c r="CY131" s="59">
        <f ca="1">AVERAGE(OFFSET($CX$3,0,0,'Données projet'!$E$13+1,1))-AVERAGE(OFFSET($H$3,0,0,'Données projet'!$E$13+1,1))</f>
        <v>284.31574332240928</v>
      </c>
      <c r="CZ131" s="59">
        <f t="shared" si="96"/>
        <v>403.96994631683913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218.33635951008245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218.33635951008245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68.482966312595636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190.9519472160006</v>
      </c>
      <c r="DU131" s="59">
        <f t="shared" si="98"/>
        <v>170.61553500287511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46.750920361440187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46.750920361440187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68.482966312595636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>
        <f>EJ131*VLOOKUP('Données projet'!$B$15,Paramètres!$A$1:$I$89,3,0)*VLOOKUP('Données projet'!$B$15,Paramètres!$A$1:$I$89,5,0)</f>
        <v>0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331.94255128154623</v>
      </c>
      <c r="EP131" s="59">
        <f t="shared" si="100"/>
        <v>258.40809812013964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597.32980060382681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597.32980060382681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68.482966312595636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>
        <f>FE131*VLOOKUP('Données projet'!$B$16,Paramètres!$A$1:$I$89,3,0)*VLOOKUP('Données projet'!$B$16,Paramètres!$A$1:$I$89,5,0)</f>
        <v>0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290.72311302449236</v>
      </c>
      <c r="FK131" s="59">
        <f t="shared" si="102"/>
        <v>352.32552988394434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179.70340603966133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179.70340603966133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68.482966312595636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>
        <f>FZ131*VLOOKUP('Données projet'!$B$17,Paramètres!$A$1:$I$89,3,0)*VLOOKUP('Données projet'!$B$17,Paramètres!$A$1:$I$89,5,0)</f>
        <v>0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123.03972959251965</v>
      </c>
      <c r="GF131" s="59">
        <f t="shared" si="104"/>
        <v>178.27657680839445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39.059607435502919</v>
      </c>
      <c r="GM131" s="21">
        <f>EXP(-LN(2)/25)*GM130+(1-EXP(-LN(2)/25))/(LN(2)/25)*Calculateur!GH131*Calculateur!GJ131*VLOOKUP('Données projet'!$B$17,Paramètres!$A$1:$I$89,3,0)*0.475*44/12</f>
        <v>6.7272055802730906</v>
      </c>
      <c r="GN131" s="21">
        <f>EXP(-LN(2)/2)*GN130+(1-EXP(-LN(2)/2))/(LN(2)/2)*GH131*GK131*VLOOKUP('Données projet'!$B$17,Paramètres!$A$1:$I$89,3,0)*0.475*44/12</f>
        <v>1.9039510877614211E-8</v>
      </c>
      <c r="GO131" s="21">
        <f t="shared" si="81"/>
        <v>45.786813034815523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68.482966312595636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-4.5474735088646412E-13</v>
      </c>
      <c r="GV131" s="17">
        <f>GU131*VLOOKUP('Données projet'!$B$18,Paramètres!$A$1:$I$89,3,0)*VLOOKUP('Données projet'!$B$18,Paramètres!$A$1:$I$89,5,0)</f>
        <v>-3.0504452297464016E-13</v>
      </c>
      <c r="GW131" s="13" t="e">
        <f t="shared" si="105"/>
        <v>#NUM!</v>
      </c>
      <c r="GX131" s="20" t="e">
        <f t="shared" si="82"/>
        <v>#NUM!</v>
      </c>
      <c r="GY131" s="59" t="e">
        <f t="shared" si="83"/>
        <v>#NUM!</v>
      </c>
      <c r="GZ131" s="59">
        <f ca="1">AVERAGE(OFFSET($GY$3,0,0,'Données projet'!$E$18+1,1))-AVERAGE(OFFSET($H$3,0,0,'Données projet'!$E$18+1,1))</f>
        <v>542.25674729323623</v>
      </c>
      <c r="HA131" s="59">
        <f t="shared" si="106"/>
        <v>614.73906555680685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241.73650919575726</v>
      </c>
      <c r="HH131" s="21">
        <f>EXP(-LN(2)/25)*HH130+(1-EXP(-LN(2)/25))/(LN(2)/25)*Calculateur!HC131*Calculateur!HE131*VLOOKUP('Données projet'!$B$18,Paramètres!$A$1:$I$89,3,0)*0.475*44/12</f>
        <v>0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241.73650919575726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2.8499999999999996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10.449999999999998</v>
      </c>
      <c r="H132" s="67">
        <f t="shared" ref="H132:H195" si="110">(B132+E132+F132)*44/12+(C132+D132)*0.475*44/12</f>
        <v>214.86666666666667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68.509283455492877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-1.0231815394945443E-12</v>
      </c>
      <c r="O132" s="13">
        <f>N132*VLOOKUP('Données projet'!$B$9,Paramètres!$A$1:$I$89,3,0)*VLOOKUP('Données projet'!$B$9,Paramètres!$A$1:$I$89,5,0)</f>
        <v>-8.9385139290243408E-13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686.80970545599644</v>
      </c>
      <c r="T132" s="59">
        <f t="shared" si="88"/>
        <v>636.16485232937737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65.781995931399237</v>
      </c>
      <c r="AA132" s="21">
        <f>EXP(-LN(2)/25)*AA131+(1-EXP(-LN(2)/25))/(LN(2)/25)*Calculateur!V132*Calculateur!X132*VLOOKUP('Données projet'!$B$9,Paramètres!$A$1:$I$89,3,0)*0.475*44/12</f>
        <v>5.8656402407217545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71.647636172120997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68.509283455492877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1.1368683772161603E-13</v>
      </c>
      <c r="AJ132" s="13">
        <f>AI132*VLOOKUP('Données projet'!$B$10,Paramètres!$A$1:$I$89,3,0)*VLOOKUP('Données projet'!$B$10,Paramètres!$A$1:$I$89,5,0)</f>
        <v>1.0286385077051818E-13</v>
      </c>
      <c r="AK132" s="13">
        <f t="shared" si="89"/>
        <v>1.5402366592183556E-12</v>
      </c>
      <c r="AL132" s="20">
        <f t="shared" ref="AL132:AL153" si="112">(AJ132+AK132)*0.475*44/12</f>
        <v>2.8617333882306215E-12</v>
      </c>
      <c r="AM132" s="59">
        <f t="shared" ref="AM132:AM195" si="113">AL132+(AD132+AE132)*44/12</f>
        <v>287.86737267014342</v>
      </c>
      <c r="AN132" s="59">
        <f ca="1">AVERAGE(OFFSET($AM$3,0,0,'Données projet'!$E$10+1,1))-AVERAGE(OFFSET($H$3,0,0,'Données projet'!$E$10+1,1))</f>
        <v>323.67375363913726</v>
      </c>
      <c r="AO132" s="59">
        <f t="shared" si="90"/>
        <v>266.03902815735029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57.686733396338582</v>
      </c>
      <c r="AV132" s="21">
        <f>EXP(-LN(2)/25)*AV131+(1-EXP(-LN(2)/25))/(LN(2)/25)*Calculateur!AQ132*Calculateur!AS132*VLOOKUP('Données projet'!$B$10,Paramètres!$A$1:$I$89,3,0)*0.475*44/12</f>
        <v>13.540055373833955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71.226788770172533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68.509283455492877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371.46495716091965</v>
      </c>
      <c r="BJ132" s="59">
        <f t="shared" si="92"/>
        <v>579.95059529269417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42.096866585564769</v>
      </c>
      <c r="BQ132" s="21">
        <f>EXP(-LN(2)/25)*BQ131+(1-EXP(-LN(2)/25))/(LN(2)/25)*Calculateur!BL132*Calculateur!BN132*VLOOKUP('Données projet'!$B$11,Paramètres!$A$1:$I$89,3,0)*0.475*44/12</f>
        <v>6.7102091206031149</v>
      </c>
      <c r="BR132" s="21">
        <f>EXP(-LN(2)/2)*BR131+(1-EXP(-LN(2)/2))/(LN(2)/2)*BL132*BO132*VLOOKUP('Données projet'!$B$11,Paramètres!$A$1:$I$89,3,0)*0.475*44/12</f>
        <v>8.8293414271063448E-12</v>
      </c>
      <c r="BS132" s="22">
        <f t="shared" ref="BS132:BS153" si="117">SUM(BP132:BR132)</f>
        <v>48.807075706176718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68.509283455492877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180.18752244216969</v>
      </c>
      <c r="CE132" s="59">
        <f t="shared" si="94"/>
        <v>350.12096474554676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50.832448205568305</v>
      </c>
      <c r="CL132" s="21">
        <f>EXP(-LN(2)/25)*CL131+(1-EXP(-LN(2)/25))/(LN(2)/25)*Calculateur!CG132*Calculateur!CI132*VLOOKUP('Données projet'!$B$12,Paramètres!$A$1:$I$89,3,0)*0.475*44/12</f>
        <v>11.964150234852276</v>
      </c>
      <c r="CM132" s="21">
        <f>EXP(-LN(2)/2)*CM131+(1-EXP(-LN(2)/2))/(LN(2)/2)*CG132*CJ132*VLOOKUP('Données projet'!$B$12,Paramètres!$A$1:$I$89,3,0)*0.475*44/12</f>
        <v>6.7080839056884492E-12</v>
      </c>
      <c r="CN132" s="22">
        <f t="shared" ref="CN132:CN153" si="120">SUM(CK132:CM132)</f>
        <v>62.796598440427289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68.509283455492877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5.6843418860808015E-14</v>
      </c>
      <c r="CU132" s="17">
        <f>CT132*VLOOKUP('Données projet'!$B$13,Paramètres!$A$1:$I$89,3,0)*VLOOKUP('Données projet'!$B$13,Paramètres!$A$1:$I$89,5,0)</f>
        <v>4.5224624045658861E-14</v>
      </c>
      <c r="CV132" s="13">
        <f t="shared" si="95"/>
        <v>7.4514601661523691E-13</v>
      </c>
      <c r="CW132" s="20">
        <f t="shared" ref="CW132:CW153" si="121">(CU132+CV132)*0.475*44/12</f>
        <v>1.3765621991510601E-12</v>
      </c>
      <c r="CX132" s="59">
        <f t="shared" ref="CX132:CX195" si="122">CW132+(CO132+CP132)*44/12</f>
        <v>287.86737267014195</v>
      </c>
      <c r="CY132" s="59">
        <f ca="1">AVERAGE(OFFSET($CX$3,0,0,'Données projet'!$E$13+1,1))-AVERAGE(OFFSET($H$3,0,0,'Données projet'!$E$13+1,1))</f>
        <v>284.31574332240928</v>
      </c>
      <c r="CZ132" s="59">
        <f t="shared" si="96"/>
        <v>403.96994631683913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214.05491667211939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214.05491667211939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68.509283455492877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190.9519472160006</v>
      </c>
      <c r="DU132" s="59">
        <f t="shared" si="98"/>
        <v>170.61553500287511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45.83416332839812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45.83416332839812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68.509283455492877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>
        <f>EJ132*VLOOKUP('Données projet'!$B$15,Paramètres!$A$1:$I$89,3,0)*VLOOKUP('Données projet'!$B$15,Paramètres!$A$1:$I$89,5,0)</f>
        <v>0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331.94255128154623</v>
      </c>
      <c r="EP132" s="59">
        <f t="shared" si="100"/>
        <v>258.40809812013964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585.61652754918907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585.61652754918907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68.509283455492877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>
        <f>FE132*VLOOKUP('Données projet'!$B$16,Paramètres!$A$1:$I$89,3,0)*VLOOKUP('Données projet'!$B$16,Paramètres!$A$1:$I$89,5,0)</f>
        <v>0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290.72311302449236</v>
      </c>
      <c r="FK132" s="59">
        <f t="shared" si="102"/>
        <v>352.32552988394434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176.17953185547833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176.17953185547833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68.509283455492877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>
        <f>FZ132*VLOOKUP('Données projet'!$B$17,Paramètres!$A$1:$I$89,3,0)*VLOOKUP('Données projet'!$B$17,Paramètres!$A$1:$I$89,5,0)</f>
        <v>0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123.03972959251965</v>
      </c>
      <c r="GF132" s="59">
        <f t="shared" si="104"/>
        <v>178.27657680839445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38.293672357700814</v>
      </c>
      <c r="GM132" s="21">
        <f>EXP(-LN(2)/25)*GM131+(1-EXP(-LN(2)/25))/(LN(2)/25)*Calculateur!GH132*Calculateur!GJ132*VLOOKUP('Données projet'!$B$17,Paramètres!$A$1:$I$89,3,0)*0.475*44/12</f>
        <v>6.5432497899121564</v>
      </c>
      <c r="GN132" s="21">
        <f>EXP(-LN(2)/2)*GN131+(1-EXP(-LN(2)/2))/(LN(2)/2)*GH132*GK132*VLOOKUP('Données projet'!$B$17,Paramètres!$A$1:$I$89,3,0)*0.475*44/12</f>
        <v>1.3462967252036044E-8</v>
      </c>
      <c r="GO132" s="21">
        <f t="shared" ref="GO132:GO153" si="135">SUM(GL132:GN132)</f>
        <v>44.836922161075933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68.509283455492877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-4.5474735088646412E-13</v>
      </c>
      <c r="GV132" s="17">
        <f>GU132*VLOOKUP('Données projet'!$B$18,Paramètres!$A$1:$I$89,3,0)*VLOOKUP('Données projet'!$B$18,Paramètres!$A$1:$I$89,5,0)</f>
        <v>-3.0504452297464016E-13</v>
      </c>
      <c r="GW132" s="13" t="e">
        <f t="shared" si="105"/>
        <v>#NUM!</v>
      </c>
      <c r="GX132" s="20" t="e">
        <f t="shared" ref="GX132:GX153" si="136">(GV132+GW132)*0.475*44/12</f>
        <v>#NUM!</v>
      </c>
      <c r="GY132" s="59" t="e">
        <f t="shared" ref="GY132:GY195" si="137">GX132+(GP132+GQ132)*44/12</f>
        <v>#NUM!</v>
      </c>
      <c r="GZ132" s="59">
        <f ca="1">AVERAGE(OFFSET($GY$3,0,0,'Données projet'!$E$18+1,1))-AVERAGE(OFFSET($H$3,0,0,'Données projet'!$E$18+1,1))</f>
        <v>542.25674729323623</v>
      </c>
      <c r="HA132" s="59">
        <f t="shared" si="106"/>
        <v>614.73906555680685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236.99620369514011</v>
      </c>
      <c r="HH132" s="21">
        <f>EXP(-LN(2)/25)*HH131+(1-EXP(-LN(2)/25))/(LN(2)/25)*Calculateur!HC132*Calculateur!HE132*VLOOKUP('Données projet'!$B$18,Paramètres!$A$1:$I$89,3,0)*0.475*44/12</f>
        <v>0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236.99620369514011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2.8499999999999996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10.449999999999998</v>
      </c>
      <c r="H133" s="67">
        <f t="shared" si="110"/>
        <v>214.86666666666667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68.535144054797172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-1.0231815394945443E-12</v>
      </c>
      <c r="O133" s="13">
        <f>N133*VLOOKUP('Données projet'!$B$9,Paramètres!$A$1:$I$89,3,0)*VLOOKUP('Données projet'!$B$9,Paramètres!$A$1:$I$89,5,0)</f>
        <v>-8.9385139290243408E-13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686.80970545599644</v>
      </c>
      <c r="T133" s="59">
        <f t="shared" ref="T133:T196" si="142">$T$3</f>
        <v>636.16485232937737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64.492051114240198</v>
      </c>
      <c r="AA133" s="21">
        <f>EXP(-LN(2)/25)*AA132+(1-EXP(-LN(2)/25))/(LN(2)/25)*Calculateur!V133*Calculateur!X133*VLOOKUP('Données projet'!$B$9,Paramètres!$A$1:$I$89,3,0)*0.475*44/12</f>
        <v>5.7052439998786042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70.197295114118802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68.535144054797172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1.1368683772161603E-13</v>
      </c>
      <c r="AJ133" s="13">
        <f>AI133*VLOOKUP('Données projet'!$B$10,Paramètres!$A$1:$I$89,3,0)*VLOOKUP('Données projet'!$B$10,Paramètres!$A$1:$I$89,5,0)</f>
        <v>1.0286385077051818E-13</v>
      </c>
      <c r="AK133" s="13">
        <f t="shared" ref="AK133:AK153" si="143">EXP(-1.0587+0.8836*LN(AJ133)+0.284)</f>
        <v>1.5402366592183556E-12</v>
      </c>
      <c r="AL133" s="20">
        <f t="shared" si="112"/>
        <v>2.8617333882306215E-12</v>
      </c>
      <c r="AM133" s="59">
        <f t="shared" si="113"/>
        <v>287.96219486759247</v>
      </c>
      <c r="AN133" s="59">
        <f ca="1">AVERAGE(OFFSET($AM$3,0,0,'Données projet'!$E$10+1,1))-AVERAGE(OFFSET($H$3,0,0,'Données projet'!$E$10+1,1))</f>
        <v>323.67375363913726</v>
      </c>
      <c r="AO133" s="59">
        <f t="shared" ref="AO133:AO196" si="144">$AO$3</f>
        <v>266.03902815735029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56.55553173986948</v>
      </c>
      <c r="AV133" s="21">
        <f>EXP(-LN(2)/25)*AV132+(1-EXP(-LN(2)/25))/(LN(2)/25)*Calculateur!AQ133*Calculateur!AS133*VLOOKUP('Données projet'!$B$10,Paramètres!$A$1:$I$89,3,0)*0.475*44/12</f>
        <v>13.169801847595899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69.725333587465371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68.535144054797172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371.46495716091965</v>
      </c>
      <c r="BJ133" s="59">
        <f t="shared" ref="BJ133:BJ196" si="146">$BJ$3</f>
        <v>579.95059529269417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41.271372708375111</v>
      </c>
      <c r="BQ133" s="21">
        <f>EXP(-LN(2)/25)*BQ132+(1-EXP(-LN(2)/25))/(LN(2)/25)*Calculateur!BL133*Calculateur!BN133*VLOOKUP('Données projet'!$B$11,Paramètres!$A$1:$I$89,3,0)*0.475*44/12</f>
        <v>6.5267180993256613</v>
      </c>
      <c r="BR133" s="21">
        <f>EXP(-LN(2)/2)*BR132+(1-EXP(-LN(2)/2))/(LN(2)/2)*BL133*BO133*VLOOKUP('Données projet'!$B$11,Paramètres!$A$1:$I$89,3,0)*0.475*44/12</f>
        <v>6.2432871965182055E-12</v>
      </c>
      <c r="BS133" s="22">
        <f t="shared" si="117"/>
        <v>47.79809080770702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68.535144054797172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180.18752244216969</v>
      </c>
      <c r="CE133" s="59">
        <f t="shared" ref="CE133:CE196" si="148">$CE$3</f>
        <v>350.12096474554676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49.835654900989056</v>
      </c>
      <c r="CL133" s="21">
        <f>EXP(-LN(2)/25)*CL132+(1-EXP(-LN(2)/25))/(LN(2)/25)*Calculateur!CG133*Calculateur!CI133*VLOOKUP('Données projet'!$B$12,Paramètres!$A$1:$I$89,3,0)*0.475*44/12</f>
        <v>11.636989917512924</v>
      </c>
      <c r="CM133" s="21">
        <f>EXP(-LN(2)/2)*CM132+(1-EXP(-LN(2)/2))/(LN(2)/2)*CG133*CJ133*VLOOKUP('Données projet'!$B$12,Paramètres!$A$1:$I$89,3,0)*0.475*44/12</f>
        <v>4.7433316184806433E-12</v>
      </c>
      <c r="CN133" s="22">
        <f t="shared" si="120"/>
        <v>61.472644818506723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68.535144054797172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5.6843418860808015E-14</v>
      </c>
      <c r="CU133" s="17">
        <f>CT133*VLOOKUP('Données projet'!$B$13,Paramètres!$A$1:$I$89,3,0)*VLOOKUP('Données projet'!$B$13,Paramètres!$A$1:$I$89,5,0)</f>
        <v>4.5224624045658861E-14</v>
      </c>
      <c r="CV133" s="13">
        <f t="shared" ref="CV133:CV153" si="149">EXP(-1.0587+0.8836*LN(CU133)+0.284)</f>
        <v>7.4514601661523691E-13</v>
      </c>
      <c r="CW133" s="20">
        <f t="shared" si="121"/>
        <v>1.3765621991510601E-12</v>
      </c>
      <c r="CX133" s="59">
        <f t="shared" si="122"/>
        <v>287.96219486759099</v>
      </c>
      <c r="CY133" s="59">
        <f ca="1">AVERAGE(OFFSET($CX$3,0,0,'Données projet'!$E$13+1,1))-AVERAGE(OFFSET($H$3,0,0,'Données projet'!$E$13+1,1))</f>
        <v>284.31574332240928</v>
      </c>
      <c r="CZ133" s="59">
        <f t="shared" ref="CZ133:CZ196" si="150">$CZ$3</f>
        <v>403.96994631683913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209.85743031678652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209.85743031678652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68.535144054797172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190.9519472160006</v>
      </c>
      <c r="DU133" s="59">
        <f t="shared" ref="DU133:DU196" si="152">$DU$3</f>
        <v>170.61553500287511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44.935383341607427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44.935383341607427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68.535144054797172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>
        <f>EJ133*VLOOKUP('Données projet'!$B$15,Paramètres!$A$1:$I$89,3,0)*VLOOKUP('Données projet'!$B$15,Paramètres!$A$1:$I$89,5,0)</f>
        <v>0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331.94255128154623</v>
      </c>
      <c r="EP133" s="59">
        <f t="shared" ref="EP133:EP196" si="154">$EP$3</f>
        <v>258.40809812013964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574.13294463476166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574.13294463476166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68.535144054797172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>
        <f>FE133*VLOOKUP('Données projet'!$B$16,Paramètres!$A$1:$I$89,3,0)*VLOOKUP('Données projet'!$B$16,Paramètres!$A$1:$I$89,5,0)</f>
        <v>0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290.72311302449236</v>
      </c>
      <c r="FK133" s="59">
        <f t="shared" ref="FK133:FK196" si="156">$FK$3</f>
        <v>352.32552988394434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172.72475869469613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172.72475869469613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68.535144054797172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>
        <f>FZ133*VLOOKUP('Données projet'!$B$17,Paramètres!$A$1:$I$89,3,0)*VLOOKUP('Données projet'!$B$17,Paramètres!$A$1:$I$89,5,0)</f>
        <v>0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123.03972959251965</v>
      </c>
      <c r="GF133" s="59">
        <f t="shared" ref="GF133:GF196" si="158">$GF$3</f>
        <v>178.27657680839445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37.542756799600141</v>
      </c>
      <c r="GM133" s="21">
        <f>EXP(-LN(2)/25)*GM132+(1-EXP(-LN(2)/25))/(LN(2)/25)*Calculateur!GH133*Calculateur!GJ133*VLOOKUP('Données projet'!$B$17,Paramètres!$A$1:$I$89,3,0)*0.475*44/12</f>
        <v>6.3643242803124567</v>
      </c>
      <c r="GN133" s="21">
        <f>EXP(-LN(2)/2)*GN132+(1-EXP(-LN(2)/2))/(LN(2)/2)*GH133*GK133*VLOOKUP('Données projet'!$B$17,Paramètres!$A$1:$I$89,3,0)*0.475*44/12</f>
        <v>9.5197554388071056E-9</v>
      </c>
      <c r="GO133" s="21">
        <f t="shared" si="135"/>
        <v>43.907081089432353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68.535144054797172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-4.5474735088646412E-13</v>
      </c>
      <c r="GV133" s="17">
        <f>GU133*VLOOKUP('Données projet'!$B$18,Paramètres!$A$1:$I$89,3,0)*VLOOKUP('Données projet'!$B$18,Paramètres!$A$1:$I$89,5,0)</f>
        <v>-3.0504452297464016E-13</v>
      </c>
      <c r="GW133" s="13" t="e">
        <f t="shared" ref="GW133:GW153" si="159">EXP(-1.0587+0.8836*LN(GV133)+0.284)</f>
        <v>#NUM!</v>
      </c>
      <c r="GX133" s="20" t="e">
        <f t="shared" si="136"/>
        <v>#NUM!</v>
      </c>
      <c r="GY133" s="59" t="e">
        <f t="shared" si="137"/>
        <v>#NUM!</v>
      </c>
      <c r="GZ133" s="59">
        <f ca="1">AVERAGE(OFFSET($GY$3,0,0,'Données projet'!$E$18+1,1))-AVERAGE(OFFSET($H$3,0,0,'Données projet'!$E$18+1,1))</f>
        <v>542.25674729323623</v>
      </c>
      <c r="HA133" s="59">
        <f t="shared" ref="HA133:HA196" si="160">$HA$3</f>
        <v>614.73906555680685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232.3488526940892</v>
      </c>
      <c r="HH133" s="21">
        <f>EXP(-LN(2)/25)*HH132+(1-EXP(-LN(2)/25))/(LN(2)/25)*Calculateur!HC133*Calculateur!HE133*VLOOKUP('Données projet'!$B$18,Paramètres!$A$1:$I$89,3,0)*0.475*44/12</f>
        <v>0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232.3488526940892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2.8499999999999996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10.449999999999998</v>
      </c>
      <c r="H134" s="67">
        <f t="shared" si="110"/>
        <v>214.86666666666667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68.560556030519166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-1.0231815394945443E-12</v>
      </c>
      <c r="O134" s="13">
        <f>N134*VLOOKUP('Données projet'!$B$9,Paramètres!$A$1:$I$89,3,0)*VLOOKUP('Données projet'!$B$9,Paramètres!$A$1:$I$89,5,0)</f>
        <v>-8.9385139290243408E-13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686.80970545599644</v>
      </c>
      <c r="T134" s="59">
        <f t="shared" si="142"/>
        <v>636.16485232937737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63.227401328156994</v>
      </c>
      <c r="AA134" s="21">
        <f>EXP(-LN(2)/25)*AA133+(1-EXP(-LN(2)/25))/(LN(2)/25)*Calculateur!V134*Calculateur!X134*VLOOKUP('Données projet'!$B$9,Paramètres!$A$1:$I$89,3,0)*0.475*44/12</f>
        <v>5.5492338026761816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68.776635130833171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68.560556030519166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1.1368683772161603E-13</v>
      </c>
      <c r="AJ134" s="13">
        <f>AI134*VLOOKUP('Données projet'!$B$10,Paramètres!$A$1:$I$89,3,0)*VLOOKUP('Données projet'!$B$10,Paramètres!$A$1:$I$89,5,0)</f>
        <v>1.0286385077051818E-13</v>
      </c>
      <c r="AK134" s="13">
        <f t="shared" si="143"/>
        <v>1.5402366592183556E-12</v>
      </c>
      <c r="AL134" s="20">
        <f t="shared" si="112"/>
        <v>2.8617333882306215E-12</v>
      </c>
      <c r="AM134" s="59">
        <f t="shared" si="113"/>
        <v>288.05537211190648</v>
      </c>
      <c r="AN134" s="59">
        <f ca="1">AVERAGE(OFFSET($AM$3,0,0,'Données projet'!$E$10+1,1))-AVERAGE(OFFSET($H$3,0,0,'Données projet'!$E$10+1,1))</f>
        <v>323.67375363913726</v>
      </c>
      <c r="AO134" s="59">
        <f t="shared" si="144"/>
        <v>266.03902815735029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55.446512257918855</v>
      </c>
      <c r="AV134" s="21">
        <f>EXP(-LN(2)/25)*AV133+(1-EXP(-LN(2)/25))/(LN(2)/25)*Calculateur!AQ134*Calculateur!AS134*VLOOKUP('Données projet'!$B$10,Paramètres!$A$1:$I$89,3,0)*0.475*44/12</f>
        <v>12.80967292350361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68.256185181422467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68.560556030519166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371.46495716091965</v>
      </c>
      <c r="BJ134" s="59">
        <f t="shared" si="146"/>
        <v>579.95059529269417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40.462066262615593</v>
      </c>
      <c r="BQ134" s="21">
        <f>EXP(-LN(2)/25)*BQ133+(1-EXP(-LN(2)/25))/(LN(2)/25)*Calculateur!BL134*Calculateur!BN134*VLOOKUP('Données projet'!$B$11,Paramètres!$A$1:$I$89,3,0)*0.475*44/12</f>
        <v>6.3482446496744132</v>
      </c>
      <c r="BR134" s="21">
        <f>EXP(-LN(2)/2)*BR133+(1-EXP(-LN(2)/2))/(LN(2)/2)*BL134*BO134*VLOOKUP('Données projet'!$B$11,Paramètres!$A$1:$I$89,3,0)*0.475*44/12</f>
        <v>4.4146707135531724E-12</v>
      </c>
      <c r="BS134" s="22">
        <f t="shared" si="117"/>
        <v>46.810310912294419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68.560556030519166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180.18752244216969</v>
      </c>
      <c r="CE134" s="59">
        <f t="shared" si="148"/>
        <v>350.12096474554676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48.858408105128717</v>
      </c>
      <c r="CL134" s="21">
        <f>EXP(-LN(2)/25)*CL133+(1-EXP(-LN(2)/25))/(LN(2)/25)*Calculateur!CG134*Calculateur!CI134*VLOOKUP('Données projet'!$B$12,Paramètres!$A$1:$I$89,3,0)*0.475*44/12</f>
        <v>11.31877581625583</v>
      </c>
      <c r="CM134" s="21">
        <f>EXP(-LN(2)/2)*CM133+(1-EXP(-LN(2)/2))/(LN(2)/2)*CG134*CJ134*VLOOKUP('Données projet'!$B$12,Paramètres!$A$1:$I$89,3,0)*0.475*44/12</f>
        <v>3.3540419528442246E-12</v>
      </c>
      <c r="CN134" s="22">
        <f t="shared" si="120"/>
        <v>60.177183921387901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68.560556030519166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5.6843418860808015E-14</v>
      </c>
      <c r="CU134" s="17">
        <f>CT134*VLOOKUP('Données projet'!$B$13,Paramètres!$A$1:$I$89,3,0)*VLOOKUP('Données projet'!$B$13,Paramètres!$A$1:$I$89,5,0)</f>
        <v>4.5224624045658861E-14</v>
      </c>
      <c r="CV134" s="13">
        <f t="shared" si="149"/>
        <v>7.4514601661523691E-13</v>
      </c>
      <c r="CW134" s="20">
        <f t="shared" si="121"/>
        <v>1.3765621991510601E-12</v>
      </c>
      <c r="CX134" s="59">
        <f t="shared" si="122"/>
        <v>288.055372111905</v>
      </c>
      <c r="CY134" s="59">
        <f ca="1">AVERAGE(OFFSET($CX$3,0,0,'Données projet'!$E$13+1,1))-AVERAGE(OFFSET($H$3,0,0,'Données projet'!$E$13+1,1))</f>
        <v>284.31574332240928</v>
      </c>
      <c r="CZ134" s="59">
        <f t="shared" si="150"/>
        <v>403.96994631683913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205.74225410866785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205.74225410866785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68.560556030519166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190.9519472160006</v>
      </c>
      <c r="DU134" s="59">
        <f t="shared" si="152"/>
        <v>170.61553500287511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44.054227882156042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44.054227882156042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68.560556030519166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>
        <f>EJ134*VLOOKUP('Données projet'!$B$15,Paramètres!$A$1:$I$89,3,0)*VLOOKUP('Données projet'!$B$15,Paramètres!$A$1:$I$89,5,0)</f>
        <v>0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331.94255128154623</v>
      </c>
      <c r="EP134" s="59">
        <f t="shared" si="154"/>
        <v>258.40809812013964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562.87454777699213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562.87454777699213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68.560556030519166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>
        <f>FE134*VLOOKUP('Données projet'!$B$16,Paramètres!$A$1:$I$89,3,0)*VLOOKUP('Données projet'!$B$16,Paramètres!$A$1:$I$89,5,0)</f>
        <v>0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290.72311302449236</v>
      </c>
      <c r="FK134" s="59">
        <f t="shared" si="156"/>
        <v>352.32552988394434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169.33773152839333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169.33773152839333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68.560556030519166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>
        <f>FZ134*VLOOKUP('Données projet'!$B$17,Paramètres!$A$1:$I$89,3,0)*VLOOKUP('Données projet'!$B$17,Paramètres!$A$1:$I$89,5,0)</f>
        <v>0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123.03972959251965</v>
      </c>
      <c r="GF134" s="59">
        <f t="shared" si="158"/>
        <v>178.27657680839445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36.806566237580562</v>
      </c>
      <c r="GM134" s="21">
        <f>EXP(-LN(2)/25)*GM133+(1-EXP(-LN(2)/25))/(LN(2)/25)*Calculateur!GH134*Calculateur!GJ134*VLOOKUP('Données projet'!$B$17,Paramètres!$A$1:$I$89,3,0)*0.475*44/12</f>
        <v>6.1902914981820443</v>
      </c>
      <c r="GN134" s="21">
        <f>EXP(-LN(2)/2)*GN133+(1-EXP(-LN(2)/2))/(LN(2)/2)*GH134*GK134*VLOOKUP('Données projet'!$B$17,Paramètres!$A$1:$I$89,3,0)*0.475*44/12</f>
        <v>6.7314836260180219E-9</v>
      </c>
      <c r="GO134" s="21">
        <f t="shared" si="135"/>
        <v>42.996857742494086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68.560556030519166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-4.5474735088646412E-13</v>
      </c>
      <c r="GV134" s="17">
        <f>GU134*VLOOKUP('Données projet'!$B$18,Paramètres!$A$1:$I$89,3,0)*VLOOKUP('Données projet'!$B$18,Paramètres!$A$1:$I$89,5,0)</f>
        <v>-3.0504452297464016E-13</v>
      </c>
      <c r="GW134" s="13" t="e">
        <f t="shared" si="159"/>
        <v>#NUM!</v>
      </c>
      <c r="GX134" s="20" t="e">
        <f t="shared" si="136"/>
        <v>#NUM!</v>
      </c>
      <c r="GY134" s="59" t="e">
        <f t="shared" si="137"/>
        <v>#NUM!</v>
      </c>
      <c r="GZ134" s="59">
        <f ca="1">AVERAGE(OFFSET($GY$3,0,0,'Données projet'!$E$18+1,1))-AVERAGE(OFFSET($H$3,0,0,'Données projet'!$E$18+1,1))</f>
        <v>542.25674729323623</v>
      </c>
      <c r="HA134" s="59">
        <f t="shared" si="160"/>
        <v>614.73906555680685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227.79263341156468</v>
      </c>
      <c r="HH134" s="21">
        <f>EXP(-LN(2)/25)*HH133+(1-EXP(-LN(2)/25))/(LN(2)/25)*Calculateur!HC134*Calculateur!HE134*VLOOKUP('Données projet'!$B$18,Paramètres!$A$1:$I$89,3,0)*0.475*44/12</f>
        <v>0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227.79263341156468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2.8499999999999996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10.449999999999998</v>
      </c>
      <c r="H135" s="67">
        <f t="shared" si="110"/>
        <v>214.86666666666667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68.585527165275053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-1.0231815394945443E-12</v>
      </c>
      <c r="O135" s="13">
        <f>N135*VLOOKUP('Données projet'!$B$9,Paramètres!$A$1:$I$89,3,0)*VLOOKUP('Données projet'!$B$9,Paramètres!$A$1:$I$89,5,0)</f>
        <v>-8.9385139290243408E-13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686.80970545599644</v>
      </c>
      <c r="T135" s="59">
        <f t="shared" si="142"/>
        <v>636.16485232937737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61.987550553018679</v>
      </c>
      <c r="AA135" s="21">
        <f>EXP(-LN(2)/25)*AA134+(1-EXP(-LN(2)/25))/(LN(2)/25)*Calculateur!V135*Calculateur!X135*VLOOKUP('Données projet'!$B$9,Paramètres!$A$1:$I$89,3,0)*0.475*44/12</f>
        <v>5.3974897125204784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67.38504026553916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68.585527165275053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1.1368683772161603E-13</v>
      </c>
      <c r="AJ135" s="13">
        <f>AI135*VLOOKUP('Données projet'!$B$10,Paramètres!$A$1:$I$89,3,0)*VLOOKUP('Données projet'!$B$10,Paramètres!$A$1:$I$89,5,0)</f>
        <v>1.0286385077051818E-13</v>
      </c>
      <c r="AK135" s="13">
        <f t="shared" si="143"/>
        <v>1.5402366592183556E-12</v>
      </c>
      <c r="AL135" s="20">
        <f t="shared" si="112"/>
        <v>2.8617333882306215E-12</v>
      </c>
      <c r="AM135" s="59">
        <f t="shared" si="113"/>
        <v>288.14693293934471</v>
      </c>
      <c r="AN135" s="59">
        <f ca="1">AVERAGE(OFFSET($AM$3,0,0,'Données projet'!$E$10+1,1))-AVERAGE(OFFSET($H$3,0,0,'Données projet'!$E$10+1,1))</f>
        <v>323.67375363913726</v>
      </c>
      <c r="AO135" s="59">
        <f t="shared" si="144"/>
        <v>266.03902815735029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54.359239971574191</v>
      </c>
      <c r="AV135" s="21">
        <f>EXP(-LN(2)/25)*AV134+(1-EXP(-LN(2)/25))/(LN(2)/25)*Calculateur!AQ135*Calculateur!AS135*VLOOKUP('Données projet'!$B$10,Paramètres!$A$1:$I$89,3,0)*0.475*44/12</f>
        <v>12.459391743778982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66.818631715353177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68.585527165275053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371.46495716091965</v>
      </c>
      <c r="BJ135" s="59">
        <f t="shared" si="146"/>
        <v>579.95059529269417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39.668629822629228</v>
      </c>
      <c r="BQ135" s="21">
        <f>EXP(-LN(2)/25)*BQ134+(1-EXP(-LN(2)/25))/(LN(2)/25)*Calculateur!BL135*Calculateur!BN135*VLOOKUP('Données projet'!$B$11,Paramètres!$A$1:$I$89,3,0)*0.475*44/12</f>
        <v>6.1746515658893895</v>
      </c>
      <c r="BR135" s="21">
        <f>EXP(-LN(2)/2)*BR134+(1-EXP(-LN(2)/2))/(LN(2)/2)*BL135*BO135*VLOOKUP('Données projet'!$B$11,Paramètres!$A$1:$I$89,3,0)*0.475*44/12</f>
        <v>3.1216435982591028E-12</v>
      </c>
      <c r="BS135" s="22">
        <f t="shared" si="117"/>
        <v>45.843281388521739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68.585527165275053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180.18752244216969</v>
      </c>
      <c r="CE135" s="59">
        <f t="shared" si="148"/>
        <v>350.12096474554676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47.900324522873511</v>
      </c>
      <c r="CL135" s="21">
        <f>EXP(-LN(2)/25)*CL134+(1-EXP(-LN(2)/25))/(LN(2)/25)*Calculateur!CG135*Calculateur!CI135*VLOOKUP('Données projet'!$B$12,Paramètres!$A$1:$I$89,3,0)*0.475*44/12</f>
        <v>11.009263296331763</v>
      </c>
      <c r="CM135" s="21">
        <f>EXP(-LN(2)/2)*CM134+(1-EXP(-LN(2)/2))/(LN(2)/2)*CG135*CJ135*VLOOKUP('Données projet'!$B$12,Paramètres!$A$1:$I$89,3,0)*0.475*44/12</f>
        <v>2.3716658092403217E-12</v>
      </c>
      <c r="CN135" s="22">
        <f t="shared" si="120"/>
        <v>58.909587819207644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68.585527165275053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5.6843418860808015E-14</v>
      </c>
      <c r="CU135" s="17">
        <f>CT135*VLOOKUP('Données projet'!$B$13,Paramètres!$A$1:$I$89,3,0)*VLOOKUP('Données projet'!$B$13,Paramètres!$A$1:$I$89,5,0)</f>
        <v>4.5224624045658861E-14</v>
      </c>
      <c r="CV135" s="13">
        <f t="shared" si="149"/>
        <v>7.4514601661523691E-13</v>
      </c>
      <c r="CW135" s="20">
        <f t="shared" si="121"/>
        <v>1.3765621991510601E-12</v>
      </c>
      <c r="CX135" s="59">
        <f t="shared" si="122"/>
        <v>288.14693293934323</v>
      </c>
      <c r="CY135" s="59">
        <f ca="1">AVERAGE(OFFSET($CX$3,0,0,'Données projet'!$E$13+1,1))-AVERAGE(OFFSET($H$3,0,0,'Données projet'!$E$13+1,1))</f>
        <v>284.31574332240928</v>
      </c>
      <c r="CZ135" s="59">
        <f t="shared" si="150"/>
        <v>403.96994631683913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201.70777399598074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201.70777399598074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68.585527165275053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190.9519472160006</v>
      </c>
      <c r="DU135" s="59">
        <f t="shared" si="152"/>
        <v>170.61553500287511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43.190351343812736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43.190351343812736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68.585527165275053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>
        <f>EJ135*VLOOKUP('Données projet'!$B$15,Paramètres!$A$1:$I$89,3,0)*VLOOKUP('Données projet'!$B$15,Paramètres!$A$1:$I$89,5,0)</f>
        <v>0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331.94255128154623</v>
      </c>
      <c r="EP135" s="59">
        <f t="shared" si="154"/>
        <v>258.40809812013964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551.83692121465947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551.83692121465947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68.585527165275053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>
        <f>FE135*VLOOKUP('Données projet'!$B$16,Paramètres!$A$1:$I$89,3,0)*VLOOKUP('Données projet'!$B$16,Paramètres!$A$1:$I$89,5,0)</f>
        <v>0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290.72311302449236</v>
      </c>
      <c r="FK135" s="59">
        <f t="shared" si="156"/>
        <v>352.32552988394434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166.01712189893914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166.01712189893914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68.585527165275053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>
        <f>FZ135*VLOOKUP('Données projet'!$B$17,Paramètres!$A$1:$I$89,3,0)*VLOOKUP('Données projet'!$B$17,Paramètres!$A$1:$I$89,5,0)</f>
        <v>0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123.03972959251965</v>
      </c>
      <c r="GF135" s="59">
        <f t="shared" si="158"/>
        <v>178.27657680839445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36.084811923450282</v>
      </c>
      <c r="GM135" s="21">
        <f>EXP(-LN(2)/25)*GM134+(1-EXP(-LN(2)/25))/(LN(2)/25)*Calculateur!GH135*Calculateur!GJ135*VLOOKUP('Données projet'!$B$17,Paramètres!$A$1:$I$89,3,0)*0.475*44/12</f>
        <v>6.0210176516309746</v>
      </c>
      <c r="GN135" s="21">
        <f>EXP(-LN(2)/2)*GN134+(1-EXP(-LN(2)/2))/(LN(2)/2)*GH135*GK135*VLOOKUP('Données projet'!$B$17,Paramètres!$A$1:$I$89,3,0)*0.475*44/12</f>
        <v>4.7598777194035528E-9</v>
      </c>
      <c r="GO135" s="21">
        <f t="shared" si="135"/>
        <v>42.105829579841135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68.585527165275053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-4.5474735088646412E-13</v>
      </c>
      <c r="GV135" s="17">
        <f>GU135*VLOOKUP('Données projet'!$B$18,Paramètres!$A$1:$I$89,3,0)*VLOOKUP('Données projet'!$B$18,Paramètres!$A$1:$I$89,5,0)</f>
        <v>-3.0504452297464016E-13</v>
      </c>
      <c r="GW135" s="13" t="e">
        <f t="shared" si="159"/>
        <v>#NUM!</v>
      </c>
      <c r="GX135" s="20" t="e">
        <f t="shared" si="136"/>
        <v>#NUM!</v>
      </c>
      <c r="GY135" s="59" t="e">
        <f t="shared" si="137"/>
        <v>#NUM!</v>
      </c>
      <c r="GZ135" s="59">
        <f ca="1">AVERAGE(OFFSET($GY$3,0,0,'Données projet'!$E$18+1,1))-AVERAGE(OFFSET($H$3,0,0,'Données projet'!$E$18+1,1))</f>
        <v>542.25674729323623</v>
      </c>
      <c r="HA135" s="59">
        <f t="shared" si="160"/>
        <v>614.73906555680685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223.32575881015111</v>
      </c>
      <c r="HH135" s="21">
        <f>EXP(-LN(2)/25)*HH134+(1-EXP(-LN(2)/25))/(LN(2)/25)*Calculateur!HC135*Calculateur!HE135*VLOOKUP('Données projet'!$B$18,Paramètres!$A$1:$I$89,3,0)*0.475*44/12</f>
        <v>0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223.32575881015111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2.8499999999999996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10.449999999999998</v>
      </c>
      <c r="H136" s="67">
        <f t="shared" si="110"/>
        <v>214.86666666666667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68.610065106670007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-1.0231815394945443E-12</v>
      </c>
      <c r="O136" s="13">
        <f>N136*VLOOKUP('Données projet'!$B$9,Paramètres!$A$1:$I$89,3,0)*VLOOKUP('Données projet'!$B$9,Paramètres!$A$1:$I$89,5,0)</f>
        <v>-8.9385139290243408E-13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686.80970545599644</v>
      </c>
      <c r="T136" s="59">
        <f t="shared" si="142"/>
        <v>636.16485232937737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60.772012495346523</v>
      </c>
      <c r="AA136" s="21">
        <f>EXP(-LN(2)/25)*AA135+(1-EXP(-LN(2)/25))/(LN(2)/25)*Calculateur!V136*Calculateur!X136*VLOOKUP('Données projet'!$B$9,Paramètres!$A$1:$I$89,3,0)*0.475*44/12</f>
        <v>5.2498950724899585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66.021907567836479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68.610065106670007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1.1368683772161603E-13</v>
      </c>
      <c r="AJ136" s="13">
        <f>AI136*VLOOKUP('Données projet'!$B$10,Paramètres!$A$1:$I$89,3,0)*VLOOKUP('Données projet'!$B$10,Paramètres!$A$1:$I$89,5,0)</f>
        <v>1.0286385077051818E-13</v>
      </c>
      <c r="AK136" s="13">
        <f t="shared" si="143"/>
        <v>1.5402366592183556E-12</v>
      </c>
      <c r="AL136" s="20">
        <f t="shared" si="112"/>
        <v>2.8617333882306215E-12</v>
      </c>
      <c r="AM136" s="59">
        <f t="shared" si="113"/>
        <v>288.23690539112619</v>
      </c>
      <c r="AN136" s="59">
        <f ca="1">AVERAGE(OFFSET($AM$3,0,0,'Données projet'!$E$10+1,1))-AVERAGE(OFFSET($H$3,0,0,'Données projet'!$E$10+1,1))</f>
        <v>323.67375363913726</v>
      </c>
      <c r="AO136" s="59">
        <f t="shared" si="144"/>
        <v>266.03902815735029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53.293288431594135</v>
      </c>
      <c r="AV136" s="21">
        <f>EXP(-LN(2)/25)*AV135+(1-EXP(-LN(2)/25))/(LN(2)/25)*Calculateur!AQ136*Calculateur!AS136*VLOOKUP('Données projet'!$B$10,Paramètres!$A$1:$I$89,3,0)*0.475*44/12</f>
        <v>12.11868902133441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65.411977452928539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68.610065106670007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371.46495716091965</v>
      </c>
      <c r="BJ136" s="59">
        <f t="shared" si="146"/>
        <v>579.95059529269417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38.890752187282558</v>
      </c>
      <c r="BQ136" s="21">
        <f>EXP(-LN(2)/25)*BQ135+(1-EXP(-LN(2)/25))/(LN(2)/25)*Calculateur!BL136*Calculateur!BN136*VLOOKUP('Données projet'!$B$11,Paramètres!$A$1:$I$89,3,0)*0.475*44/12</f>
        <v>6.0058053941093306</v>
      </c>
      <c r="BR136" s="21">
        <f>EXP(-LN(2)/2)*BR135+(1-EXP(-LN(2)/2))/(LN(2)/2)*BL136*BO136*VLOOKUP('Données projet'!$B$11,Paramètres!$A$1:$I$89,3,0)*0.475*44/12</f>
        <v>2.2073353567765862E-12</v>
      </c>
      <c r="BS136" s="22">
        <f t="shared" si="117"/>
        <v>44.896557581394099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68.610065106670007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180.18752244216969</v>
      </c>
      <c r="CE136" s="59">
        <f t="shared" si="148"/>
        <v>350.12096474554676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46.961028375293047</v>
      </c>
      <c r="CL136" s="21">
        <f>EXP(-LN(2)/25)*CL135+(1-EXP(-LN(2)/25))/(LN(2)/25)*Calculateur!CG136*Calculateur!CI136*VLOOKUP('Données projet'!$B$12,Paramètres!$A$1:$I$89,3,0)*0.475*44/12</f>
        <v>10.708214412541576</v>
      </c>
      <c r="CM136" s="21">
        <f>EXP(-LN(2)/2)*CM135+(1-EXP(-LN(2)/2))/(LN(2)/2)*CG136*CJ136*VLOOKUP('Données projet'!$B$12,Paramètres!$A$1:$I$89,3,0)*0.475*44/12</f>
        <v>1.6770209764221123E-12</v>
      </c>
      <c r="CN136" s="22">
        <f t="shared" si="120"/>
        <v>57.669242787836296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68.610065106670007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5.6843418860808015E-14</v>
      </c>
      <c r="CU136" s="17">
        <f>CT136*VLOOKUP('Données projet'!$B$13,Paramètres!$A$1:$I$89,3,0)*VLOOKUP('Données projet'!$B$13,Paramètres!$A$1:$I$89,5,0)</f>
        <v>4.5224624045658861E-14</v>
      </c>
      <c r="CV136" s="13">
        <f t="shared" si="149"/>
        <v>7.4514601661523691E-13</v>
      </c>
      <c r="CW136" s="20">
        <f t="shared" si="121"/>
        <v>1.3765621991510601E-12</v>
      </c>
      <c r="CX136" s="59">
        <f t="shared" si="122"/>
        <v>288.23690539112471</v>
      </c>
      <c r="CY136" s="59">
        <f ca="1">AVERAGE(OFFSET($CX$3,0,0,'Données projet'!$E$13+1,1))-AVERAGE(OFFSET($H$3,0,0,'Données projet'!$E$13+1,1))</f>
        <v>284.31574332240928</v>
      </c>
      <c r="CZ136" s="59">
        <f t="shared" si="150"/>
        <v>403.96994631683913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197.75240757751354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197.75240757751354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68.610065106670007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190.9519472160006</v>
      </c>
      <c r="DU136" s="59">
        <f t="shared" si="152"/>
        <v>170.61553500287511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42.343414897473686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42.343414897473686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68.610065106670007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>
        <f>EJ136*VLOOKUP('Données projet'!$B$15,Paramètres!$A$1:$I$89,3,0)*VLOOKUP('Données projet'!$B$15,Paramètres!$A$1:$I$89,5,0)</f>
        <v>0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331.94255128154623</v>
      </c>
      <c r="EP136" s="59">
        <f t="shared" si="154"/>
        <v>258.40809812013964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541.0157357769267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541.0157357769267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68.610065106670007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>
        <f>FE136*VLOOKUP('Données projet'!$B$16,Paramètres!$A$1:$I$89,3,0)*VLOOKUP('Données projet'!$B$16,Paramètres!$A$1:$I$89,5,0)</f>
        <v>0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290.72311302449236</v>
      </c>
      <c r="FK136" s="59">
        <f t="shared" si="156"/>
        <v>352.32552988394434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162.76162739894667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162.76162739894667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68.610065106670007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>
        <f>FZ136*VLOOKUP('Données projet'!$B$17,Paramètres!$A$1:$I$89,3,0)*VLOOKUP('Données projet'!$B$17,Paramètres!$A$1:$I$89,5,0)</f>
        <v>0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123.03972959251965</v>
      </c>
      <c r="GF136" s="59">
        <f t="shared" si="158"/>
        <v>178.27657680839445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35.377210771193432</v>
      </c>
      <c r="GM136" s="21">
        <f>EXP(-LN(2)/25)*GM135+(1-EXP(-LN(2)/25))/(LN(2)/25)*Calculateur!GH136*Calculateur!GJ136*VLOOKUP('Données projet'!$B$17,Paramètres!$A$1:$I$89,3,0)*0.475*44/12</f>
        <v>5.8563726073155689</v>
      </c>
      <c r="GN136" s="21">
        <f>EXP(-LN(2)/2)*GN135+(1-EXP(-LN(2)/2))/(LN(2)/2)*GH136*GK136*VLOOKUP('Données projet'!$B$17,Paramètres!$A$1:$I$89,3,0)*0.475*44/12</f>
        <v>3.3657418130090109E-9</v>
      </c>
      <c r="GO136" s="21">
        <f t="shared" si="135"/>
        <v>41.233583381874745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68.610065106670007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-4.5474735088646412E-13</v>
      </c>
      <c r="GV136" s="17">
        <f>GU136*VLOOKUP('Données projet'!$B$18,Paramètres!$A$1:$I$89,3,0)*VLOOKUP('Données projet'!$B$18,Paramètres!$A$1:$I$89,5,0)</f>
        <v>-3.0504452297464016E-13</v>
      </c>
      <c r="GW136" s="13" t="e">
        <f t="shared" si="159"/>
        <v>#NUM!</v>
      </c>
      <c r="GX136" s="20" t="e">
        <f t="shared" si="136"/>
        <v>#NUM!</v>
      </c>
      <c r="GY136" s="59" t="e">
        <f t="shared" si="137"/>
        <v>#NUM!</v>
      </c>
      <c r="GZ136" s="59">
        <f ca="1">AVERAGE(OFFSET($GY$3,0,0,'Données projet'!$E$18+1,1))-AVERAGE(OFFSET($H$3,0,0,'Données projet'!$E$18+1,1))</f>
        <v>542.25674729323623</v>
      </c>
      <c r="HA136" s="59">
        <f t="shared" si="160"/>
        <v>614.73906555680685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218.94647689514679</v>
      </c>
      <c r="HH136" s="21">
        <f>EXP(-LN(2)/25)*HH135+(1-EXP(-LN(2)/25))/(LN(2)/25)*Calculateur!HC136*Calculateur!HE136*VLOOKUP('Données projet'!$B$18,Paramètres!$A$1:$I$89,3,0)*0.475*44/12</f>
        <v>0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218.94647689514679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2.8499999999999996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10.449999999999998</v>
      </c>
      <c r="H137" s="67">
        <f t="shared" si="110"/>
        <v>214.86666666666667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68.634177369640383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-1.0231815394945443E-12</v>
      </c>
      <c r="O137" s="13">
        <f>N137*VLOOKUP('Données projet'!$B$9,Paramètres!$A$1:$I$89,3,0)*VLOOKUP('Données projet'!$B$9,Paramètres!$A$1:$I$89,5,0)</f>
        <v>-8.9385139290243408E-13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686.80970545599644</v>
      </c>
      <c r="T137" s="59">
        <f t="shared" si="142"/>
        <v>636.16485232937737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59.580310397580313</v>
      </c>
      <c r="AA137" s="21">
        <f>EXP(-LN(2)/25)*AA136+(1-EXP(-LN(2)/25))/(LN(2)/25)*Calculateur!V137*Calculateur!X137*VLOOKUP('Données projet'!$B$9,Paramètres!$A$1:$I$89,3,0)*0.475*44/12</f>
        <v>5.1063364156527378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64.686646813233054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68.634177369640383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1.1368683772161603E-13</v>
      </c>
      <c r="AJ137" s="13">
        <f>AI137*VLOOKUP('Données projet'!$B$10,Paramètres!$A$1:$I$89,3,0)*VLOOKUP('Données projet'!$B$10,Paramètres!$A$1:$I$89,5,0)</f>
        <v>1.0286385077051818E-13</v>
      </c>
      <c r="AK137" s="13">
        <f t="shared" si="143"/>
        <v>1.5402366592183556E-12</v>
      </c>
      <c r="AL137" s="20">
        <f t="shared" si="112"/>
        <v>2.8617333882306215E-12</v>
      </c>
      <c r="AM137" s="59">
        <f t="shared" si="113"/>
        <v>288.3253170220176</v>
      </c>
      <c r="AN137" s="59">
        <f ca="1">AVERAGE(OFFSET($AM$3,0,0,'Données projet'!$E$10+1,1))-AVERAGE(OFFSET($H$3,0,0,'Données projet'!$E$10+1,1))</f>
        <v>323.67375363913726</v>
      </c>
      <c r="AO137" s="59">
        <f t="shared" si="144"/>
        <v>266.03902815735029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52.248239551146845</v>
      </c>
      <c r="AV137" s="21">
        <f>EXP(-LN(2)/25)*AV136+(1-EXP(-LN(2)/25))/(LN(2)/25)*Calculateur!AQ137*Calculateur!AS137*VLOOKUP('Données projet'!$B$10,Paramètres!$A$1:$I$89,3,0)*0.475*44/12</f>
        <v>11.787302832751863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64.035542383898701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68.634177369640383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371.46495716091965</v>
      </c>
      <c r="BJ137" s="59">
        <f t="shared" si="146"/>
        <v>579.95059529269417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38.128128257906525</v>
      </c>
      <c r="BQ137" s="21">
        <f>EXP(-LN(2)/25)*BQ136+(1-EXP(-LN(2)/25))/(LN(2)/25)*Calculateur!BL137*Calculateur!BN137*VLOOKUP('Données projet'!$B$11,Paramètres!$A$1:$I$89,3,0)*0.475*44/12</f>
        <v>5.8415763297758314</v>
      </c>
      <c r="BR137" s="21">
        <f>EXP(-LN(2)/2)*BR136+(1-EXP(-LN(2)/2))/(LN(2)/2)*BL137*BO137*VLOOKUP('Données projet'!$B$11,Paramètres!$A$1:$I$89,3,0)*0.475*44/12</f>
        <v>1.5608217991295514E-12</v>
      </c>
      <c r="BS137" s="22">
        <f t="shared" si="117"/>
        <v>43.969704587683921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68.634177369640383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180.18752244216969</v>
      </c>
      <c r="CE137" s="59">
        <f t="shared" si="148"/>
        <v>350.12096474554676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46.040151252252556</v>
      </c>
      <c r="CL137" s="21">
        <f>EXP(-LN(2)/25)*CL136+(1-EXP(-LN(2)/25))/(LN(2)/25)*Calculateur!CG137*Calculateur!CI137*VLOOKUP('Données projet'!$B$12,Paramètres!$A$1:$I$89,3,0)*0.475*44/12</f>
        <v>10.415397726310104</v>
      </c>
      <c r="CM137" s="21">
        <f>EXP(-LN(2)/2)*CM136+(1-EXP(-LN(2)/2))/(LN(2)/2)*CG137*CJ137*VLOOKUP('Données projet'!$B$12,Paramètres!$A$1:$I$89,3,0)*0.475*44/12</f>
        <v>1.1858329046201608E-12</v>
      </c>
      <c r="CN137" s="22">
        <f t="shared" si="120"/>
        <v>56.455548978563847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68.634177369640383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5.6843418860808015E-14</v>
      </c>
      <c r="CU137" s="17">
        <f>CT137*VLOOKUP('Données projet'!$B$13,Paramètres!$A$1:$I$89,3,0)*VLOOKUP('Données projet'!$B$13,Paramètres!$A$1:$I$89,5,0)</f>
        <v>4.5224624045658861E-14</v>
      </c>
      <c r="CV137" s="13">
        <f t="shared" si="149"/>
        <v>7.4514601661523691E-13</v>
      </c>
      <c r="CW137" s="20">
        <f t="shared" si="121"/>
        <v>1.3765621991510601E-12</v>
      </c>
      <c r="CX137" s="59">
        <f t="shared" si="122"/>
        <v>288.32531702201612</v>
      </c>
      <c r="CY137" s="59">
        <f ca="1">AVERAGE(OFFSET($CX$3,0,0,'Données projet'!$E$13+1,1))-AVERAGE(OFFSET($H$3,0,0,'Données projet'!$E$13+1,1))</f>
        <v>284.31574332240928</v>
      </c>
      <c r="CZ137" s="59">
        <f t="shared" si="150"/>
        <v>403.96994631683913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193.87460348197718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193.87460348197718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68.634177369640383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190.9519472160006</v>
      </c>
      <c r="DU137" s="59">
        <f t="shared" si="152"/>
        <v>170.61553500287511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41.513086358267117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41.513086358267117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68.634177369640383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>
        <f>EJ137*VLOOKUP('Données projet'!$B$15,Paramètres!$A$1:$I$89,3,0)*VLOOKUP('Données projet'!$B$15,Paramètres!$A$1:$I$89,5,0)</f>
        <v>0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331.94255128154623</v>
      </c>
      <c r="EP137" s="59">
        <f t="shared" si="154"/>
        <v>258.40809812013964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530.40674718535649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530.40674718535649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68.634177369640383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>
        <f>FE137*VLOOKUP('Données projet'!$B$16,Paramètres!$A$1:$I$89,3,0)*VLOOKUP('Données projet'!$B$16,Paramètres!$A$1:$I$89,5,0)</f>
        <v>0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290.72311302449236</v>
      </c>
      <c r="FK137" s="59">
        <f t="shared" si="156"/>
        <v>352.32552988394434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159.56997116044346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159.56997116044346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68.634177369640383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>
        <f>FZ137*VLOOKUP('Données projet'!$B$17,Paramètres!$A$1:$I$89,3,0)*VLOOKUP('Données projet'!$B$17,Paramètres!$A$1:$I$89,5,0)</f>
        <v>0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123.03972959251965</v>
      </c>
      <c r="GF137" s="59">
        <f t="shared" si="158"/>
        <v>178.27657680839445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34.68348524593825</v>
      </c>
      <c r="GM137" s="21">
        <f>EXP(-LN(2)/25)*GM136+(1-EXP(-LN(2)/25))/(LN(2)/25)*Calculateur!GH137*Calculateur!GJ137*VLOOKUP('Données projet'!$B$17,Paramètres!$A$1:$I$89,3,0)*0.475*44/12</f>
        <v>5.6962297903952743</v>
      </c>
      <c r="GN137" s="21">
        <f>EXP(-LN(2)/2)*GN136+(1-EXP(-LN(2)/2))/(LN(2)/2)*GH137*GK137*VLOOKUP('Données projet'!$B$17,Paramètres!$A$1:$I$89,3,0)*0.475*44/12</f>
        <v>2.3799388597017764E-9</v>
      </c>
      <c r="GO137" s="21">
        <f t="shared" si="135"/>
        <v>40.379715038713464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68.634177369640383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-4.5474735088646412E-13</v>
      </c>
      <c r="GV137" s="17">
        <f>GU137*VLOOKUP('Données projet'!$B$18,Paramètres!$A$1:$I$89,3,0)*VLOOKUP('Données projet'!$B$18,Paramètres!$A$1:$I$89,5,0)</f>
        <v>-3.0504452297464016E-13</v>
      </c>
      <c r="GW137" s="13" t="e">
        <f t="shared" si="159"/>
        <v>#NUM!</v>
      </c>
      <c r="GX137" s="20" t="e">
        <f t="shared" si="136"/>
        <v>#NUM!</v>
      </c>
      <c r="GY137" s="59" t="e">
        <f t="shared" si="137"/>
        <v>#NUM!</v>
      </c>
      <c r="GZ137" s="59">
        <f ca="1">AVERAGE(OFFSET($GY$3,0,0,'Données projet'!$E$18+1,1))-AVERAGE(OFFSET($H$3,0,0,'Données projet'!$E$18+1,1))</f>
        <v>542.25674729323623</v>
      </c>
      <c r="HA137" s="59">
        <f t="shared" si="160"/>
        <v>614.73906555680685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214.65307002739746</v>
      </c>
      <c r="HH137" s="21">
        <f>EXP(-LN(2)/25)*HH136+(1-EXP(-LN(2)/25))/(LN(2)/25)*Calculateur!HC137*Calculateur!HE137*VLOOKUP('Données projet'!$B$18,Paramètres!$A$1:$I$89,3,0)*0.475*44/12</f>
        <v>0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214.65307002739746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2.8499999999999996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10.449999999999998</v>
      </c>
      <c r="H138" s="67">
        <f t="shared" si="110"/>
        <v>214.86666666666667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68.657871338755172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-1.0231815394945443E-12</v>
      </c>
      <c r="O138" s="13">
        <f>N138*VLOOKUP('Données projet'!$B$9,Paramètres!$A$1:$I$89,3,0)*VLOOKUP('Données projet'!$B$9,Paramètres!$A$1:$I$89,5,0)</f>
        <v>-8.9385139290243408E-13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686.80970545599644</v>
      </c>
      <c r="T138" s="59">
        <f t="shared" si="142"/>
        <v>636.16485232937737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58.411976851084788</v>
      </c>
      <c r="AA138" s="21">
        <f>EXP(-LN(2)/25)*AA137+(1-EXP(-LN(2)/25))/(LN(2)/25)*Calculateur!V138*Calculateur!X138*VLOOKUP('Données projet'!$B$9,Paramètres!$A$1:$I$89,3,0)*0.475*44/12</f>
        <v>4.9667033778361525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63.378680228920942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68.657871338755172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1.1368683772161603E-13</v>
      </c>
      <c r="AJ138" s="13">
        <f>AI138*VLOOKUP('Données projet'!$B$10,Paramètres!$A$1:$I$89,3,0)*VLOOKUP('Données projet'!$B$10,Paramètres!$A$1:$I$89,5,0)</f>
        <v>1.0286385077051818E-13</v>
      </c>
      <c r="AK138" s="13">
        <f t="shared" si="143"/>
        <v>1.5402366592183556E-12</v>
      </c>
      <c r="AL138" s="20">
        <f t="shared" si="112"/>
        <v>2.8617333882306215E-12</v>
      </c>
      <c r="AM138" s="59">
        <f t="shared" si="113"/>
        <v>288.41219490877182</v>
      </c>
      <c r="AN138" s="59">
        <f ca="1">AVERAGE(OFFSET($AM$3,0,0,'Données projet'!$E$10+1,1))-AVERAGE(OFFSET($H$3,0,0,'Données projet'!$E$10+1,1))</f>
        <v>323.67375363913726</v>
      </c>
      <c r="AO138" s="59">
        <f t="shared" si="144"/>
        <v>266.03902815735029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51.22368344182825</v>
      </c>
      <c r="AV138" s="21">
        <f>EXP(-LN(2)/25)*AV137+(1-EXP(-LN(2)/25))/(LN(2)/25)*Calculateur!AQ138*Calculateur!AS138*VLOOKUP('Données projet'!$B$10,Paramètres!$A$1:$I$89,3,0)*0.475*44/12</f>
        <v>11.464978416922946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62.688661858751196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68.657871338755172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371.46495716091965</v>
      </c>
      <c r="BJ138" s="59">
        <f t="shared" si="146"/>
        <v>579.95059529269417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37.380458918630893</v>
      </c>
      <c r="BQ138" s="21">
        <f>EXP(-LN(2)/25)*BQ137+(1-EXP(-LN(2)/25))/(LN(2)/25)*Calculateur!BL138*Calculateur!BN138*VLOOKUP('Données projet'!$B$11,Paramètres!$A$1:$I$89,3,0)*0.475*44/12</f>
        <v>5.6818381178429629</v>
      </c>
      <c r="BR138" s="21">
        <f>EXP(-LN(2)/2)*BR137+(1-EXP(-LN(2)/2))/(LN(2)/2)*BL138*BO138*VLOOKUP('Données projet'!$B$11,Paramètres!$A$1:$I$89,3,0)*0.475*44/12</f>
        <v>1.1036676783882931E-12</v>
      </c>
      <c r="BS138" s="22">
        <f t="shared" si="117"/>
        <v>43.062297036474959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68.657871338755172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180.18752244216969</v>
      </c>
      <c r="CE138" s="59">
        <f t="shared" si="148"/>
        <v>350.12096474554676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45.137331967915308</v>
      </c>
      <c r="CL138" s="21">
        <f>EXP(-LN(2)/25)*CL137+(1-EXP(-LN(2)/25))/(LN(2)/25)*Calculateur!CG138*Calculateur!CI138*VLOOKUP('Données projet'!$B$12,Paramètres!$A$1:$I$89,3,0)*0.475*44/12</f>
        <v>10.130588127762193</v>
      </c>
      <c r="CM138" s="21">
        <f>EXP(-LN(2)/2)*CM137+(1-EXP(-LN(2)/2))/(LN(2)/2)*CG138*CJ138*VLOOKUP('Données projet'!$B$12,Paramètres!$A$1:$I$89,3,0)*0.475*44/12</f>
        <v>8.3851048821105615E-13</v>
      </c>
      <c r="CN138" s="22">
        <f t="shared" si="120"/>
        <v>55.267920095678342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68.657871338755172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5.6843418860808015E-14</v>
      </c>
      <c r="CU138" s="17">
        <f>CT138*VLOOKUP('Données projet'!$B$13,Paramètres!$A$1:$I$89,3,0)*VLOOKUP('Données projet'!$B$13,Paramètres!$A$1:$I$89,5,0)</f>
        <v>4.5224624045658861E-14</v>
      </c>
      <c r="CV138" s="13">
        <f t="shared" si="149"/>
        <v>7.4514601661523691E-13</v>
      </c>
      <c r="CW138" s="20">
        <f t="shared" si="121"/>
        <v>1.3765621991510601E-12</v>
      </c>
      <c r="CX138" s="59">
        <f t="shared" si="122"/>
        <v>288.41219490877035</v>
      </c>
      <c r="CY138" s="59">
        <f ca="1">AVERAGE(OFFSET($CX$3,0,0,'Données projet'!$E$13+1,1))-AVERAGE(OFFSET($H$3,0,0,'Données projet'!$E$13+1,1))</f>
        <v>284.31574332240928</v>
      </c>
      <c r="CZ138" s="59">
        <f t="shared" si="150"/>
        <v>403.96994631683913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190.07284075952734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190.07284075952734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68.657871338755172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190.9519472160006</v>
      </c>
      <c r="DU138" s="59">
        <f t="shared" si="152"/>
        <v>170.61553500287511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40.699040055263985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40.699040055263985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68.657871338755172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>
        <f>EJ138*VLOOKUP('Données projet'!$B$15,Paramètres!$A$1:$I$89,3,0)*VLOOKUP('Données projet'!$B$15,Paramètres!$A$1:$I$89,5,0)</f>
        <v>0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331.94255128154623</v>
      </c>
      <c r="EP138" s="59">
        <f t="shared" si="154"/>
        <v>258.40809812013964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520.00579438922284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520.00579438922284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68.657871338755172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>
        <f>FE138*VLOOKUP('Données projet'!$B$16,Paramètres!$A$1:$I$89,3,0)*VLOOKUP('Données projet'!$B$16,Paramètres!$A$1:$I$89,5,0)</f>
        <v>0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290.72311302449236</v>
      </c>
      <c r="FK138" s="59">
        <f t="shared" si="156"/>
        <v>352.32552988394434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156.44090135405921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156.44090135405921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68.657871338755172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>
        <f>FZ138*VLOOKUP('Données projet'!$B$17,Paramètres!$A$1:$I$89,3,0)*VLOOKUP('Données projet'!$B$17,Paramètres!$A$1:$I$89,5,0)</f>
        <v>0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123.03972959251965</v>
      </c>
      <c r="GF138" s="59">
        <f t="shared" si="158"/>
        <v>178.27657680839445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34.003363255102535</v>
      </c>
      <c r="GM138" s="21">
        <f>EXP(-LN(2)/25)*GM137+(1-EXP(-LN(2)/25))/(LN(2)/25)*Calculateur!GH138*Calculateur!GJ138*VLOOKUP('Données projet'!$B$17,Paramètres!$A$1:$I$89,3,0)*0.475*44/12</f>
        <v>5.5404660872252096</v>
      </c>
      <c r="GN138" s="21">
        <f>EXP(-LN(2)/2)*GN137+(1-EXP(-LN(2)/2))/(LN(2)/2)*GH138*GK138*VLOOKUP('Données projet'!$B$17,Paramètres!$A$1:$I$89,3,0)*0.475*44/12</f>
        <v>1.6828709065045055E-9</v>
      </c>
      <c r="GO138" s="21">
        <f t="shared" si="135"/>
        <v>39.543829344010618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68.657871338755172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-4.5474735088646412E-13</v>
      </c>
      <c r="GV138" s="17">
        <f>GU138*VLOOKUP('Données projet'!$B$18,Paramètres!$A$1:$I$89,3,0)*VLOOKUP('Données projet'!$B$18,Paramètres!$A$1:$I$89,5,0)</f>
        <v>-3.0504452297464016E-13</v>
      </c>
      <c r="GW138" s="13" t="e">
        <f t="shared" si="159"/>
        <v>#NUM!</v>
      </c>
      <c r="GX138" s="20" t="e">
        <f t="shared" si="136"/>
        <v>#NUM!</v>
      </c>
      <c r="GY138" s="59" t="e">
        <f t="shared" si="137"/>
        <v>#NUM!</v>
      </c>
      <c r="GZ138" s="59">
        <f ca="1">AVERAGE(OFFSET($GY$3,0,0,'Données projet'!$E$18+1,1))-AVERAGE(OFFSET($H$3,0,0,'Données projet'!$E$18+1,1))</f>
        <v>542.25674729323623</v>
      </c>
      <c r="HA138" s="59">
        <f t="shared" si="160"/>
        <v>614.73906555680685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210.4438542496051</v>
      </c>
      <c r="HH138" s="21">
        <f>EXP(-LN(2)/25)*HH137+(1-EXP(-LN(2)/25))/(LN(2)/25)*Calculateur!HC138*Calculateur!HE138*VLOOKUP('Données projet'!$B$18,Paramètres!$A$1:$I$89,3,0)*0.475*44/12</f>
        <v>0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210.4438542496051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2.8499999999999996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10.449999999999998</v>
      </c>
      <c r="H139" s="67">
        <f t="shared" si="110"/>
        <v>214.86666666666667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68.681154270477606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-1.0231815394945443E-12</v>
      </c>
      <c r="O139" s="13">
        <f>N139*VLOOKUP('Données projet'!$B$9,Paramètres!$A$1:$I$89,3,0)*VLOOKUP('Données projet'!$B$9,Paramètres!$A$1:$I$89,5,0)</f>
        <v>-8.9385139290243408E-13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686.80970545599644</v>
      </c>
      <c r="T139" s="59">
        <f t="shared" si="142"/>
        <v>636.16485232937737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57.266553612822939</v>
      </c>
      <c r="AA139" s="21">
        <f>EXP(-LN(2)/25)*AA138+(1-EXP(-LN(2)/25))/(LN(2)/25)*Calculateur!V139*Calculateur!X139*VLOOKUP('Données projet'!$B$9,Paramètres!$A$1:$I$89,3,0)*0.475*44/12</f>
        <v>4.8308886127816439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62.097442225604581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68.681154270477606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1.1368683772161603E-13</v>
      </c>
      <c r="AJ139" s="13">
        <f>AI139*VLOOKUP('Données projet'!$B$10,Paramètres!$A$1:$I$89,3,0)*VLOOKUP('Données projet'!$B$10,Paramètres!$A$1:$I$89,5,0)</f>
        <v>1.0286385077051818E-13</v>
      </c>
      <c r="AK139" s="13">
        <f t="shared" si="143"/>
        <v>1.5402366592183556E-12</v>
      </c>
      <c r="AL139" s="20">
        <f t="shared" si="112"/>
        <v>2.8617333882306215E-12</v>
      </c>
      <c r="AM139" s="59">
        <f t="shared" si="113"/>
        <v>288.49756565842074</v>
      </c>
      <c r="AN139" s="59">
        <f ca="1">AVERAGE(OFFSET($AM$3,0,0,'Données projet'!$E$10+1,1))-AVERAGE(OFFSET($H$3,0,0,'Données projet'!$E$10+1,1))</f>
        <v>323.67375363913726</v>
      </c>
      <c r="AO139" s="59">
        <f t="shared" si="144"/>
        <v>266.03902815735029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50.219218252895871</v>
      </c>
      <c r="AV139" s="21">
        <f>EXP(-LN(2)/25)*AV138+(1-EXP(-LN(2)/25))/(LN(2)/25)*Calculateur!AQ139*Calculateur!AS139*VLOOKUP('Données projet'!$B$10,Paramètres!$A$1:$I$89,3,0)*0.475*44/12</f>
        <v>11.151467979195177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61.370686232091046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68.681154270477606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371.46495716091965</v>
      </c>
      <c r="BJ139" s="59">
        <f t="shared" si="146"/>
        <v>579.95059529269417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36.647450919065186</v>
      </c>
      <c r="BQ139" s="21">
        <f>EXP(-LN(2)/25)*BQ138+(1-EXP(-LN(2)/25))/(LN(2)/25)*Calculateur!BL139*Calculateur!BN139*VLOOKUP('Données projet'!$B$11,Paramètres!$A$1:$I$89,3,0)*0.475*44/12</f>
        <v>5.5264679557156668</v>
      </c>
      <c r="BR139" s="21">
        <f>EXP(-LN(2)/2)*BR138+(1-EXP(-LN(2)/2))/(LN(2)/2)*BL139*BO139*VLOOKUP('Données projet'!$B$11,Paramètres!$A$1:$I$89,3,0)*0.475*44/12</f>
        <v>7.8041089956477569E-13</v>
      </c>
      <c r="BS139" s="22">
        <f t="shared" si="117"/>
        <v>42.173918874781634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68.681154270477606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180.18752244216969</v>
      </c>
      <c r="CE139" s="59">
        <f t="shared" si="148"/>
        <v>350.12096474554676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44.252216419078522</v>
      </c>
      <c r="CL139" s="21">
        <f>EXP(-LN(2)/25)*CL138+(1-EXP(-LN(2)/25))/(LN(2)/25)*Calculateur!CG139*Calculateur!CI139*VLOOKUP('Données projet'!$B$12,Paramètres!$A$1:$I$89,3,0)*0.475*44/12</f>
        <v>9.8535666626640595</v>
      </c>
      <c r="CM139" s="21">
        <f>EXP(-LN(2)/2)*CM138+(1-EXP(-LN(2)/2))/(LN(2)/2)*CG139*CJ139*VLOOKUP('Données projet'!$B$12,Paramètres!$A$1:$I$89,3,0)*0.475*44/12</f>
        <v>5.9291645231008042E-13</v>
      </c>
      <c r="CN139" s="22">
        <f t="shared" si="120"/>
        <v>54.105783081743169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68.681154270477606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5.6843418860808015E-14</v>
      </c>
      <c r="CU139" s="17">
        <f>CT139*VLOOKUP('Données projet'!$B$13,Paramètres!$A$1:$I$89,3,0)*VLOOKUP('Données projet'!$B$13,Paramètres!$A$1:$I$89,5,0)</f>
        <v>4.5224624045658861E-14</v>
      </c>
      <c r="CV139" s="13">
        <f t="shared" si="149"/>
        <v>7.4514601661523691E-13</v>
      </c>
      <c r="CW139" s="20">
        <f t="shared" si="121"/>
        <v>1.3765621991510601E-12</v>
      </c>
      <c r="CX139" s="59">
        <f t="shared" si="122"/>
        <v>288.49756565841926</v>
      </c>
      <c r="CY139" s="59">
        <f ca="1">AVERAGE(OFFSET($CX$3,0,0,'Données projet'!$E$13+1,1))-AVERAGE(OFFSET($H$3,0,0,'Données projet'!$E$13+1,1))</f>
        <v>284.31574332240928</v>
      </c>
      <c r="CZ139" s="59">
        <f t="shared" si="150"/>
        <v>403.96994631683913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186.34562828521845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186.34562828521845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68.681154270477606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190.9519472160006</v>
      </c>
      <c r="DU139" s="59">
        <f t="shared" si="152"/>
        <v>170.61553500287511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39.900956703743532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39.900956703743532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68.681154270477606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>
        <f>EJ139*VLOOKUP('Données projet'!$B$15,Paramètres!$A$1:$I$89,3,0)*VLOOKUP('Données projet'!$B$15,Paramètres!$A$1:$I$89,5,0)</f>
        <v>0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331.94255128154623</v>
      </c>
      <c r="EP139" s="59">
        <f t="shared" si="154"/>
        <v>258.40809812013964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509.80879793346662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509.80879793346662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68.681154270477606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>
        <f>FE139*VLOOKUP('Données projet'!$B$16,Paramètres!$A$1:$I$89,3,0)*VLOOKUP('Données projet'!$B$16,Paramètres!$A$1:$I$89,5,0)</f>
        <v>0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290.72311302449236</v>
      </c>
      <c r="FK139" s="59">
        <f t="shared" si="156"/>
        <v>352.32552988394434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153.37319069803402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153.37319069803402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68.681154270477606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>
        <f>FZ139*VLOOKUP('Données projet'!$B$17,Paramètres!$A$1:$I$89,3,0)*VLOOKUP('Données projet'!$B$17,Paramètres!$A$1:$I$89,5,0)</f>
        <v>0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123.03972959251965</v>
      </c>
      <c r="GF139" s="59">
        <f t="shared" si="158"/>
        <v>178.27657680839445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33.336578041673654</v>
      </c>
      <c r="GM139" s="21">
        <f>EXP(-LN(2)/25)*GM138+(1-EXP(-LN(2)/25))/(LN(2)/25)*Calculateur!GH139*Calculateur!GJ139*VLOOKUP('Données projet'!$B$17,Paramètres!$A$1:$I$89,3,0)*0.475*44/12</f>
        <v>5.3889617507095879</v>
      </c>
      <c r="GN139" s="21">
        <f>EXP(-LN(2)/2)*GN138+(1-EXP(-LN(2)/2))/(LN(2)/2)*GH139*GK139*VLOOKUP('Données projet'!$B$17,Paramètres!$A$1:$I$89,3,0)*0.475*44/12</f>
        <v>1.1899694298508882E-9</v>
      </c>
      <c r="GO139" s="21">
        <f t="shared" si="135"/>
        <v>38.725539793573212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68.681154270477606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-4.5474735088646412E-13</v>
      </c>
      <c r="GV139" s="17">
        <f>GU139*VLOOKUP('Données projet'!$B$18,Paramètres!$A$1:$I$89,3,0)*VLOOKUP('Données projet'!$B$18,Paramètres!$A$1:$I$89,5,0)</f>
        <v>-3.0504452297464016E-13</v>
      </c>
      <c r="GW139" s="13" t="e">
        <f t="shared" si="159"/>
        <v>#NUM!</v>
      </c>
      <c r="GX139" s="20" t="e">
        <f t="shared" si="136"/>
        <v>#NUM!</v>
      </c>
      <c r="GY139" s="59" t="e">
        <f t="shared" si="137"/>
        <v>#NUM!</v>
      </c>
      <c r="GZ139" s="59">
        <f ca="1">AVERAGE(OFFSET($GY$3,0,0,'Données projet'!$E$18+1,1))-AVERAGE(OFFSET($H$3,0,0,'Données projet'!$E$18+1,1))</f>
        <v>542.25674729323623</v>
      </c>
      <c r="HA139" s="59">
        <f t="shared" si="160"/>
        <v>614.73906555680685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206.31717862584713</v>
      </c>
      <c r="HH139" s="21">
        <f>EXP(-LN(2)/25)*HH138+(1-EXP(-LN(2)/25))/(LN(2)/25)*Calculateur!HC139*Calculateur!HE139*VLOOKUP('Données projet'!$B$18,Paramètres!$A$1:$I$89,3,0)*0.475*44/12</f>
        <v>0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206.31717862584713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2.8499999999999996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10.449999999999998</v>
      </c>
      <c r="H140" s="67">
        <f t="shared" si="110"/>
        <v>214.86666666666667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68.704033295387475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-1.0231815394945443E-12</v>
      </c>
      <c r="O140" s="13">
        <f>N140*VLOOKUP('Données projet'!$B$9,Paramètres!$A$1:$I$89,3,0)*VLOOKUP('Données projet'!$B$9,Paramètres!$A$1:$I$89,5,0)</f>
        <v>-8.9385139290243408E-13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686.80970545599644</v>
      </c>
      <c r="T140" s="59">
        <f t="shared" si="142"/>
        <v>636.16485232937737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56.143591425624216</v>
      </c>
      <c r="AA140" s="21">
        <f>EXP(-LN(2)/25)*AA139+(1-EXP(-LN(2)/25))/(LN(2)/25)*Calculateur!V140*Calculateur!X140*VLOOKUP('Données projet'!$B$9,Paramètres!$A$1:$I$89,3,0)*0.475*44/12</f>
        <v>4.6987877096197392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60.842379135243952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68.704033295387475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1.1368683772161603E-13</v>
      </c>
      <c r="AJ140" s="13">
        <f>AI140*VLOOKUP('Données projet'!$B$10,Paramètres!$A$1:$I$89,3,0)*VLOOKUP('Données projet'!$B$10,Paramètres!$A$1:$I$89,5,0)</f>
        <v>1.0286385077051818E-13</v>
      </c>
      <c r="AK140" s="13">
        <f t="shared" si="143"/>
        <v>1.5402366592183556E-12</v>
      </c>
      <c r="AL140" s="20">
        <f t="shared" si="112"/>
        <v>2.8617333882306215E-12</v>
      </c>
      <c r="AM140" s="59">
        <f t="shared" si="113"/>
        <v>288.58145541642358</v>
      </c>
      <c r="AN140" s="59">
        <f ca="1">AVERAGE(OFFSET($AM$3,0,0,'Données projet'!$E$10+1,1))-AVERAGE(OFFSET($H$3,0,0,'Données projet'!$E$10+1,1))</f>
        <v>323.67375363913726</v>
      </c>
      <c r="AO140" s="59">
        <f t="shared" si="144"/>
        <v>266.03902815735029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49.234450013655184</v>
      </c>
      <c r="AV140" s="21">
        <f>EXP(-LN(2)/25)*AV139+(1-EXP(-LN(2)/25))/(LN(2)/25)*Calculateur!AQ140*Calculateur!AS140*VLOOKUP('Données projet'!$B$10,Paramètres!$A$1:$I$89,3,0)*0.475*44/12</f>
        <v>10.84653050087387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60.080980514529053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68.704033295387475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371.46495716091965</v>
      </c>
      <c r="BJ140" s="59">
        <f t="shared" si="146"/>
        <v>579.95059529269417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35.928816759280231</v>
      </c>
      <c r="BQ140" s="21">
        <f>EXP(-LN(2)/25)*BQ139+(1-EXP(-LN(2)/25))/(LN(2)/25)*Calculateur!BL140*Calculateur!BN140*VLOOKUP('Données projet'!$B$11,Paramètres!$A$1:$I$89,3,0)*0.475*44/12</f>
        <v>5.3753463988423027</v>
      </c>
      <c r="BR140" s="21">
        <f>EXP(-LN(2)/2)*BR139+(1-EXP(-LN(2)/2))/(LN(2)/2)*BL140*BO140*VLOOKUP('Données projet'!$B$11,Paramètres!$A$1:$I$89,3,0)*0.475*44/12</f>
        <v>5.5183383919414655E-13</v>
      </c>
      <c r="BS140" s="22">
        <f t="shared" si="117"/>
        <v>41.304163158123089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68.704033295387475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180.18752244216969</v>
      </c>
      <c r="CE140" s="59">
        <f t="shared" si="148"/>
        <v>350.12096474554676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43.38445744628725</v>
      </c>
      <c r="CL140" s="21">
        <f>EXP(-LN(2)/25)*CL139+(1-EXP(-LN(2)/25))/(LN(2)/25)*Calculateur!CG140*Calculateur!CI140*VLOOKUP('Données projet'!$B$12,Paramètres!$A$1:$I$89,3,0)*0.475*44/12</f>
        <v>9.584120364096961</v>
      </c>
      <c r="CM140" s="21">
        <f>EXP(-LN(2)/2)*CM139+(1-EXP(-LN(2)/2))/(LN(2)/2)*CG140*CJ140*VLOOKUP('Données projet'!$B$12,Paramètres!$A$1:$I$89,3,0)*0.475*44/12</f>
        <v>4.1925524410552808E-13</v>
      </c>
      <c r="CN140" s="22">
        <f t="shared" si="120"/>
        <v>52.96857781038463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68.704033295387475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5.6843418860808015E-14</v>
      </c>
      <c r="CU140" s="17">
        <f>CT140*VLOOKUP('Données projet'!$B$13,Paramètres!$A$1:$I$89,3,0)*VLOOKUP('Données projet'!$B$13,Paramètres!$A$1:$I$89,5,0)</f>
        <v>4.5224624045658861E-14</v>
      </c>
      <c r="CV140" s="13">
        <f t="shared" si="149"/>
        <v>7.4514601661523691E-13</v>
      </c>
      <c r="CW140" s="20">
        <f t="shared" si="121"/>
        <v>1.3765621991510601E-12</v>
      </c>
      <c r="CX140" s="59">
        <f t="shared" si="122"/>
        <v>288.5814554164221</v>
      </c>
      <c r="CY140" s="59">
        <f ca="1">AVERAGE(OFFSET($CX$3,0,0,'Données projet'!$E$13+1,1))-AVERAGE(OFFSET($H$3,0,0,'Données projet'!$E$13+1,1))</f>
        <v>284.31574332240928</v>
      </c>
      <c r="CZ140" s="59">
        <f t="shared" si="150"/>
        <v>403.96994631683913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182.69150417415563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182.69150417415563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68.704033295387475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190.9519472160006</v>
      </c>
      <c r="DU140" s="59">
        <f t="shared" si="152"/>
        <v>170.61553500287511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39.118523279963611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39.118523279963611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68.704033295387475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>
        <f>EJ140*VLOOKUP('Données projet'!$B$15,Paramètres!$A$1:$I$89,3,0)*VLOOKUP('Données projet'!$B$15,Paramètres!$A$1:$I$89,5,0)</f>
        <v>0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331.94255128154623</v>
      </c>
      <c r="EP140" s="59">
        <f t="shared" si="154"/>
        <v>258.40809812013964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499.81175835865406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499.81175835865406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68.704033295387475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>
        <f>FE140*VLOOKUP('Données projet'!$B$16,Paramètres!$A$1:$I$89,3,0)*VLOOKUP('Données projet'!$B$16,Paramètres!$A$1:$I$89,5,0)</f>
        <v>0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290.72311302449236</v>
      </c>
      <c r="FK140" s="59">
        <f t="shared" si="156"/>
        <v>352.32552988394434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150.36563597685478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150.36563597685478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68.704033295387475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>
        <f>FZ140*VLOOKUP('Données projet'!$B$17,Paramètres!$A$1:$I$89,3,0)*VLOOKUP('Données projet'!$B$17,Paramètres!$A$1:$I$89,5,0)</f>
        <v>0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123.03972959251965</v>
      </c>
      <c r="GF140" s="59">
        <f t="shared" si="158"/>
        <v>178.27657680839445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32.68286807958129</v>
      </c>
      <c r="GM140" s="21">
        <f>EXP(-LN(2)/25)*GM139+(1-EXP(-LN(2)/25))/(LN(2)/25)*Calculateur!GH140*Calculateur!GJ140*VLOOKUP('Données projet'!$B$17,Paramètres!$A$1:$I$89,3,0)*0.475*44/12</f>
        <v>5.2416003082432523</v>
      </c>
      <c r="GN140" s="21">
        <f>EXP(-LN(2)/2)*GN139+(1-EXP(-LN(2)/2))/(LN(2)/2)*GH140*GK140*VLOOKUP('Données projet'!$B$17,Paramètres!$A$1:$I$89,3,0)*0.475*44/12</f>
        <v>8.4143545325225273E-10</v>
      </c>
      <c r="GO140" s="21">
        <f t="shared" si="135"/>
        <v>37.924468388665979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68.704033295387475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-4.5474735088646412E-13</v>
      </c>
      <c r="GV140" s="17">
        <f>GU140*VLOOKUP('Données projet'!$B$18,Paramètres!$A$1:$I$89,3,0)*VLOOKUP('Données projet'!$B$18,Paramètres!$A$1:$I$89,5,0)</f>
        <v>-3.0504452297464016E-13</v>
      </c>
      <c r="GW140" s="13" t="e">
        <f t="shared" si="159"/>
        <v>#NUM!</v>
      </c>
      <c r="GX140" s="20" t="e">
        <f t="shared" si="136"/>
        <v>#NUM!</v>
      </c>
      <c r="GY140" s="59" t="e">
        <f t="shared" si="137"/>
        <v>#NUM!</v>
      </c>
      <c r="GZ140" s="59">
        <f ca="1">AVERAGE(OFFSET($GY$3,0,0,'Données projet'!$E$18+1,1))-AVERAGE(OFFSET($H$3,0,0,'Données projet'!$E$18+1,1))</f>
        <v>542.25674729323623</v>
      </c>
      <c r="HA140" s="59">
        <f t="shared" si="160"/>
        <v>614.73906555680685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202.27142459404746</v>
      </c>
      <c r="HH140" s="21">
        <f>EXP(-LN(2)/25)*HH139+(1-EXP(-LN(2)/25))/(LN(2)/25)*Calculateur!HC140*Calculateur!HE140*VLOOKUP('Données projet'!$B$18,Paramètres!$A$1:$I$89,3,0)*0.475*44/12</f>
        <v>0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202.27142459404746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2.8499999999999996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10.449999999999998</v>
      </c>
      <c r="H141" s="67">
        <f t="shared" si="110"/>
        <v>214.86666666666667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68.726515420365018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-1.0231815394945443E-12</v>
      </c>
      <c r="O141" s="13">
        <f>N141*VLOOKUP('Données projet'!$B$9,Paramètres!$A$1:$I$89,3,0)*VLOOKUP('Données projet'!$B$9,Paramètres!$A$1:$I$89,5,0)</f>
        <v>-8.9385139290243408E-13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686.80970545599644</v>
      </c>
      <c r="T141" s="59">
        <f t="shared" si="142"/>
        <v>636.16485232937737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55.042649841977159</v>
      </c>
      <c r="AA141" s="21">
        <f>EXP(-LN(2)/25)*AA140+(1-EXP(-LN(2)/25))/(LN(2)/25)*Calculateur!V141*Calculateur!X141*VLOOKUP('Données projet'!$B$9,Paramètres!$A$1:$I$89,3,0)*0.475*44/12</f>
        <v>4.5702991126016812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59.61294895457884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68.726515420365018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1.1368683772161603E-13</v>
      </c>
      <c r="AJ141" s="13">
        <f>AI141*VLOOKUP('Données projet'!$B$10,Paramètres!$A$1:$I$89,3,0)*VLOOKUP('Données projet'!$B$10,Paramètres!$A$1:$I$89,5,0)</f>
        <v>1.0286385077051818E-13</v>
      </c>
      <c r="AK141" s="13">
        <f t="shared" si="143"/>
        <v>1.5402366592183556E-12</v>
      </c>
      <c r="AL141" s="20">
        <f t="shared" si="112"/>
        <v>2.8617333882306215E-12</v>
      </c>
      <c r="AM141" s="59">
        <f t="shared" si="113"/>
        <v>288.66388987467457</v>
      </c>
      <c r="AN141" s="59">
        <f ca="1">AVERAGE(OFFSET($AM$3,0,0,'Données projet'!$E$10+1,1))-AVERAGE(OFFSET($H$3,0,0,'Données projet'!$E$10+1,1))</f>
        <v>323.67375363913726</v>
      </c>
      <c r="AO141" s="59">
        <f t="shared" si="144"/>
        <v>266.03902815735029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48.268992478936696</v>
      </c>
      <c r="AV141" s="21">
        <f>EXP(-LN(2)/25)*AV140+(1-EXP(-LN(2)/25))/(LN(2)/25)*Calculateur!AQ141*Calculateur!AS141*VLOOKUP('Données projet'!$B$10,Paramètres!$A$1:$I$89,3,0)*0.475*44/12</f>
        <v>10.549931553933225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58.818924032869923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68.726515420365018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371.46495716091965</v>
      </c>
      <c r="BJ141" s="59">
        <f t="shared" si="146"/>
        <v>579.95059529269417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35.224274577045101</v>
      </c>
      <c r="BQ141" s="21">
        <f>EXP(-LN(2)/25)*BQ140+(1-EXP(-LN(2)/25))/(LN(2)/25)*Calculateur!BL141*Calculateur!BN141*VLOOKUP('Données projet'!$B$11,Paramètres!$A$1:$I$89,3,0)*0.475*44/12</f>
        <v>5.2283572688887787</v>
      </c>
      <c r="BR141" s="21">
        <f>EXP(-LN(2)/2)*BR140+(1-EXP(-LN(2)/2))/(LN(2)/2)*BL141*BO141*VLOOKUP('Données projet'!$B$11,Paramètres!$A$1:$I$89,3,0)*0.475*44/12</f>
        <v>3.9020544978238784E-13</v>
      </c>
      <c r="BS141" s="22">
        <f t="shared" si="117"/>
        <v>40.45263184593427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68.726515420365018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180.18752244216969</v>
      </c>
      <c r="CE141" s="59">
        <f t="shared" si="148"/>
        <v>350.12096474554676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42.533714697671705</v>
      </c>
      <c r="CL141" s="21">
        <f>EXP(-LN(2)/25)*CL140+(1-EXP(-LN(2)/25))/(LN(2)/25)*Calculateur!CG141*Calculateur!CI141*VLOOKUP('Données projet'!$B$12,Paramètres!$A$1:$I$89,3,0)*0.475*44/12</f>
        <v>9.3220420887337436</v>
      </c>
      <c r="CM141" s="21">
        <f>EXP(-LN(2)/2)*CM140+(1-EXP(-LN(2)/2))/(LN(2)/2)*CG141*CJ141*VLOOKUP('Données projet'!$B$12,Paramètres!$A$1:$I$89,3,0)*0.475*44/12</f>
        <v>2.9645822615504021E-13</v>
      </c>
      <c r="CN141" s="22">
        <f t="shared" si="120"/>
        <v>51.855756786405749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68.726515420365018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5.6843418860808015E-14</v>
      </c>
      <c r="CU141" s="17">
        <f>CT141*VLOOKUP('Données projet'!$B$13,Paramètres!$A$1:$I$89,3,0)*VLOOKUP('Données projet'!$B$13,Paramètres!$A$1:$I$89,5,0)</f>
        <v>4.5224624045658861E-14</v>
      </c>
      <c r="CV141" s="13">
        <f t="shared" si="149"/>
        <v>7.4514601661523691E-13</v>
      </c>
      <c r="CW141" s="20">
        <f t="shared" si="121"/>
        <v>1.3765621991510601E-12</v>
      </c>
      <c r="CX141" s="59">
        <f t="shared" si="122"/>
        <v>288.66388987467309</v>
      </c>
      <c r="CY141" s="59">
        <f ca="1">AVERAGE(OFFSET($CX$3,0,0,'Données projet'!$E$13+1,1))-AVERAGE(OFFSET($H$3,0,0,'Données projet'!$E$13+1,1))</f>
        <v>284.31574332240928</v>
      </c>
      <c r="CZ141" s="59">
        <f t="shared" si="150"/>
        <v>403.96994631683913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179.1090352081151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179.1090352081151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68.726515420365018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190.9519472160006</v>
      </c>
      <c r="DU141" s="59">
        <f t="shared" si="152"/>
        <v>170.61553500287511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38.351432898386754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38.351432898386754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68.726515420365018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>
        <f>EJ141*VLOOKUP('Données projet'!$B$15,Paramètres!$A$1:$I$89,3,0)*VLOOKUP('Données projet'!$B$15,Paramètres!$A$1:$I$89,5,0)</f>
        <v>0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331.94255128154623</v>
      </c>
      <c r="EP141" s="59">
        <f t="shared" si="154"/>
        <v>258.40809812013964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490.01075463231149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490.01075463231149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68.726515420365018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>
        <f>FE141*VLOOKUP('Données projet'!$B$16,Paramètres!$A$1:$I$89,3,0)*VLOOKUP('Données projet'!$B$16,Paramètres!$A$1:$I$89,5,0)</f>
        <v>0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290.72311302449236</v>
      </c>
      <c r="FK141" s="59">
        <f t="shared" si="156"/>
        <v>352.32552988394434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147.41705756933061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147.41705756933061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68.726515420365018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>
        <f>FZ141*VLOOKUP('Données projet'!$B$17,Paramètres!$A$1:$I$89,3,0)*VLOOKUP('Données projet'!$B$17,Paramètres!$A$1:$I$89,5,0)</f>
        <v>0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123.03972959251965</v>
      </c>
      <c r="GF141" s="59">
        <f t="shared" si="158"/>
        <v>178.27657680839445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32.041976971121855</v>
      </c>
      <c r="GM141" s="21">
        <f>EXP(-LN(2)/25)*GM140+(1-EXP(-LN(2)/25))/(LN(2)/25)*Calculateur!GH141*Calculateur!GJ141*VLOOKUP('Données projet'!$B$17,Paramètres!$A$1:$I$89,3,0)*0.475*44/12</f>
        <v>5.0982684721705605</v>
      </c>
      <c r="GN141" s="21">
        <f>EXP(-LN(2)/2)*GN140+(1-EXP(-LN(2)/2))/(LN(2)/2)*GH141*GK141*VLOOKUP('Données projet'!$B$17,Paramètres!$A$1:$I$89,3,0)*0.475*44/12</f>
        <v>5.949847149254441E-10</v>
      </c>
      <c r="GO141" s="21">
        <f t="shared" si="135"/>
        <v>37.140245443887402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68.726515420365018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-4.5474735088646412E-13</v>
      </c>
      <c r="GV141" s="17">
        <f>GU141*VLOOKUP('Données projet'!$B$18,Paramètres!$A$1:$I$89,3,0)*VLOOKUP('Données projet'!$B$18,Paramètres!$A$1:$I$89,5,0)</f>
        <v>-3.0504452297464016E-13</v>
      </c>
      <c r="GW141" s="13" t="e">
        <f t="shared" si="159"/>
        <v>#NUM!</v>
      </c>
      <c r="GX141" s="20" t="e">
        <f t="shared" si="136"/>
        <v>#NUM!</v>
      </c>
      <c r="GY141" s="59" t="e">
        <f t="shared" si="137"/>
        <v>#NUM!</v>
      </c>
      <c r="GZ141" s="59">
        <f ca="1">AVERAGE(OFFSET($GY$3,0,0,'Données projet'!$E$18+1,1))-AVERAGE(OFFSET($H$3,0,0,'Données projet'!$E$18+1,1))</f>
        <v>542.25674729323623</v>
      </c>
      <c r="HA141" s="59">
        <f t="shared" si="160"/>
        <v>614.73906555680685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198.30500533114508</v>
      </c>
      <c r="HH141" s="21">
        <f>EXP(-LN(2)/25)*HH140+(1-EXP(-LN(2)/25))/(LN(2)/25)*Calculateur!HC141*Calculateur!HE141*VLOOKUP('Données projet'!$B$18,Paramètres!$A$1:$I$89,3,0)*0.475*44/12</f>
        <v>0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198.30500533114508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2.8499999999999996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10.449999999999998</v>
      </c>
      <c r="H142" s="67">
        <f t="shared" si="110"/>
        <v>214.86666666666667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68.748607530736678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-1.0231815394945443E-12</v>
      </c>
      <c r="O142" s="13">
        <f>N142*VLOOKUP('Données projet'!$B$9,Paramètres!$A$1:$I$89,3,0)*VLOOKUP('Données projet'!$B$9,Paramètres!$A$1:$I$89,5,0)</f>
        <v>-8.9385139290243408E-13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686.80970545599644</v>
      </c>
      <c r="T142" s="59">
        <f t="shared" si="142"/>
        <v>636.16485232937737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53.963297051277358</v>
      </c>
      <c r="AA142" s="21">
        <f>EXP(-LN(2)/25)*AA141+(1-EXP(-LN(2)/25))/(LN(2)/25)*Calculateur!V142*Calculateur!X142*VLOOKUP('Données projet'!$B$9,Paramètres!$A$1:$I$89,3,0)*0.475*44/12</f>
        <v>4.4453240430260035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58.408621094303363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68.748607530736678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1.1368683772161603E-13</v>
      </c>
      <c r="AJ142" s="13">
        <f>AI142*VLOOKUP('Données projet'!$B$10,Paramètres!$A$1:$I$89,3,0)*VLOOKUP('Données projet'!$B$10,Paramètres!$A$1:$I$89,5,0)</f>
        <v>1.0286385077051818E-13</v>
      </c>
      <c r="AK142" s="13">
        <f t="shared" si="143"/>
        <v>1.5402366592183556E-12</v>
      </c>
      <c r="AL142" s="20">
        <f t="shared" si="112"/>
        <v>2.8617333882306215E-12</v>
      </c>
      <c r="AM142" s="59">
        <f t="shared" si="113"/>
        <v>288.74489427937067</v>
      </c>
      <c r="AN142" s="59">
        <f ca="1">AVERAGE(OFFSET($AM$3,0,0,'Données projet'!$E$10+1,1))-AVERAGE(OFFSET($H$3,0,0,'Données projet'!$E$10+1,1))</f>
        <v>323.67375363913726</v>
      </c>
      <c r="AO142" s="59">
        <f t="shared" si="144"/>
        <v>266.03902815735029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47.322466977603085</v>
      </c>
      <c r="AV142" s="21">
        <f>EXP(-LN(2)/25)*AV141+(1-EXP(-LN(2)/25))/(LN(2)/25)*Calculateur!AQ142*Calculateur!AS142*VLOOKUP('Données projet'!$B$10,Paramètres!$A$1:$I$89,3,0)*0.475*44/12</f>
        <v>10.261443120794134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57.583910098397219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68.748607530736678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371.46495716091965</v>
      </c>
      <c r="BJ142" s="59">
        <f t="shared" si="146"/>
        <v>579.95059529269417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34.533548037275303</v>
      </c>
      <c r="BQ142" s="21">
        <f>EXP(-LN(2)/25)*BQ141+(1-EXP(-LN(2)/25))/(LN(2)/25)*Calculateur!BL142*Calculateur!BN142*VLOOKUP('Données projet'!$B$11,Paramètres!$A$1:$I$89,3,0)*0.475*44/12</f>
        <v>5.0853875644236561</v>
      </c>
      <c r="BR142" s="21">
        <f>EXP(-LN(2)/2)*BR141+(1-EXP(-LN(2)/2))/(LN(2)/2)*BL142*BO142*VLOOKUP('Données projet'!$B$11,Paramètres!$A$1:$I$89,3,0)*0.475*44/12</f>
        <v>2.7591691959707327E-13</v>
      </c>
      <c r="BS142" s="22">
        <f t="shared" si="117"/>
        <v>39.618935601699235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68.748607530736678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180.18752244216969</v>
      </c>
      <c r="CE142" s="59">
        <f t="shared" si="148"/>
        <v>350.12096474554676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41.699654495454666</v>
      </c>
      <c r="CL142" s="21">
        <f>EXP(-LN(2)/25)*CL141+(1-EXP(-LN(2)/25))/(LN(2)/25)*Calculateur!CG142*Calculateur!CI142*VLOOKUP('Données projet'!$B$12,Paramètres!$A$1:$I$89,3,0)*0.475*44/12</f>
        <v>9.0671303575924309</v>
      </c>
      <c r="CM142" s="21">
        <f>EXP(-LN(2)/2)*CM141+(1-EXP(-LN(2)/2))/(LN(2)/2)*CG142*CJ142*VLOOKUP('Données projet'!$B$12,Paramètres!$A$1:$I$89,3,0)*0.475*44/12</f>
        <v>2.0962762205276404E-13</v>
      </c>
      <c r="CN142" s="22">
        <f t="shared" si="120"/>
        <v>50.766784853047312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68.748607530736678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5.6843418860808015E-14</v>
      </c>
      <c r="CU142" s="17">
        <f>CT142*VLOOKUP('Données projet'!$B$13,Paramètres!$A$1:$I$89,3,0)*VLOOKUP('Données projet'!$B$13,Paramètres!$A$1:$I$89,5,0)</f>
        <v>4.5224624045658861E-14</v>
      </c>
      <c r="CV142" s="13">
        <f t="shared" si="149"/>
        <v>7.4514601661523691E-13</v>
      </c>
      <c r="CW142" s="20">
        <f t="shared" si="121"/>
        <v>1.3765621991510601E-12</v>
      </c>
      <c r="CX142" s="59">
        <f t="shared" si="122"/>
        <v>288.74489427936919</v>
      </c>
      <c r="CY142" s="59">
        <f ca="1">AVERAGE(OFFSET($CX$3,0,0,'Données projet'!$E$13+1,1))-AVERAGE(OFFSET($H$3,0,0,'Données projet'!$E$13+1,1))</f>
        <v>284.31574332240928</v>
      </c>
      <c r="CZ142" s="59">
        <f t="shared" si="150"/>
        <v>403.96994631683913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175.59681627340834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175.59681627340834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68.748607530736678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190.9519472160006</v>
      </c>
      <c r="DU142" s="59">
        <f t="shared" si="152"/>
        <v>170.61553500287511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37.599384691313681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37.599384691313681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68.748607530736678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>
        <f>EJ142*VLOOKUP('Données projet'!$B$15,Paramètres!$A$1:$I$89,3,0)*VLOOKUP('Données projet'!$B$15,Paramètres!$A$1:$I$89,5,0)</f>
        <v>0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331.94255128154623</v>
      </c>
      <c r="EP142" s="59">
        <f t="shared" si="154"/>
        <v>258.40809812013964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480.4019426110205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480.4019426110205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68.748607530736678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>
        <f>FE142*VLOOKUP('Données projet'!$B$16,Paramètres!$A$1:$I$89,3,0)*VLOOKUP('Données projet'!$B$16,Paramètres!$A$1:$I$89,5,0)</f>
        <v>0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290.72311302449236</v>
      </c>
      <c r="FK142" s="59">
        <f t="shared" si="156"/>
        <v>352.32552988394434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144.52629898592272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144.52629898592272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68.748607530736678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>
        <f>FZ142*VLOOKUP('Données projet'!$B$17,Paramètres!$A$1:$I$89,3,0)*VLOOKUP('Données projet'!$B$17,Paramètres!$A$1:$I$89,5,0)</f>
        <v>0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123.03972959251965</v>
      </c>
      <c r="GF142" s="59">
        <f t="shared" si="158"/>
        <v>178.27657680839445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31.41365334639433</v>
      </c>
      <c r="GM142" s="21">
        <f>EXP(-LN(2)/25)*GM141+(1-EXP(-LN(2)/25))/(LN(2)/25)*Calculateur!GH142*Calculateur!GJ142*VLOOKUP('Données projet'!$B$17,Paramètres!$A$1:$I$89,3,0)*0.475*44/12</f>
        <v>4.9588560526927701</v>
      </c>
      <c r="GN142" s="21">
        <f>EXP(-LN(2)/2)*GN141+(1-EXP(-LN(2)/2))/(LN(2)/2)*GH142*GK142*VLOOKUP('Données projet'!$B$17,Paramètres!$A$1:$I$89,3,0)*0.475*44/12</f>
        <v>4.2071772662612637E-10</v>
      </c>
      <c r="GO142" s="21">
        <f t="shared" si="135"/>
        <v>36.37250939950782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68.748607530736678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-4.5474735088646412E-13</v>
      </c>
      <c r="GV142" s="17">
        <f>GU142*VLOOKUP('Données projet'!$B$18,Paramètres!$A$1:$I$89,3,0)*VLOOKUP('Données projet'!$B$18,Paramètres!$A$1:$I$89,5,0)</f>
        <v>-3.0504452297464016E-13</v>
      </c>
      <c r="GW142" s="13" t="e">
        <f t="shared" si="159"/>
        <v>#NUM!</v>
      </c>
      <c r="GX142" s="20" t="e">
        <f t="shared" si="136"/>
        <v>#NUM!</v>
      </c>
      <c r="GY142" s="59" t="e">
        <f t="shared" si="137"/>
        <v>#NUM!</v>
      </c>
      <c r="GZ142" s="59">
        <f ca="1">AVERAGE(OFFSET($GY$3,0,0,'Données projet'!$E$18+1,1))-AVERAGE(OFFSET($H$3,0,0,'Données projet'!$E$18+1,1))</f>
        <v>542.25674729323623</v>
      </c>
      <c r="HA142" s="59">
        <f t="shared" si="160"/>
        <v>614.73906555680685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194.41636513071134</v>
      </c>
      <c r="HH142" s="21">
        <f>EXP(-LN(2)/25)*HH141+(1-EXP(-LN(2)/25))/(LN(2)/25)*Calculateur!HC142*Calculateur!HE142*VLOOKUP('Données projet'!$B$18,Paramètres!$A$1:$I$89,3,0)*0.475*44/12</f>
        <v>0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194.41636513071134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2.8499999999999996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10.449999999999998</v>
      </c>
      <c r="H143" s="67">
        <f t="shared" si="110"/>
        <v>214.86666666666667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68.770316392383961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-1.0231815394945443E-12</v>
      </c>
      <c r="O143" s="13">
        <f>N143*VLOOKUP('Données projet'!$B$9,Paramètres!$A$1:$I$89,3,0)*VLOOKUP('Données projet'!$B$9,Paramètres!$A$1:$I$89,5,0)</f>
        <v>-8.9385139290243408E-13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686.80970545599644</v>
      </c>
      <c r="T143" s="59">
        <f t="shared" si="142"/>
        <v>636.16485232937737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52.905109710462987</v>
      </c>
      <c r="AA143" s="21">
        <f>EXP(-LN(2)/25)*AA142+(1-EXP(-LN(2)/25))/(LN(2)/25)*Calculateur!V143*Calculateur!X143*VLOOKUP('Données projet'!$B$9,Paramètres!$A$1:$I$89,3,0)*0.475*44/12</f>
        <v>4.3237664233000261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57.228876133763016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68.770316392383961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1.1368683772161603E-13</v>
      </c>
      <c r="AJ143" s="13">
        <f>AI143*VLOOKUP('Données projet'!$B$10,Paramètres!$A$1:$I$89,3,0)*VLOOKUP('Données projet'!$B$10,Paramètres!$A$1:$I$89,5,0)</f>
        <v>1.0286385077051818E-13</v>
      </c>
      <c r="AK143" s="13">
        <f t="shared" si="143"/>
        <v>1.5402366592183556E-12</v>
      </c>
      <c r="AL143" s="20">
        <f t="shared" si="112"/>
        <v>2.8617333882306215E-12</v>
      </c>
      <c r="AM143" s="59">
        <f t="shared" si="113"/>
        <v>288.82449343874401</v>
      </c>
      <c r="AN143" s="59">
        <f ca="1">AVERAGE(OFFSET($AM$3,0,0,'Données projet'!$E$10+1,1))-AVERAGE(OFFSET($H$3,0,0,'Données projet'!$E$10+1,1))</f>
        <v>323.67375363913726</v>
      </c>
      <c r="AO143" s="59">
        <f t="shared" si="144"/>
        <v>266.03902815735029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46.394502264027075</v>
      </c>
      <c r="AV143" s="21">
        <f>EXP(-LN(2)/25)*AV142+(1-EXP(-LN(2)/25))/(LN(2)/25)*Calculateur!AQ143*Calculateur!AS143*VLOOKUP('Données projet'!$B$10,Paramètres!$A$1:$I$89,3,0)*0.475*44/12</f>
        <v>9.9808434190301778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56.375345683057255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68.770316392383961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371.46495716091965</v>
      </c>
      <c r="BJ143" s="59">
        <f t="shared" si="146"/>
        <v>579.95059529269417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33.856366223648799</v>
      </c>
      <c r="BQ143" s="21">
        <f>EXP(-LN(2)/25)*BQ142+(1-EXP(-LN(2)/25))/(LN(2)/25)*Calculateur!BL143*Calculateur!BN143*VLOOKUP('Données projet'!$B$11,Paramètres!$A$1:$I$89,3,0)*0.475*44/12</f>
        <v>4.9463273740455822</v>
      </c>
      <c r="BR143" s="21">
        <f>EXP(-LN(2)/2)*BR142+(1-EXP(-LN(2)/2))/(LN(2)/2)*BL143*BO143*VLOOKUP('Données projet'!$B$11,Paramètres!$A$1:$I$89,3,0)*0.475*44/12</f>
        <v>1.9510272489119392E-13</v>
      </c>
      <c r="BS143" s="22">
        <f t="shared" si="117"/>
        <v>38.802693597694571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68.770316392383961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180.18752244216969</v>
      </c>
      <c r="CE143" s="59">
        <f t="shared" si="148"/>
        <v>350.12096474554676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40.881949705076615</v>
      </c>
      <c r="CL143" s="21">
        <f>EXP(-LN(2)/25)*CL142+(1-EXP(-LN(2)/25))/(LN(2)/25)*Calculateur!CG143*Calculateur!CI143*VLOOKUP('Données projet'!$B$12,Paramètres!$A$1:$I$89,3,0)*0.475*44/12</f>
        <v>8.819189201144404</v>
      </c>
      <c r="CM143" s="21">
        <f>EXP(-LN(2)/2)*CM142+(1-EXP(-LN(2)/2))/(LN(2)/2)*CG143*CJ143*VLOOKUP('Données projet'!$B$12,Paramètres!$A$1:$I$89,3,0)*0.475*44/12</f>
        <v>1.482291130775201E-13</v>
      </c>
      <c r="CN143" s="22">
        <f t="shared" si="120"/>
        <v>49.701138906221168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68.770316392383961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5.6843418860808015E-14</v>
      </c>
      <c r="CU143" s="17">
        <f>CT143*VLOOKUP('Données projet'!$B$13,Paramètres!$A$1:$I$89,3,0)*VLOOKUP('Données projet'!$B$13,Paramètres!$A$1:$I$89,5,0)</f>
        <v>4.5224624045658861E-14</v>
      </c>
      <c r="CV143" s="13">
        <f t="shared" si="149"/>
        <v>7.4514601661523691E-13</v>
      </c>
      <c r="CW143" s="20">
        <f t="shared" si="121"/>
        <v>1.3765621991510601E-12</v>
      </c>
      <c r="CX143" s="59">
        <f t="shared" si="122"/>
        <v>288.82449343874254</v>
      </c>
      <c r="CY143" s="59">
        <f ca="1">AVERAGE(OFFSET($CX$3,0,0,'Données projet'!$E$13+1,1))-AVERAGE(OFFSET($H$3,0,0,'Données projet'!$E$13+1,1))</f>
        <v>284.31574332240928</v>
      </c>
      <c r="CZ143" s="59">
        <f t="shared" si="150"/>
        <v>403.96994631683913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172.15346980976915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172.15346980976915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68.770316392383961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190.9519472160006</v>
      </c>
      <c r="DU143" s="59">
        <f t="shared" si="152"/>
        <v>170.61553500287511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36.862083690877199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36.862083690877199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68.770316392383961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>
        <f>EJ143*VLOOKUP('Données projet'!$B$15,Paramètres!$A$1:$I$89,3,0)*VLOOKUP('Données projet'!$B$15,Paramètres!$A$1:$I$89,5,0)</f>
        <v>0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331.94255128154623</v>
      </c>
      <c r="EP143" s="59">
        <f t="shared" si="154"/>
        <v>258.40809812013964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470.98155353267043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470.98155353267043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68.770316392383961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>
        <f>FE143*VLOOKUP('Données projet'!$B$16,Paramètres!$A$1:$I$89,3,0)*VLOOKUP('Données projet'!$B$16,Paramètres!$A$1:$I$89,5,0)</f>
        <v>0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290.72311302449236</v>
      </c>
      <c r="FK143" s="59">
        <f t="shared" si="156"/>
        <v>352.32552988394434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141.69222641514685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141.69222641514685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68.770316392383961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>
        <f>FZ143*VLOOKUP('Données projet'!$B$17,Paramètres!$A$1:$I$89,3,0)*VLOOKUP('Données projet'!$B$17,Paramètres!$A$1:$I$89,5,0)</f>
        <v>0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123.03972959251965</v>
      </c>
      <c r="GF143" s="59">
        <f t="shared" si="158"/>
        <v>178.27657680839445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30.797650764708141</v>
      </c>
      <c r="GM143" s="21">
        <f>EXP(-LN(2)/25)*GM142+(1-EXP(-LN(2)/25))/(LN(2)/25)*Calculateur!GH143*Calculateur!GJ143*VLOOKUP('Données projet'!$B$17,Paramètres!$A$1:$I$89,3,0)*0.475*44/12</f>
        <v>4.8232558731569801</v>
      </c>
      <c r="GN143" s="21">
        <f>EXP(-LN(2)/2)*GN142+(1-EXP(-LN(2)/2))/(LN(2)/2)*GH143*GK143*VLOOKUP('Données projet'!$B$17,Paramètres!$A$1:$I$89,3,0)*0.475*44/12</f>
        <v>2.9749235746272205E-10</v>
      </c>
      <c r="GO143" s="21">
        <f t="shared" si="135"/>
        <v>35.620906638162609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68.770316392383961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-4.5474735088646412E-13</v>
      </c>
      <c r="GV143" s="17">
        <f>GU143*VLOOKUP('Données projet'!$B$18,Paramètres!$A$1:$I$89,3,0)*VLOOKUP('Données projet'!$B$18,Paramètres!$A$1:$I$89,5,0)</f>
        <v>-3.0504452297464016E-13</v>
      </c>
      <c r="GW143" s="13" t="e">
        <f t="shared" si="159"/>
        <v>#NUM!</v>
      </c>
      <c r="GX143" s="20" t="e">
        <f t="shared" si="136"/>
        <v>#NUM!</v>
      </c>
      <c r="GY143" s="59" t="e">
        <f t="shared" si="137"/>
        <v>#NUM!</v>
      </c>
      <c r="GZ143" s="59">
        <f ca="1">AVERAGE(OFFSET($GY$3,0,0,'Données projet'!$E$18+1,1))-AVERAGE(OFFSET($H$3,0,0,'Données projet'!$E$18+1,1))</f>
        <v>542.25674729323623</v>
      </c>
      <c r="HA143" s="59">
        <f t="shared" si="160"/>
        <v>614.73906555680685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190.60397879277178</v>
      </c>
      <c r="HH143" s="21">
        <f>EXP(-LN(2)/25)*HH142+(1-EXP(-LN(2)/25))/(LN(2)/25)*Calculateur!HC143*Calculateur!HE143*VLOOKUP('Données projet'!$B$18,Paramètres!$A$1:$I$89,3,0)*0.475*44/12</f>
        <v>0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190.60397879277178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2.8499999999999996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10.449999999999998</v>
      </c>
      <c r="H144" s="67">
        <f t="shared" si="110"/>
        <v>214.86666666666667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68.791648653815415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-1.0231815394945443E-12</v>
      </c>
      <c r="O144" s="13">
        <f>N144*VLOOKUP('Données projet'!$B$9,Paramètres!$A$1:$I$89,3,0)*VLOOKUP('Données projet'!$B$9,Paramètres!$A$1:$I$89,5,0)</f>
        <v>-8.9385139290243408E-13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686.80970545599644</v>
      </c>
      <c r="T144" s="59">
        <f t="shared" si="142"/>
        <v>636.16485232937737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51.867672777971443</v>
      </c>
      <c r="AA144" s="21">
        <f>EXP(-LN(2)/25)*AA143+(1-EXP(-LN(2)/25))/(LN(2)/25)*Calculateur!V144*Calculateur!X144*VLOOKUP('Données projet'!$B$9,Paramètres!$A$1:$I$89,3,0)*0.475*44/12</f>
        <v>4.2055328030778929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56.073205581049336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68.791648653815415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1.1368683772161603E-13</v>
      </c>
      <c r="AJ144" s="13">
        <f>AI144*VLOOKUP('Données projet'!$B$10,Paramètres!$A$1:$I$89,3,0)*VLOOKUP('Données projet'!$B$10,Paramètres!$A$1:$I$89,5,0)</f>
        <v>1.0286385077051818E-13</v>
      </c>
      <c r="AK144" s="13">
        <f t="shared" si="143"/>
        <v>1.5402366592183556E-12</v>
      </c>
      <c r="AL144" s="20">
        <f t="shared" si="112"/>
        <v>2.8617333882306215E-12</v>
      </c>
      <c r="AM144" s="59">
        <f t="shared" si="113"/>
        <v>288.90271173065935</v>
      </c>
      <c r="AN144" s="59">
        <f ca="1">AVERAGE(OFFSET($AM$3,0,0,'Données projet'!$E$10+1,1))-AVERAGE(OFFSET($H$3,0,0,'Données projet'!$E$10+1,1))</f>
        <v>323.67375363913726</v>
      </c>
      <c r="AO144" s="59">
        <f t="shared" si="144"/>
        <v>266.03902815735029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45.484734372481704</v>
      </c>
      <c r="AV144" s="21">
        <f>EXP(-LN(2)/25)*AV143+(1-EXP(-LN(2)/25))/(LN(2)/25)*Calculateur!AQ144*Calculateur!AS144*VLOOKUP('Données projet'!$B$10,Paramètres!$A$1:$I$89,3,0)*0.475*44/12</f>
        <v>9.7079167308670531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55.192651103348759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68.791648653815415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371.46495716091965</v>
      </c>
      <c r="BJ144" s="59">
        <f t="shared" si="146"/>
        <v>579.95059529269417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33.192463532347389</v>
      </c>
      <c r="BQ144" s="21">
        <f>EXP(-LN(2)/25)*BQ143+(1-EXP(-LN(2)/25))/(LN(2)/25)*Calculateur!BL144*Calculateur!BN144*VLOOKUP('Données projet'!$B$11,Paramètres!$A$1:$I$89,3,0)*0.475*44/12</f>
        <v>4.8110697918862542</v>
      </c>
      <c r="BR144" s="21">
        <f>EXP(-LN(2)/2)*BR143+(1-EXP(-LN(2)/2))/(LN(2)/2)*BL144*BO144*VLOOKUP('Données projet'!$B$11,Paramètres!$A$1:$I$89,3,0)*0.475*44/12</f>
        <v>1.3795845979853664E-13</v>
      </c>
      <c r="BS144" s="22">
        <f t="shared" si="117"/>
        <v>38.003533324233779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68.791648653815415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180.18752244216969</v>
      </c>
      <c r="CE144" s="59">
        <f t="shared" si="148"/>
        <v>350.12096474554676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40.080279606887203</v>
      </c>
      <c r="CL144" s="21">
        <f>EXP(-LN(2)/25)*CL143+(1-EXP(-LN(2)/25))/(LN(2)/25)*Calculateur!CG144*Calculateur!CI144*VLOOKUP('Données projet'!$B$12,Paramètres!$A$1:$I$89,3,0)*0.475*44/12</f>
        <v>8.5780280086581069</v>
      </c>
      <c r="CM144" s="21">
        <f>EXP(-LN(2)/2)*CM143+(1-EXP(-LN(2)/2))/(LN(2)/2)*CG144*CJ144*VLOOKUP('Données projet'!$B$12,Paramètres!$A$1:$I$89,3,0)*0.475*44/12</f>
        <v>1.0481381102638202E-13</v>
      </c>
      <c r="CN144" s="22">
        <f t="shared" si="120"/>
        <v>48.658307615545418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68.791648653815415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5.6843418860808015E-14</v>
      </c>
      <c r="CU144" s="17">
        <f>CT144*VLOOKUP('Données projet'!$B$13,Paramètres!$A$1:$I$89,3,0)*VLOOKUP('Données projet'!$B$13,Paramètres!$A$1:$I$89,5,0)</f>
        <v>4.5224624045658861E-14</v>
      </c>
      <c r="CV144" s="13">
        <f t="shared" si="149"/>
        <v>7.4514601661523691E-13</v>
      </c>
      <c r="CW144" s="20">
        <f t="shared" si="121"/>
        <v>1.3765621991510601E-12</v>
      </c>
      <c r="CX144" s="59">
        <f t="shared" si="122"/>
        <v>288.90271173065787</v>
      </c>
      <c r="CY144" s="59">
        <f ca="1">AVERAGE(OFFSET($CX$3,0,0,'Données projet'!$E$13+1,1))-AVERAGE(OFFSET($H$3,0,0,'Données projet'!$E$13+1,1))</f>
        <v>284.31574332240928</v>
      </c>
      <c r="CZ144" s="59">
        <f t="shared" si="150"/>
        <v>403.96994631683913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168.77764527004794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168.77764527004794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68.791648653815415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190.9519472160006</v>
      </c>
      <c r="DU144" s="59">
        <f t="shared" si="152"/>
        <v>170.61553500287511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36.13924071335007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36.13924071335007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68.791648653815415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>
        <f>EJ144*VLOOKUP('Données projet'!$B$15,Paramètres!$A$1:$I$89,3,0)*VLOOKUP('Données projet'!$B$15,Paramètres!$A$1:$I$89,5,0)</f>
        <v>0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331.94255128154623</v>
      </c>
      <c r="EP144" s="59">
        <f t="shared" si="154"/>
        <v>258.40809812013964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461.74589253827685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461.74589253827685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68.791648653815415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>
        <f>FE144*VLOOKUP('Données projet'!$B$16,Paramètres!$A$1:$I$89,3,0)*VLOOKUP('Données projet'!$B$16,Paramètres!$A$1:$I$89,5,0)</f>
        <v>0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290.72311302449236</v>
      </c>
      <c r="FK144" s="59">
        <f t="shared" si="156"/>
        <v>352.32552988394434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138.91372827887031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138.91372827887031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68.791648653815415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>
        <f>FZ144*VLOOKUP('Données projet'!$B$17,Paramètres!$A$1:$I$89,3,0)*VLOOKUP('Données projet'!$B$17,Paramètres!$A$1:$I$89,5,0)</f>
        <v>0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123.03972959251965</v>
      </c>
      <c r="GF144" s="59">
        <f t="shared" si="158"/>
        <v>178.27657680839445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30.193727617924345</v>
      </c>
      <c r="GM144" s="21">
        <f>EXP(-LN(2)/25)*GM143+(1-EXP(-LN(2)/25))/(LN(2)/25)*Calculateur!GH144*Calculateur!GJ144*VLOOKUP('Données projet'!$B$17,Paramètres!$A$1:$I$89,3,0)*0.475*44/12</f>
        <v>4.6913636876615001</v>
      </c>
      <c r="GN144" s="21">
        <f>EXP(-LN(2)/2)*GN143+(1-EXP(-LN(2)/2))/(LN(2)/2)*GH144*GK144*VLOOKUP('Données projet'!$B$17,Paramètres!$A$1:$I$89,3,0)*0.475*44/12</f>
        <v>2.1035886331306318E-10</v>
      </c>
      <c r="GO144" s="21">
        <f t="shared" si="135"/>
        <v>34.885091305796202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68.791648653815415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-4.5474735088646412E-13</v>
      </c>
      <c r="GV144" s="17">
        <f>GU144*VLOOKUP('Données projet'!$B$18,Paramètres!$A$1:$I$89,3,0)*VLOOKUP('Données projet'!$B$18,Paramètres!$A$1:$I$89,5,0)</f>
        <v>-3.0504452297464016E-13</v>
      </c>
      <c r="GW144" s="13" t="e">
        <f t="shared" si="159"/>
        <v>#NUM!</v>
      </c>
      <c r="GX144" s="20" t="e">
        <f t="shared" si="136"/>
        <v>#NUM!</v>
      </c>
      <c r="GY144" s="59" t="e">
        <f t="shared" si="137"/>
        <v>#NUM!</v>
      </c>
      <c r="GZ144" s="59">
        <f ca="1">AVERAGE(OFFSET($GY$3,0,0,'Données projet'!$E$18+1,1))-AVERAGE(OFFSET($H$3,0,0,'Données projet'!$E$18+1,1))</f>
        <v>542.25674729323623</v>
      </c>
      <c r="HA144" s="59">
        <f t="shared" si="160"/>
        <v>614.73906555680685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186.86635102559316</v>
      </c>
      <c r="HH144" s="21">
        <f>EXP(-LN(2)/25)*HH143+(1-EXP(-LN(2)/25))/(LN(2)/25)*Calculateur!HC144*Calculateur!HE144*VLOOKUP('Données projet'!$B$18,Paramètres!$A$1:$I$89,3,0)*0.475*44/12</f>
        <v>0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186.86635102559316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2.8499999999999996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10.449999999999998</v>
      </c>
      <c r="H145" s="67">
        <f t="shared" si="110"/>
        <v>214.86666666666667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68.812610848202809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-1.0231815394945443E-12</v>
      </c>
      <c r="O145" s="13">
        <f>N145*VLOOKUP('Données projet'!$B$9,Paramètres!$A$1:$I$89,3,0)*VLOOKUP('Données projet'!$B$9,Paramètres!$A$1:$I$89,5,0)</f>
        <v>-8.9385139290243408E-13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686.80970545599644</v>
      </c>
      <c r="T145" s="59">
        <f t="shared" si="142"/>
        <v>636.16485232937737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50.850579350952003</v>
      </c>
      <c r="AA145" s="21">
        <f>EXP(-LN(2)/25)*AA144+(1-EXP(-LN(2)/25))/(LN(2)/25)*Calculateur!V145*Calculateur!X145*VLOOKUP('Données projet'!$B$9,Paramètres!$A$1:$I$89,3,0)*0.475*44/12</f>
        <v>4.0905322874183696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54.941111638370373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68.812610848202809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1.1368683772161603E-13</v>
      </c>
      <c r="AJ145" s="13">
        <f>AI145*VLOOKUP('Données projet'!$B$10,Paramètres!$A$1:$I$89,3,0)*VLOOKUP('Données projet'!$B$10,Paramètres!$A$1:$I$89,5,0)</f>
        <v>1.0286385077051818E-13</v>
      </c>
      <c r="AK145" s="13">
        <f t="shared" si="143"/>
        <v>1.5402366592183556E-12</v>
      </c>
      <c r="AL145" s="20">
        <f t="shared" si="112"/>
        <v>2.8617333882306215E-12</v>
      </c>
      <c r="AM145" s="59">
        <f t="shared" si="113"/>
        <v>288.9795731100798</v>
      </c>
      <c r="AN145" s="59">
        <f ca="1">AVERAGE(OFFSET($AM$3,0,0,'Données projet'!$E$10+1,1))-AVERAGE(OFFSET($H$3,0,0,'Données projet'!$E$10+1,1))</f>
        <v>323.67375363913726</v>
      </c>
      <c r="AO145" s="59">
        <f t="shared" si="144"/>
        <v>266.03902815735029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44.592806474385917</v>
      </c>
      <c r="AV145" s="21">
        <f>EXP(-LN(2)/25)*AV144+(1-EXP(-LN(2)/25))/(LN(2)/25)*Calculateur!AQ145*Calculateur!AS145*VLOOKUP('Données projet'!$B$10,Paramètres!$A$1:$I$89,3,0)*0.475*44/12</f>
        <v>9.4424532373443402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54.035259711730255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68.812610848202809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371.46495716091965</v>
      </c>
      <c r="BJ145" s="59">
        <f t="shared" si="146"/>
        <v>579.95059529269417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32.541579567881747</v>
      </c>
      <c r="BQ145" s="21">
        <f>EXP(-LN(2)/25)*BQ144+(1-EXP(-LN(2)/25))/(LN(2)/25)*Calculateur!BL145*Calculateur!BN145*VLOOKUP('Données projet'!$B$11,Paramètres!$A$1:$I$89,3,0)*0.475*44/12</f>
        <v>4.6795108354239598</v>
      </c>
      <c r="BR145" s="21">
        <f>EXP(-LN(2)/2)*BR144+(1-EXP(-LN(2)/2))/(LN(2)/2)*BL145*BO145*VLOOKUP('Données projet'!$B$11,Paramètres!$A$1:$I$89,3,0)*0.475*44/12</f>
        <v>9.7551362445596961E-14</v>
      </c>
      <c r="BS145" s="22">
        <f t="shared" si="117"/>
        <v>37.221090403305809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68.812610848202809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180.18752244216969</v>
      </c>
      <c r="CE145" s="59">
        <f t="shared" si="148"/>
        <v>350.12096474554676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39.29432977035281</v>
      </c>
      <c r="CL145" s="21">
        <f>EXP(-LN(2)/25)*CL144+(1-EXP(-LN(2)/25))/(LN(2)/25)*Calculateur!CG145*Calculateur!CI145*VLOOKUP('Données projet'!$B$12,Paramètres!$A$1:$I$89,3,0)*0.475*44/12</f>
        <v>8.343461381662463</v>
      </c>
      <c r="CM145" s="21">
        <f>EXP(-LN(2)/2)*CM144+(1-EXP(-LN(2)/2))/(LN(2)/2)*CG145*CJ145*VLOOKUP('Données projet'!$B$12,Paramètres!$A$1:$I$89,3,0)*0.475*44/12</f>
        <v>7.4114556538760052E-14</v>
      </c>
      <c r="CN145" s="22">
        <f t="shared" si="120"/>
        <v>47.637791152015346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68.812610848202809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5.6843418860808015E-14</v>
      </c>
      <c r="CU145" s="17">
        <f>CT145*VLOOKUP('Données projet'!$B$13,Paramètres!$A$1:$I$89,3,0)*VLOOKUP('Données projet'!$B$13,Paramètres!$A$1:$I$89,5,0)</f>
        <v>4.5224624045658861E-14</v>
      </c>
      <c r="CV145" s="13">
        <f t="shared" si="149"/>
        <v>7.4514601661523691E-13</v>
      </c>
      <c r="CW145" s="20">
        <f t="shared" si="121"/>
        <v>1.3765621991510601E-12</v>
      </c>
      <c r="CX145" s="59">
        <f t="shared" si="122"/>
        <v>288.97957311007832</v>
      </c>
      <c r="CY145" s="59">
        <f ca="1">AVERAGE(OFFSET($CX$3,0,0,'Données projet'!$E$13+1,1))-AVERAGE(OFFSET($H$3,0,0,'Données projet'!$E$13+1,1))</f>
        <v>284.31574332240928</v>
      </c>
      <c r="CZ145" s="59">
        <f t="shared" si="150"/>
        <v>403.96994631683913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165.46801859050103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165.46801859050103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68.812610848202809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190.9519472160006</v>
      </c>
      <c r="DU145" s="59">
        <f t="shared" si="152"/>
        <v>170.61553500287511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35.430572245721571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35.430572245721571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68.812610848202809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>
        <f>EJ145*VLOOKUP('Données projet'!$B$15,Paramètres!$A$1:$I$89,3,0)*VLOOKUP('Données projet'!$B$15,Paramètres!$A$1:$I$89,5,0)</f>
        <v>0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331.94255128154623</v>
      </c>
      <c r="EP145" s="59">
        <f t="shared" si="154"/>
        <v>258.40809812013964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452.69133722278633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452.69133722278633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68.812610848202809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>
        <f>FE145*VLOOKUP('Données projet'!$B$16,Paramètres!$A$1:$I$89,3,0)*VLOOKUP('Données projet'!$B$16,Paramètres!$A$1:$I$89,5,0)</f>
        <v>0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290.72311302449236</v>
      </c>
      <c r="FK145" s="59">
        <f t="shared" si="156"/>
        <v>352.32552988394434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136.18971479632961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136.18971479632961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68.812610848202809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>
        <f>FZ145*VLOOKUP('Données projet'!$B$17,Paramètres!$A$1:$I$89,3,0)*VLOOKUP('Données projet'!$B$17,Paramètres!$A$1:$I$89,5,0)</f>
        <v>0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123.03972959251965</v>
      </c>
      <c r="GF145" s="59">
        <f t="shared" si="158"/>
        <v>178.27657680839445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29.601647035692231</v>
      </c>
      <c r="GM145" s="21">
        <f>EXP(-LN(2)/25)*GM144+(1-EXP(-LN(2)/25))/(LN(2)/25)*Calculateur!GH145*Calculateur!GJ145*VLOOKUP('Données projet'!$B$17,Paramètres!$A$1:$I$89,3,0)*0.475*44/12</f>
        <v>4.5630781009143027</v>
      </c>
      <c r="GN145" s="21">
        <f>EXP(-LN(2)/2)*GN144+(1-EXP(-LN(2)/2))/(LN(2)/2)*GH145*GK145*VLOOKUP('Données projet'!$B$17,Paramètres!$A$1:$I$89,3,0)*0.475*44/12</f>
        <v>1.4874617873136103E-10</v>
      </c>
      <c r="GO145" s="21">
        <f t="shared" si="135"/>
        <v>34.16472513675528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68.812610848202809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-4.5474735088646412E-13</v>
      </c>
      <c r="GV145" s="17">
        <f>GU145*VLOOKUP('Données projet'!$B$18,Paramètres!$A$1:$I$89,3,0)*VLOOKUP('Données projet'!$B$18,Paramètres!$A$1:$I$89,5,0)</f>
        <v>-3.0504452297464016E-13</v>
      </c>
      <c r="GW145" s="13" t="e">
        <f t="shared" si="159"/>
        <v>#NUM!</v>
      </c>
      <c r="GX145" s="20" t="e">
        <f t="shared" si="136"/>
        <v>#NUM!</v>
      </c>
      <c r="GY145" s="59" t="e">
        <f t="shared" si="137"/>
        <v>#NUM!</v>
      </c>
      <c r="GZ145" s="59">
        <f ca="1">AVERAGE(OFFSET($GY$3,0,0,'Données projet'!$E$18+1,1))-AVERAGE(OFFSET($H$3,0,0,'Données projet'!$E$18+1,1))</f>
        <v>542.25674729323623</v>
      </c>
      <c r="HA145" s="59">
        <f t="shared" si="160"/>
        <v>614.73906555680685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183.20201585920108</v>
      </c>
      <c r="HH145" s="21">
        <f>EXP(-LN(2)/25)*HH144+(1-EXP(-LN(2)/25))/(LN(2)/25)*Calculateur!HC145*Calculateur!HE145*VLOOKUP('Données projet'!$B$18,Paramètres!$A$1:$I$89,3,0)*0.475*44/12</f>
        <v>0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183.20201585920108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2.8499999999999996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10.449999999999998</v>
      </c>
      <c r="H146" s="67">
        <f t="shared" si="110"/>
        <v>214.86666666666667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68.833209395382042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-1.0231815394945443E-12</v>
      </c>
      <c r="O146" s="13">
        <f>N146*VLOOKUP('Données projet'!$B$9,Paramètres!$A$1:$I$89,3,0)*VLOOKUP('Données projet'!$B$9,Paramètres!$A$1:$I$89,5,0)</f>
        <v>-8.9385139290243408E-13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686.80970545599644</v>
      </c>
      <c r="T146" s="59">
        <f t="shared" si="142"/>
        <v>636.16485232937737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49.853430505670687</v>
      </c>
      <c r="AA146" s="21">
        <f>EXP(-LN(2)/25)*AA145+(1-EXP(-LN(2)/25))/(LN(2)/25)*Calculateur!V146*Calculateur!X146*VLOOKUP('Données projet'!$B$9,Paramètres!$A$1:$I$89,3,0)*0.475*44/12</f>
        <v>3.9786764669071704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53.832106972577854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68.833209395382042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1.1368683772161603E-13</v>
      </c>
      <c r="AJ146" s="13">
        <f>AI146*VLOOKUP('Données projet'!$B$10,Paramètres!$A$1:$I$89,3,0)*VLOOKUP('Données projet'!$B$10,Paramètres!$A$1:$I$89,5,0)</f>
        <v>1.0286385077051818E-13</v>
      </c>
      <c r="AK146" s="13">
        <f t="shared" si="143"/>
        <v>1.5402366592183556E-12</v>
      </c>
      <c r="AL146" s="20">
        <f t="shared" si="112"/>
        <v>2.8617333882306215E-12</v>
      </c>
      <c r="AM146" s="59">
        <f t="shared" si="113"/>
        <v>289.05510111640365</v>
      </c>
      <c r="AN146" s="59">
        <f ca="1">AVERAGE(OFFSET($AM$3,0,0,'Données projet'!$E$10+1,1))-AVERAGE(OFFSET($H$3,0,0,'Données projet'!$E$10+1,1))</f>
        <v>323.67375363913726</v>
      </c>
      <c r="AO146" s="59">
        <f t="shared" si="144"/>
        <v>266.03902815735029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43.71836873834949</v>
      </c>
      <c r="AV146" s="21">
        <f>EXP(-LN(2)/25)*AV145+(1-EXP(-LN(2)/25))/(LN(2)/25)*Calculateur!AQ146*Calculateur!AS146*VLOOKUP('Données projet'!$B$10,Paramètres!$A$1:$I$89,3,0)*0.475*44/12</f>
        <v>9.1842488570121237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52.902617595361612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68.833209395382042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371.46495716091965</v>
      </c>
      <c r="BJ146" s="59">
        <f t="shared" si="146"/>
        <v>579.95059529269417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31.903459040959255</v>
      </c>
      <c r="BQ146" s="21">
        <f>EXP(-LN(2)/25)*BQ145+(1-EXP(-LN(2)/25))/(LN(2)/25)*Calculateur!BL146*Calculateur!BN146*VLOOKUP('Données projet'!$B$11,Paramètres!$A$1:$I$89,3,0)*0.475*44/12</f>
        <v>4.5515493655445116</v>
      </c>
      <c r="BR146" s="21">
        <f>EXP(-LN(2)/2)*BR145+(1-EXP(-LN(2)/2))/(LN(2)/2)*BL146*BO146*VLOOKUP('Données projet'!$B$11,Paramètres!$A$1:$I$89,3,0)*0.475*44/12</f>
        <v>6.8979229899268319E-14</v>
      </c>
      <c r="BS146" s="22">
        <f t="shared" si="117"/>
        <v>36.455008406503836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68.833209395382042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180.18752244216969</v>
      </c>
      <c r="CE146" s="59">
        <f t="shared" si="148"/>
        <v>350.12096474554676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38.523791930730788</v>
      </c>
      <c r="CL146" s="21">
        <f>EXP(-LN(2)/25)*CL145+(1-EXP(-LN(2)/25))/(LN(2)/25)*Calculateur!CG146*Calculateur!CI146*VLOOKUP('Données projet'!$B$12,Paramètres!$A$1:$I$89,3,0)*0.475*44/12</f>
        <v>8.1153089914173382</v>
      </c>
      <c r="CM146" s="21">
        <f>EXP(-LN(2)/2)*CM145+(1-EXP(-LN(2)/2))/(LN(2)/2)*CG146*CJ146*VLOOKUP('Données projet'!$B$12,Paramètres!$A$1:$I$89,3,0)*0.475*44/12</f>
        <v>5.240690551319101E-14</v>
      </c>
      <c r="CN146" s="22">
        <f t="shared" si="120"/>
        <v>46.639100922148174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68.833209395382042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5.6843418860808015E-14</v>
      </c>
      <c r="CU146" s="17">
        <f>CT146*VLOOKUP('Données projet'!$B$13,Paramètres!$A$1:$I$89,3,0)*VLOOKUP('Données projet'!$B$13,Paramètres!$A$1:$I$89,5,0)</f>
        <v>4.5224624045658861E-14</v>
      </c>
      <c r="CV146" s="13">
        <f t="shared" si="149"/>
        <v>7.4514601661523691E-13</v>
      </c>
      <c r="CW146" s="20">
        <f t="shared" si="121"/>
        <v>1.3765621991510601E-12</v>
      </c>
      <c r="CX146" s="59">
        <f t="shared" si="122"/>
        <v>289.05510111640217</v>
      </c>
      <c r="CY146" s="59">
        <f ca="1">AVERAGE(OFFSET($CX$3,0,0,'Données projet'!$E$13+1,1))-AVERAGE(OFFSET($H$3,0,0,'Données projet'!$E$13+1,1))</f>
        <v>284.31574332240928</v>
      </c>
      <c r="CZ146" s="59">
        <f t="shared" si="150"/>
        <v>403.96994631683913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162.22329167146708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162.22329167146708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68.833209395382042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190.9519472160006</v>
      </c>
      <c r="DU146" s="59">
        <f t="shared" si="152"/>
        <v>170.61553500287511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34.73580033449818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34.73580033449818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68.833209395382042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>
        <f>EJ146*VLOOKUP('Données projet'!$B$15,Paramètres!$A$1:$I$89,3,0)*VLOOKUP('Données projet'!$B$15,Paramètres!$A$1:$I$89,5,0)</f>
        <v>0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331.94255128154623</v>
      </c>
      <c r="EP146" s="59">
        <f t="shared" si="154"/>
        <v>258.40809812013964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443.81433621429915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443.81433621429915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68.833209395382042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>
        <f>FE146*VLOOKUP('Données projet'!$B$16,Paramètres!$A$1:$I$89,3,0)*VLOOKUP('Données projet'!$B$16,Paramètres!$A$1:$I$89,5,0)</f>
        <v>0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290.72311302449236</v>
      </c>
      <c r="FK146" s="59">
        <f t="shared" si="156"/>
        <v>352.32552988394434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133.51911755669738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133.51911755669738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68.833209395382042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>
        <f>FZ146*VLOOKUP('Données projet'!$B$17,Paramètres!$A$1:$I$89,3,0)*VLOOKUP('Données projet'!$B$17,Paramètres!$A$1:$I$89,5,0)</f>
        <v>0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123.03972959251965</v>
      </c>
      <c r="GF146" s="59">
        <f t="shared" si="158"/>
        <v>178.27657680839445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29.021176792544193</v>
      </c>
      <c r="GM146" s="21">
        <f>EXP(-LN(2)/25)*GM145+(1-EXP(-LN(2)/25))/(LN(2)/25)*Calculateur!GH146*Calculateur!GJ146*VLOOKUP('Données projet'!$B$17,Paramètres!$A$1:$I$89,3,0)*0.475*44/12</f>
        <v>4.4383004902829528</v>
      </c>
      <c r="GN146" s="21">
        <f>EXP(-LN(2)/2)*GN145+(1-EXP(-LN(2)/2))/(LN(2)/2)*GH146*GK146*VLOOKUP('Données projet'!$B$17,Paramètres!$A$1:$I$89,3,0)*0.475*44/12</f>
        <v>1.0517943165653159E-10</v>
      </c>
      <c r="GO146" s="21">
        <f t="shared" si="135"/>
        <v>33.459477282932326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68.833209395382042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-4.5474735088646412E-13</v>
      </c>
      <c r="GV146" s="17">
        <f>GU146*VLOOKUP('Données projet'!$B$18,Paramètres!$A$1:$I$89,3,0)*VLOOKUP('Données projet'!$B$18,Paramètres!$A$1:$I$89,5,0)</f>
        <v>-3.0504452297464016E-13</v>
      </c>
      <c r="GW146" s="13" t="e">
        <f t="shared" si="159"/>
        <v>#NUM!</v>
      </c>
      <c r="GX146" s="20" t="e">
        <f t="shared" si="136"/>
        <v>#NUM!</v>
      </c>
      <c r="GY146" s="59" t="e">
        <f t="shared" si="137"/>
        <v>#NUM!</v>
      </c>
      <c r="GZ146" s="59">
        <f ca="1">AVERAGE(OFFSET($GY$3,0,0,'Données projet'!$E$18+1,1))-AVERAGE(OFFSET($H$3,0,0,'Données projet'!$E$18+1,1))</f>
        <v>542.25674729323623</v>
      </c>
      <c r="HA146" s="59">
        <f t="shared" si="160"/>
        <v>614.73906555680685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179.60953607039821</v>
      </c>
      <c r="HH146" s="21">
        <f>EXP(-LN(2)/25)*HH145+(1-EXP(-LN(2)/25))/(LN(2)/25)*Calculateur!HC146*Calculateur!HE146*VLOOKUP('Données projet'!$B$18,Paramètres!$A$1:$I$89,3,0)*0.475*44/12</f>
        <v>0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179.60953607039821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2.8499999999999996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10.449999999999998</v>
      </c>
      <c r="H147" s="67">
        <f t="shared" si="110"/>
        <v>214.86666666666667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68.853450603819155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-1.0231815394945443E-12</v>
      </c>
      <c r="O147" s="13">
        <f>N147*VLOOKUP('Données projet'!$B$9,Paramètres!$A$1:$I$89,3,0)*VLOOKUP('Données projet'!$B$9,Paramètres!$A$1:$I$89,5,0)</f>
        <v>-8.9385139290243408E-13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686.80970545599644</v>
      </c>
      <c r="T147" s="59">
        <f t="shared" si="142"/>
        <v>636.16485232937737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48.87583514104459</v>
      </c>
      <c r="AA147" s="21">
        <f>EXP(-LN(2)/25)*AA146+(1-EXP(-LN(2)/25))/(LN(2)/25)*Calculateur!V147*Calculateur!X147*VLOOKUP('Données projet'!$B$9,Paramètres!$A$1:$I$89,3,0)*0.475*44/12</f>
        <v>3.8698793496900916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52.745714490734684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68.853450603819155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1.1368683772161603E-13</v>
      </c>
      <c r="AJ147" s="13">
        <f>AI147*VLOOKUP('Données projet'!$B$10,Paramètres!$A$1:$I$89,3,0)*VLOOKUP('Données projet'!$B$10,Paramètres!$A$1:$I$89,5,0)</f>
        <v>1.0286385077051818E-13</v>
      </c>
      <c r="AK147" s="13">
        <f t="shared" si="143"/>
        <v>1.5402366592183556E-12</v>
      </c>
      <c r="AL147" s="20">
        <f t="shared" si="112"/>
        <v>2.8617333882306215E-12</v>
      </c>
      <c r="AM147" s="59">
        <f t="shared" si="113"/>
        <v>289.12931888067311</v>
      </c>
      <c r="AN147" s="59">
        <f ca="1">AVERAGE(OFFSET($AM$3,0,0,'Données projet'!$E$10+1,1))-AVERAGE(OFFSET($H$3,0,0,'Données projet'!$E$10+1,1))</f>
        <v>323.67375363913726</v>
      </c>
      <c r="AO147" s="59">
        <f t="shared" si="144"/>
        <v>266.03902815735029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42.861078192962381</v>
      </c>
      <c r="AV147" s="21">
        <f>EXP(-LN(2)/25)*AV146+(1-EXP(-LN(2)/25))/(LN(2)/25)*Calculateur!AQ147*Calculateur!AS147*VLOOKUP('Données projet'!$B$10,Paramètres!$A$1:$I$89,3,0)*0.475*44/12</f>
        <v>8.9331050890384702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51.794183282000851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68.853450603819155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371.46495716091965</v>
      </c>
      <c r="BJ147" s="59">
        <f t="shared" si="146"/>
        <v>579.95059529269417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31.277851668354625</v>
      </c>
      <c r="BQ147" s="21">
        <f>EXP(-LN(2)/25)*BQ146+(1-EXP(-LN(2)/25))/(LN(2)/25)*Calculateur!BL147*Calculateur!BN147*VLOOKUP('Données projet'!$B$11,Paramètres!$A$1:$I$89,3,0)*0.475*44/12</f>
        <v>4.4270870087881189</v>
      </c>
      <c r="BR147" s="21">
        <f>EXP(-LN(2)/2)*BR146+(1-EXP(-LN(2)/2))/(LN(2)/2)*BL147*BO147*VLOOKUP('Données projet'!$B$11,Paramètres!$A$1:$I$89,3,0)*0.475*44/12</f>
        <v>4.877568122279848E-14</v>
      </c>
      <c r="BS147" s="22">
        <f t="shared" si="117"/>
        <v>35.704938677142792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68.853450603819155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180.18752244216969</v>
      </c>
      <c r="CE147" s="59">
        <f t="shared" si="148"/>
        <v>350.12096474554676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37.768363868162076</v>
      </c>
      <c r="CL147" s="21">
        <f>EXP(-LN(2)/25)*CL146+(1-EXP(-LN(2)/25))/(LN(2)/25)*Calculateur!CG147*Calculateur!CI147*VLOOKUP('Données projet'!$B$12,Paramètres!$A$1:$I$89,3,0)*0.475*44/12</f>
        <v>7.8933954402814788</v>
      </c>
      <c r="CM147" s="21">
        <f>EXP(-LN(2)/2)*CM146+(1-EXP(-LN(2)/2))/(LN(2)/2)*CG147*CJ147*VLOOKUP('Données projet'!$B$12,Paramètres!$A$1:$I$89,3,0)*0.475*44/12</f>
        <v>3.7057278269380026E-14</v>
      </c>
      <c r="CN147" s="22">
        <f t="shared" si="120"/>
        <v>45.661759308443592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68.853450603819155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5.6843418860808015E-14</v>
      </c>
      <c r="CU147" s="17">
        <f>CT147*VLOOKUP('Données projet'!$B$13,Paramètres!$A$1:$I$89,3,0)*VLOOKUP('Données projet'!$B$13,Paramètres!$A$1:$I$89,5,0)</f>
        <v>4.5224624045658861E-14</v>
      </c>
      <c r="CV147" s="13">
        <f t="shared" si="149"/>
        <v>7.4514601661523691E-13</v>
      </c>
      <c r="CW147" s="20">
        <f t="shared" si="121"/>
        <v>1.3765621991510601E-12</v>
      </c>
      <c r="CX147" s="59">
        <f t="shared" si="122"/>
        <v>289.12931888067163</v>
      </c>
      <c r="CY147" s="59">
        <f ca="1">AVERAGE(OFFSET($CX$3,0,0,'Données projet'!$E$13+1,1))-AVERAGE(OFFSET($H$3,0,0,'Données projet'!$E$13+1,1))</f>
        <v>284.31574332240928</v>
      </c>
      <c r="CZ147" s="59">
        <f t="shared" si="150"/>
        <v>403.96994631683913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159.04219186822738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159.04219186822738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68.853450603819155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190.9519472160006</v>
      </c>
      <c r="DU147" s="59">
        <f t="shared" si="152"/>
        <v>170.61553500287511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34.054652476684858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34.054652476684858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68.853450603819155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>
        <f>EJ147*VLOOKUP('Données projet'!$B$15,Paramètres!$A$1:$I$89,3,0)*VLOOKUP('Données projet'!$B$15,Paramètres!$A$1:$I$89,5,0)</f>
        <v>0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331.94255128154623</v>
      </c>
      <c r="EP147" s="59">
        <f t="shared" si="154"/>
        <v>258.40809812013964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435.11140778115242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435.11140778115242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68.853450603819155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>
        <f>FE147*VLOOKUP('Données projet'!$B$16,Paramètres!$A$1:$I$89,3,0)*VLOOKUP('Données projet'!$B$16,Paramètres!$A$1:$I$89,5,0)</f>
        <v>0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290.72311302449236</v>
      </c>
      <c r="FK147" s="59">
        <f t="shared" si="156"/>
        <v>352.32552988394434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130.90088910003087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130.90088910003087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68.853450603819155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>
        <f>FZ147*VLOOKUP('Données projet'!$B$17,Paramètres!$A$1:$I$89,3,0)*VLOOKUP('Données projet'!$B$17,Paramètres!$A$1:$I$89,5,0)</f>
        <v>0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123.03972959251965</v>
      </c>
      <c r="GF147" s="59">
        <f t="shared" si="158"/>
        <v>178.27657680839445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28.4520892168124</v>
      </c>
      <c r="GM147" s="21">
        <f>EXP(-LN(2)/25)*GM146+(1-EXP(-LN(2)/25))/(LN(2)/25)*Calculateur!GH147*Calculateur!GJ147*VLOOKUP('Données projet'!$B$17,Paramètres!$A$1:$I$89,3,0)*0.475*44/12</f>
        <v>4.3169349299760862</v>
      </c>
      <c r="GN147" s="21">
        <f>EXP(-LN(2)/2)*GN146+(1-EXP(-LN(2)/2))/(LN(2)/2)*GH147*GK147*VLOOKUP('Données projet'!$B$17,Paramètres!$A$1:$I$89,3,0)*0.475*44/12</f>
        <v>7.4373089365680513E-11</v>
      </c>
      <c r="GO147" s="21">
        <f t="shared" si="135"/>
        <v>32.769024146862861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68.853450603819155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-4.5474735088646412E-13</v>
      </c>
      <c r="GV147" s="17">
        <f>GU147*VLOOKUP('Données projet'!$B$18,Paramètres!$A$1:$I$89,3,0)*VLOOKUP('Données projet'!$B$18,Paramètres!$A$1:$I$89,5,0)</f>
        <v>-3.0504452297464016E-13</v>
      </c>
      <c r="GW147" s="13" t="e">
        <f t="shared" si="159"/>
        <v>#NUM!</v>
      </c>
      <c r="GX147" s="20" t="e">
        <f t="shared" si="136"/>
        <v>#NUM!</v>
      </c>
      <c r="GY147" s="59" t="e">
        <f t="shared" si="137"/>
        <v>#NUM!</v>
      </c>
      <c r="GZ147" s="59">
        <f ca="1">AVERAGE(OFFSET($GY$3,0,0,'Données projet'!$E$18+1,1))-AVERAGE(OFFSET($H$3,0,0,'Données projet'!$E$18+1,1))</f>
        <v>542.25674729323623</v>
      </c>
      <c r="HA147" s="59">
        <f t="shared" si="160"/>
        <v>614.73906555680685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176.08750261905743</v>
      </c>
      <c r="HH147" s="21">
        <f>EXP(-LN(2)/25)*HH146+(1-EXP(-LN(2)/25))/(LN(2)/25)*Calculateur!HC147*Calculateur!HE147*VLOOKUP('Données projet'!$B$18,Paramètres!$A$1:$I$89,3,0)*0.475*44/12</f>
        <v>0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176.08750261905743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2.8499999999999996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10.449999999999998</v>
      </c>
      <c r="H148" s="67">
        <f t="shared" si="110"/>
        <v>214.86666666666667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68.873340672542454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-1.0231815394945443E-12</v>
      </c>
      <c r="O148" s="13">
        <f>N148*VLOOKUP('Données projet'!$B$9,Paramètres!$A$1:$I$89,3,0)*VLOOKUP('Données projet'!$B$9,Paramètres!$A$1:$I$89,5,0)</f>
        <v>-8.9385139290243408E-13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686.80970545599644</v>
      </c>
      <c r="T148" s="59">
        <f t="shared" si="142"/>
        <v>636.16485232937737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47.917409825244519</v>
      </c>
      <c r="AA148" s="21">
        <f>EXP(-LN(2)/25)*AA147+(1-EXP(-LN(2)/25))/(LN(2)/25)*Calculateur!V148*Calculateur!X148*VLOOKUP('Données projet'!$B$9,Paramètres!$A$1:$I$89,3,0)*0.475*44/12</f>
        <v>3.7640572953647058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51.681467120609227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68.873340672542454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1.1368683772161603E-13</v>
      </c>
      <c r="AJ148" s="13">
        <f>AI148*VLOOKUP('Données projet'!$B$10,Paramètres!$A$1:$I$89,3,0)*VLOOKUP('Données projet'!$B$10,Paramètres!$A$1:$I$89,5,0)</f>
        <v>1.0286385077051818E-13</v>
      </c>
      <c r="AK148" s="13">
        <f t="shared" si="143"/>
        <v>1.5402366592183556E-12</v>
      </c>
      <c r="AL148" s="20">
        <f t="shared" si="112"/>
        <v>2.8617333882306215E-12</v>
      </c>
      <c r="AM148" s="59">
        <f t="shared" si="113"/>
        <v>289.20224913265849</v>
      </c>
      <c r="AN148" s="59">
        <f ca="1">AVERAGE(OFFSET($AM$3,0,0,'Données projet'!$E$10+1,1))-AVERAGE(OFFSET($H$3,0,0,'Données projet'!$E$10+1,1))</f>
        <v>323.67375363913726</v>
      </c>
      <c r="AO148" s="59">
        <f t="shared" si="144"/>
        <v>266.03902815735029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42.020598592274709</v>
      </c>
      <c r="AV148" s="21">
        <f>EXP(-LN(2)/25)*AV147+(1-EXP(-LN(2)/25))/(LN(2)/25)*Calculateur!AQ148*Calculateur!AS148*VLOOKUP('Données projet'!$B$10,Paramètres!$A$1:$I$89,3,0)*0.475*44/12</f>
        <v>8.6888288606071331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50.70942745288184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68.873340672542454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371.46495716091965</v>
      </c>
      <c r="BJ148" s="59">
        <f t="shared" si="146"/>
        <v>579.95059529269417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30.66451207474395</v>
      </c>
      <c r="BQ148" s="21">
        <f>EXP(-LN(2)/25)*BQ147+(1-EXP(-LN(2)/25))/(LN(2)/25)*Calculateur!BL148*Calculateur!BN148*VLOOKUP('Données projet'!$B$11,Paramètres!$A$1:$I$89,3,0)*0.475*44/12</f>
        <v>4.3060280817224204</v>
      </c>
      <c r="BR148" s="21">
        <f>EXP(-LN(2)/2)*BR147+(1-EXP(-LN(2)/2))/(LN(2)/2)*BL148*BO148*VLOOKUP('Données projet'!$B$11,Paramètres!$A$1:$I$89,3,0)*0.475*44/12</f>
        <v>3.4489614949634159E-14</v>
      </c>
      <c r="BS148" s="22">
        <f t="shared" si="117"/>
        <v>34.970540156466406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68.873340672542454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180.18752244216969</v>
      </c>
      <c r="CE148" s="59">
        <f t="shared" si="148"/>
        <v>350.12096474554676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37.027749289134718</v>
      </c>
      <c r="CL148" s="21">
        <f>EXP(-LN(2)/25)*CL147+(1-EXP(-LN(2)/25))/(LN(2)/25)*Calculateur!CG148*Calculateur!CI148*VLOOKUP('Données projet'!$B$12,Paramètres!$A$1:$I$89,3,0)*0.475*44/12</f>
        <v>7.6775501268713562</v>
      </c>
      <c r="CM148" s="21">
        <f>EXP(-LN(2)/2)*CM147+(1-EXP(-LN(2)/2))/(LN(2)/2)*CG148*CJ148*VLOOKUP('Données projet'!$B$12,Paramètres!$A$1:$I$89,3,0)*0.475*44/12</f>
        <v>2.6203452756595505E-14</v>
      </c>
      <c r="CN148" s="22">
        <f t="shared" si="120"/>
        <v>44.705299416006099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68.873340672542454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5.6843418860808015E-14</v>
      </c>
      <c r="CU148" s="17">
        <f>CT148*VLOOKUP('Données projet'!$B$13,Paramètres!$A$1:$I$89,3,0)*VLOOKUP('Données projet'!$B$13,Paramètres!$A$1:$I$89,5,0)</f>
        <v>4.5224624045658861E-14</v>
      </c>
      <c r="CV148" s="13">
        <f t="shared" si="149"/>
        <v>7.4514601661523691E-13</v>
      </c>
      <c r="CW148" s="20">
        <f t="shared" si="121"/>
        <v>1.3765621991510601E-12</v>
      </c>
      <c r="CX148" s="59">
        <f t="shared" si="122"/>
        <v>289.20224913265702</v>
      </c>
      <c r="CY148" s="59">
        <f ca="1">AVERAGE(OFFSET($CX$3,0,0,'Données projet'!$E$13+1,1))-AVERAGE(OFFSET($H$3,0,0,'Données projet'!$E$13+1,1))</f>
        <v>284.31574332240928</v>
      </c>
      <c r="CZ148" s="59">
        <f t="shared" si="150"/>
        <v>403.96994631683913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155.92347149184991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155.92347149184991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68.873340672542454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190.9519472160006</v>
      </c>
      <c r="DU148" s="59">
        <f t="shared" si="152"/>
        <v>170.61553500287511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33.386861512904083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33.386861512904083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68.873340672542454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>
        <f>EJ148*VLOOKUP('Données projet'!$B$15,Paramètres!$A$1:$I$89,3,0)*VLOOKUP('Données projet'!$B$15,Paramètres!$A$1:$I$89,5,0)</f>
        <v>0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331.94255128154623</v>
      </c>
      <c r="EP148" s="59">
        <f t="shared" si="154"/>
        <v>258.40809812013964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426.57913846631749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426.57913846631749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68.873340672542454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>
        <f>FE148*VLOOKUP('Données projet'!$B$16,Paramètres!$A$1:$I$89,3,0)*VLOOKUP('Données projet'!$B$16,Paramètres!$A$1:$I$89,5,0)</f>
        <v>0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290.72311302449236</v>
      </c>
      <c r="FK148" s="59">
        <f t="shared" si="156"/>
        <v>352.32552988394434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128.33400250643791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128.33400250643791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68.873340672542454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>
        <f>FZ148*VLOOKUP('Données projet'!$B$17,Paramètres!$A$1:$I$89,3,0)*VLOOKUP('Données projet'!$B$17,Paramètres!$A$1:$I$89,5,0)</f>
        <v>0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123.03972959251965</v>
      </c>
      <c r="GF148" s="59">
        <f t="shared" si="158"/>
        <v>178.27657680839445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27.894161101331559</v>
      </c>
      <c r="GM148" s="21">
        <f>EXP(-LN(2)/25)*GM147+(1-EXP(-LN(2)/25))/(LN(2)/25)*Calculateur!GH148*Calculateur!GJ148*VLOOKUP('Données projet'!$B$17,Paramètres!$A$1:$I$89,3,0)*0.475*44/12</f>
        <v>4.1988881172981483</v>
      </c>
      <c r="GN148" s="21">
        <f>EXP(-LN(2)/2)*GN147+(1-EXP(-LN(2)/2))/(LN(2)/2)*GH148*GK148*VLOOKUP('Données projet'!$B$17,Paramètres!$A$1:$I$89,3,0)*0.475*44/12</f>
        <v>5.2589715828265796E-11</v>
      </c>
      <c r="GO148" s="21">
        <f t="shared" si="135"/>
        <v>32.093049218682296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68.873340672542454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-4.5474735088646412E-13</v>
      </c>
      <c r="GV148" s="17">
        <f>GU148*VLOOKUP('Données projet'!$B$18,Paramètres!$A$1:$I$89,3,0)*VLOOKUP('Données projet'!$B$18,Paramètres!$A$1:$I$89,5,0)</f>
        <v>-3.0504452297464016E-13</v>
      </c>
      <c r="GW148" s="13" t="e">
        <f t="shared" si="159"/>
        <v>#NUM!</v>
      </c>
      <c r="GX148" s="20" t="e">
        <f t="shared" si="136"/>
        <v>#NUM!</v>
      </c>
      <c r="GY148" s="59" t="e">
        <f t="shared" si="137"/>
        <v>#NUM!</v>
      </c>
      <c r="GZ148" s="59">
        <f ca="1">AVERAGE(OFFSET($GY$3,0,0,'Données projet'!$E$18+1,1))-AVERAGE(OFFSET($H$3,0,0,'Données projet'!$E$18+1,1))</f>
        <v>542.25674729323623</v>
      </c>
      <c r="HA148" s="59">
        <f t="shared" si="160"/>
        <v>614.73906555680685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172.63453409546918</v>
      </c>
      <c r="HH148" s="21">
        <f>EXP(-LN(2)/25)*HH147+(1-EXP(-LN(2)/25))/(LN(2)/25)*Calculateur!HC148*Calculateur!HE148*VLOOKUP('Données projet'!$B$18,Paramètres!$A$1:$I$89,3,0)*0.475*44/12</f>
        <v>0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172.63453409546918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2.8499999999999996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10.449999999999998</v>
      </c>
      <c r="H149" s="67">
        <f t="shared" si="110"/>
        <v>214.86666666666667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68.892885693040938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-1.0231815394945443E-12</v>
      </c>
      <c r="O149" s="13">
        <f>N149*VLOOKUP('Données projet'!$B$9,Paramètres!$A$1:$I$89,3,0)*VLOOKUP('Données projet'!$B$9,Paramètres!$A$1:$I$89,5,0)</f>
        <v>-8.9385139290243408E-13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686.80970545599644</v>
      </c>
      <c r="T149" s="59">
        <f t="shared" si="142"/>
        <v>636.16485232937737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46.97777864530557</v>
      </c>
      <c r="AA149" s="21">
        <f>EXP(-LN(2)/25)*AA148+(1-EXP(-LN(2)/25))/(LN(2)/25)*Calculateur!V149*Calculateur!X149*VLOOKUP('Données projet'!$B$9,Paramètres!$A$1:$I$89,3,0)*0.475*44/12</f>
        <v>3.6611289506797875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50.638907595985359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68.892885693040938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1.1368683772161603E-13</v>
      </c>
      <c r="AJ149" s="13">
        <f>AI149*VLOOKUP('Données projet'!$B$10,Paramètres!$A$1:$I$89,3,0)*VLOOKUP('Données projet'!$B$10,Paramètres!$A$1:$I$89,5,0)</f>
        <v>1.0286385077051818E-13</v>
      </c>
      <c r="AK149" s="13">
        <f t="shared" si="143"/>
        <v>1.5402366592183556E-12</v>
      </c>
      <c r="AL149" s="20">
        <f t="shared" si="112"/>
        <v>2.8617333882306215E-12</v>
      </c>
      <c r="AM149" s="59">
        <f t="shared" si="113"/>
        <v>289.27391420781959</v>
      </c>
      <c r="AN149" s="59">
        <f ca="1">AVERAGE(OFFSET($AM$3,0,0,'Données projet'!$E$10+1,1))-AVERAGE(OFFSET($H$3,0,0,'Données projet'!$E$10+1,1))</f>
        <v>323.67375363913726</v>
      </c>
      <c r="AO149" s="59">
        <f t="shared" si="144"/>
        <v>266.03902815735029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41.196600283914584</v>
      </c>
      <c r="AV149" s="21">
        <f>EXP(-LN(2)/25)*AV148+(1-EXP(-LN(2)/25))/(LN(2)/25)*Calculateur!AQ149*Calculateur!AS149*VLOOKUP('Données projet'!$B$10,Paramètres!$A$1:$I$89,3,0)*0.475*44/12</f>
        <v>8.4512323784881804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49.647832662402763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68.892885693040938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371.46495716091965</v>
      </c>
      <c r="BJ149" s="59">
        <f t="shared" si="146"/>
        <v>579.95059529269417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30.063199696463769</v>
      </c>
      <c r="BQ149" s="21">
        <f>EXP(-LN(2)/25)*BQ148+(1-EXP(-LN(2)/25))/(LN(2)/25)*Calculateur!BL149*Calculateur!BN149*VLOOKUP('Données projet'!$B$11,Paramètres!$A$1:$I$89,3,0)*0.475*44/12</f>
        <v>4.1882795173835454</v>
      </c>
      <c r="BR149" s="21">
        <f>EXP(-LN(2)/2)*BR148+(1-EXP(-LN(2)/2))/(LN(2)/2)*BL149*BO149*VLOOKUP('Données projet'!$B$11,Paramètres!$A$1:$I$89,3,0)*0.475*44/12</f>
        <v>2.438784061139924E-14</v>
      </c>
      <c r="BS149" s="22">
        <f t="shared" si="117"/>
        <v>34.25147921384734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68.892885693040938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180.18752244216969</v>
      </c>
      <c r="CE149" s="59">
        <f t="shared" si="148"/>
        <v>350.12096474554676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36.301657710271797</v>
      </c>
      <c r="CL149" s="21">
        <f>EXP(-LN(2)/25)*CL148+(1-EXP(-LN(2)/25))/(LN(2)/25)*Calculateur!CG149*Calculateur!CI149*VLOOKUP('Données projet'!$B$12,Paramètres!$A$1:$I$89,3,0)*0.475*44/12</f>
        <v>7.4676071149072447</v>
      </c>
      <c r="CM149" s="21">
        <f>EXP(-LN(2)/2)*CM148+(1-EXP(-LN(2)/2))/(LN(2)/2)*CG149*CJ149*VLOOKUP('Données projet'!$B$12,Paramètres!$A$1:$I$89,3,0)*0.475*44/12</f>
        <v>1.8528639134690013E-14</v>
      </c>
      <c r="CN149" s="22">
        <f t="shared" si="120"/>
        <v>43.769264825179064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68.892885693040938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5.6843418860808015E-14</v>
      </c>
      <c r="CU149" s="17">
        <f>CT149*VLOOKUP('Données projet'!$B$13,Paramètres!$A$1:$I$89,3,0)*VLOOKUP('Données projet'!$B$13,Paramètres!$A$1:$I$89,5,0)</f>
        <v>4.5224624045658861E-14</v>
      </c>
      <c r="CV149" s="13">
        <f t="shared" si="149"/>
        <v>7.4514601661523691E-13</v>
      </c>
      <c r="CW149" s="20">
        <f t="shared" si="121"/>
        <v>1.3765621991510601E-12</v>
      </c>
      <c r="CX149" s="59">
        <f t="shared" si="122"/>
        <v>289.27391420781811</v>
      </c>
      <c r="CY149" s="59">
        <f ca="1">AVERAGE(OFFSET($CX$3,0,0,'Données projet'!$E$13+1,1))-AVERAGE(OFFSET($H$3,0,0,'Données projet'!$E$13+1,1))</f>
        <v>284.31574332240928</v>
      </c>
      <c r="CZ149" s="59">
        <f t="shared" si="150"/>
        <v>403.96994631683913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152.86590731982162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152.86590731982162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68.892885693040938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190.9519472160006</v>
      </c>
      <c r="DU149" s="59">
        <f t="shared" si="152"/>
        <v>170.61553500287511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32.732165522610785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32.732165522610785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68.892885693040938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>
        <f>EJ149*VLOOKUP('Données projet'!$B$15,Paramètres!$A$1:$I$89,3,0)*VLOOKUP('Données projet'!$B$15,Paramètres!$A$1:$I$89,5,0)</f>
        <v>0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331.94255128154623</v>
      </c>
      <c r="EP149" s="59">
        <f t="shared" si="154"/>
        <v>258.40809812013964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418.2141817485761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418.2141817485761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68.892885693040938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>
        <f>FE149*VLOOKUP('Données projet'!$B$16,Paramètres!$A$1:$I$89,3,0)*VLOOKUP('Données projet'!$B$16,Paramètres!$A$1:$I$89,5,0)</f>
        <v>0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290.72311302449236</v>
      </c>
      <c r="FK149" s="59">
        <f t="shared" si="156"/>
        <v>352.32552988394434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125.81745099329908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125.81745099329908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68.892885693040938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>
        <f>FZ149*VLOOKUP('Données projet'!$B$17,Paramètres!$A$1:$I$89,3,0)*VLOOKUP('Données projet'!$B$17,Paramètres!$A$1:$I$89,5,0)</f>
        <v>0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123.03972959251965</v>
      </c>
      <c r="GF149" s="59">
        <f t="shared" si="158"/>
        <v>178.27657680839445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27.34717361589275</v>
      </c>
      <c r="GM149" s="21">
        <f>EXP(-LN(2)/25)*GM148+(1-EXP(-LN(2)/25))/(LN(2)/25)*Calculateur!GH149*Calculateur!GJ149*VLOOKUP('Données projet'!$B$17,Paramètres!$A$1:$I$89,3,0)*0.475*44/12</f>
        <v>4.0840693009207012</v>
      </c>
      <c r="GN149" s="21">
        <f>EXP(-LN(2)/2)*GN148+(1-EXP(-LN(2)/2))/(LN(2)/2)*GH149*GK149*VLOOKUP('Données projet'!$B$17,Paramètres!$A$1:$I$89,3,0)*0.475*44/12</f>
        <v>3.7186544682840256E-11</v>
      </c>
      <c r="GO149" s="21">
        <f t="shared" si="135"/>
        <v>31.431242916850639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68.892885693040938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-4.5474735088646412E-13</v>
      </c>
      <c r="GV149" s="17">
        <f>GU149*VLOOKUP('Données projet'!$B$18,Paramètres!$A$1:$I$89,3,0)*VLOOKUP('Données projet'!$B$18,Paramètres!$A$1:$I$89,5,0)</f>
        <v>-3.0504452297464016E-13</v>
      </c>
      <c r="GW149" s="13" t="e">
        <f t="shared" si="159"/>
        <v>#NUM!</v>
      </c>
      <c r="GX149" s="20" t="e">
        <f t="shared" si="136"/>
        <v>#NUM!</v>
      </c>
      <c r="GY149" s="59" t="e">
        <f t="shared" si="137"/>
        <v>#NUM!</v>
      </c>
      <c r="GZ149" s="59">
        <f ca="1">AVERAGE(OFFSET($GY$3,0,0,'Données projet'!$E$18+1,1))-AVERAGE(OFFSET($H$3,0,0,'Données projet'!$E$18+1,1))</f>
        <v>542.25674729323623</v>
      </c>
      <c r="HA149" s="59">
        <f t="shared" si="160"/>
        <v>614.73906555680685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169.24927617852563</v>
      </c>
      <c r="HH149" s="21">
        <f>EXP(-LN(2)/25)*HH148+(1-EXP(-LN(2)/25))/(LN(2)/25)*Calculateur!HC149*Calculateur!HE149*VLOOKUP('Données projet'!$B$18,Paramètres!$A$1:$I$89,3,0)*0.475*44/12</f>
        <v>0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169.24927617852563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2.8499999999999996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10.449999999999998</v>
      </c>
      <c r="H150" s="67">
        <f t="shared" si="110"/>
        <v>214.86666666666667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68.912091651129884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-1.0231815394945443E-12</v>
      </c>
      <c r="O150" s="13">
        <f>N150*VLOOKUP('Données projet'!$B$9,Paramètres!$A$1:$I$89,3,0)*VLOOKUP('Données projet'!$B$9,Paramètres!$A$1:$I$89,5,0)</f>
        <v>-8.9385139290243408E-13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686.80970545599644</v>
      </c>
      <c r="T150" s="59">
        <f t="shared" si="142"/>
        <v>636.16485232937737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46.056573059686791</v>
      </c>
      <c r="AA150" s="21">
        <f>EXP(-LN(2)/25)*AA149+(1-EXP(-LN(2)/25))/(LN(2)/25)*Calculateur!V150*Calculateur!X150*VLOOKUP('Données projet'!$B$9,Paramètres!$A$1:$I$89,3,0)*0.475*44/12</f>
        <v>3.5610151869930449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49.617588246679837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68.912091651129884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1.1368683772161603E-13</v>
      </c>
      <c r="AJ150" s="13">
        <f>AI150*VLOOKUP('Données projet'!$B$10,Paramètres!$A$1:$I$89,3,0)*VLOOKUP('Données projet'!$B$10,Paramètres!$A$1:$I$89,5,0)</f>
        <v>1.0286385077051818E-13</v>
      </c>
      <c r="AK150" s="13">
        <f t="shared" si="143"/>
        <v>1.5402366592183556E-12</v>
      </c>
      <c r="AL150" s="20">
        <f t="shared" si="112"/>
        <v>2.8617333882306215E-12</v>
      </c>
      <c r="AM150" s="59">
        <f t="shared" si="113"/>
        <v>289.34433605414574</v>
      </c>
      <c r="AN150" s="59">
        <f ca="1">AVERAGE(OFFSET($AM$3,0,0,'Données projet'!$E$10+1,1))-AVERAGE(OFFSET($H$3,0,0,'Données projet'!$E$10+1,1))</f>
        <v>323.67375363913726</v>
      </c>
      <c r="AO150" s="59">
        <f t="shared" si="144"/>
        <v>266.03902815735029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40.388760079792064</v>
      </c>
      <c r="AV150" s="21">
        <f>EXP(-LN(2)/25)*AV149+(1-EXP(-LN(2)/25))/(LN(2)/25)*Calculateur!AQ150*Calculateur!AS150*VLOOKUP('Données projet'!$B$10,Paramètres!$A$1:$I$89,3,0)*0.475*44/12</f>
        <v>8.2201329846674263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48.608893064459494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68.912091651129884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371.46495716091965</v>
      </c>
      <c r="BJ150" s="59">
        <f t="shared" si="146"/>
        <v>579.95059529269417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29.473678687157328</v>
      </c>
      <c r="BQ150" s="21">
        <f>EXP(-LN(2)/25)*BQ149+(1-EXP(-LN(2)/25))/(LN(2)/25)*Calculateur!BL150*Calculateur!BN150*VLOOKUP('Données projet'!$B$11,Paramètres!$A$1:$I$89,3,0)*0.475*44/12</f>
        <v>4.073750793728645</v>
      </c>
      <c r="BR150" s="21">
        <f>EXP(-LN(2)/2)*BR149+(1-EXP(-LN(2)/2))/(LN(2)/2)*BL150*BO150*VLOOKUP('Données projet'!$B$11,Paramètres!$A$1:$I$89,3,0)*0.475*44/12</f>
        <v>1.724480747481708E-14</v>
      </c>
      <c r="BS150" s="22">
        <f t="shared" si="117"/>
        <v>33.547429480885988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68.912091651129884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180.18752244216969</v>
      </c>
      <c r="CE150" s="59">
        <f t="shared" si="148"/>
        <v>350.12096474554676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35.589804344398246</v>
      </c>
      <c r="CL150" s="21">
        <f>EXP(-LN(2)/25)*CL149+(1-EXP(-LN(2)/25))/(LN(2)/25)*Calculateur!CG150*Calculateur!CI150*VLOOKUP('Données projet'!$B$12,Paramètres!$A$1:$I$89,3,0)*0.475*44/12</f>
        <v>7.2634050056457156</v>
      </c>
      <c r="CM150" s="21">
        <f>EXP(-LN(2)/2)*CM149+(1-EXP(-LN(2)/2))/(LN(2)/2)*CG150*CJ150*VLOOKUP('Données projet'!$B$12,Paramètres!$A$1:$I$89,3,0)*0.475*44/12</f>
        <v>1.3101726378297752E-14</v>
      </c>
      <c r="CN150" s="22">
        <f t="shared" si="120"/>
        <v>42.853209350043976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68.912091651129884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5.6843418860808015E-14</v>
      </c>
      <c r="CU150" s="17">
        <f>CT150*VLOOKUP('Données projet'!$B$13,Paramètres!$A$1:$I$89,3,0)*VLOOKUP('Données projet'!$B$13,Paramètres!$A$1:$I$89,5,0)</f>
        <v>4.5224624045658861E-14</v>
      </c>
      <c r="CV150" s="13">
        <f t="shared" si="149"/>
        <v>7.4514601661523691E-13</v>
      </c>
      <c r="CW150" s="20">
        <f t="shared" si="121"/>
        <v>1.3765621991510601E-12</v>
      </c>
      <c r="CX150" s="59">
        <f t="shared" si="122"/>
        <v>289.34433605414426</v>
      </c>
      <c r="CY150" s="59">
        <f ca="1">AVERAGE(OFFSET($CX$3,0,0,'Données projet'!$E$13+1,1))-AVERAGE(OFFSET($H$3,0,0,'Données projet'!$E$13+1,1))</f>
        <v>284.31574332240928</v>
      </c>
      <c r="CZ150" s="59">
        <f t="shared" si="150"/>
        <v>403.96994631683913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149.8683001162768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149.8683001162768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68.912091651129884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190.9519472160006</v>
      </c>
      <c r="DU150" s="59">
        <f t="shared" si="152"/>
        <v>170.61553500287511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32.090307721362009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32.090307721362009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68.912091651129884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>
        <f>EJ150*VLOOKUP('Données projet'!$B$15,Paramètres!$A$1:$I$89,3,0)*VLOOKUP('Données projet'!$B$15,Paramètres!$A$1:$I$89,5,0)</f>
        <v>0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331.94255128154623</v>
      </c>
      <c r="EP150" s="59">
        <f t="shared" si="154"/>
        <v>258.40809812013964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410.01325672994977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410.01325672994977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68.912091651129884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>
        <f>FE150*VLOOKUP('Données projet'!$B$16,Paramètres!$A$1:$I$89,3,0)*VLOOKUP('Données projet'!$B$16,Paramètres!$A$1:$I$89,5,0)</f>
        <v>0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290.72311302449236</v>
      </c>
      <c r="FK150" s="59">
        <f t="shared" si="156"/>
        <v>352.32552988394434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123.35024752038804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123.35024752038804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68.912091651129884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>
        <f>FZ150*VLOOKUP('Données projet'!$B$17,Paramètres!$A$1:$I$89,3,0)*VLOOKUP('Données projet'!$B$17,Paramètres!$A$1:$I$89,5,0)</f>
        <v>0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123.03972959251965</v>
      </c>
      <c r="GF150" s="59">
        <f t="shared" si="158"/>
        <v>178.27657680839445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26.810912221413972</v>
      </c>
      <c r="GM150" s="21">
        <f>EXP(-LN(2)/25)*GM149+(1-EXP(-LN(2)/25))/(LN(2)/25)*Calculateur!GH150*Calculateur!GJ150*VLOOKUP('Données projet'!$B$17,Paramètres!$A$1:$I$89,3,0)*0.475*44/12</f>
        <v>3.9723902111151546</v>
      </c>
      <c r="GN150" s="21">
        <f>EXP(-LN(2)/2)*GN149+(1-EXP(-LN(2)/2))/(LN(2)/2)*GH150*GK150*VLOOKUP('Données projet'!$B$17,Paramètres!$A$1:$I$89,3,0)*0.475*44/12</f>
        <v>2.6294857914132898E-11</v>
      </c>
      <c r="GO150" s="21">
        <f t="shared" si="135"/>
        <v>30.78330243255542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68.912091651129884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-4.5474735088646412E-13</v>
      </c>
      <c r="GV150" s="17">
        <f>GU150*VLOOKUP('Données projet'!$B$18,Paramètres!$A$1:$I$89,3,0)*VLOOKUP('Données projet'!$B$18,Paramètres!$A$1:$I$89,5,0)</f>
        <v>-3.0504452297464016E-13</v>
      </c>
      <c r="GW150" s="13" t="e">
        <f t="shared" si="159"/>
        <v>#NUM!</v>
      </c>
      <c r="GX150" s="20" t="e">
        <f t="shared" si="136"/>
        <v>#NUM!</v>
      </c>
      <c r="GY150" s="59" t="e">
        <f t="shared" si="137"/>
        <v>#NUM!</v>
      </c>
      <c r="GZ150" s="59">
        <f ca="1">AVERAGE(OFFSET($GY$3,0,0,'Données projet'!$E$18+1,1))-AVERAGE(OFFSET($H$3,0,0,'Données projet'!$E$18+1,1))</f>
        <v>542.25674729323623</v>
      </c>
      <c r="HA150" s="59">
        <f t="shared" si="160"/>
        <v>614.73906555680685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165.93040110452992</v>
      </c>
      <c r="HH150" s="21">
        <f>EXP(-LN(2)/25)*HH149+(1-EXP(-LN(2)/25))/(LN(2)/25)*Calculateur!HC150*Calculateur!HE150*VLOOKUP('Données projet'!$B$18,Paramètres!$A$1:$I$89,3,0)*0.475*44/12</f>
        <v>0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165.93040110452992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2.8499999999999996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10.449999999999998</v>
      </c>
      <c r="H151" s="67">
        <f t="shared" si="110"/>
        <v>214.86666666666667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68.93096442878408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-1.0231815394945443E-12</v>
      </c>
      <c r="O151" s="13">
        <f>N151*VLOOKUP('Données projet'!$B$9,Paramètres!$A$1:$I$89,3,0)*VLOOKUP('Données projet'!$B$9,Paramètres!$A$1:$I$89,5,0)</f>
        <v>-8.9385139290243408E-13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686.80970545599644</v>
      </c>
      <c r="T151" s="59">
        <f t="shared" si="142"/>
        <v>636.16485232937737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45.153431753722067</v>
      </c>
      <c r="AA151" s="21">
        <f>EXP(-LN(2)/25)*AA150+(1-EXP(-LN(2)/25))/(LN(2)/25)*Calculateur!V151*Calculateur!X151*VLOOKUP('Données projet'!$B$9,Paramètres!$A$1:$I$89,3,0)*0.475*44/12</f>
        <v>3.4636390394390704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48.61707079316114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68.93096442878408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1.1368683772161603E-13</v>
      </c>
      <c r="AJ151" s="13">
        <f>AI151*VLOOKUP('Données projet'!$B$10,Paramètres!$A$1:$I$89,3,0)*VLOOKUP('Données projet'!$B$10,Paramètres!$A$1:$I$89,5,0)</f>
        <v>1.0286385077051818E-13</v>
      </c>
      <c r="AK151" s="13">
        <f t="shared" si="143"/>
        <v>1.5402366592183556E-12</v>
      </c>
      <c r="AL151" s="20">
        <f t="shared" si="112"/>
        <v>2.8617333882306215E-12</v>
      </c>
      <c r="AM151" s="59">
        <f t="shared" si="113"/>
        <v>289.41353623887778</v>
      </c>
      <c r="AN151" s="59">
        <f ca="1">AVERAGE(OFFSET($AM$3,0,0,'Données projet'!$E$10+1,1))-AVERAGE(OFFSET($H$3,0,0,'Données projet'!$E$10+1,1))</f>
        <v>323.67375363913726</v>
      </c>
      <c r="AO151" s="59">
        <f t="shared" si="144"/>
        <v>266.03902815735029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39.596761129338518</v>
      </c>
      <c r="AV151" s="21">
        <f>EXP(-LN(2)/25)*AV150+(1-EXP(-LN(2)/25))/(LN(2)/25)*Calculateur!AQ151*Calculateur!AS151*VLOOKUP('Données projet'!$B$10,Paramètres!$A$1:$I$89,3,0)*0.475*44/12</f>
        <v>7.9953530159236896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47.592114145262208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68.93096442878408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371.46495716091965</v>
      </c>
      <c r="BJ151" s="59">
        <f t="shared" si="146"/>
        <v>579.95059529269417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28.895717825271074</v>
      </c>
      <c r="BQ151" s="21">
        <f>EXP(-LN(2)/25)*BQ150+(1-EXP(-LN(2)/25))/(LN(2)/25)*Calculateur!BL151*Calculateur!BN151*VLOOKUP('Données projet'!$B$11,Paramètres!$A$1:$I$89,3,0)*0.475*44/12</f>
        <v>3.9623538640448919</v>
      </c>
      <c r="BR151" s="21">
        <f>EXP(-LN(2)/2)*BR150+(1-EXP(-LN(2)/2))/(LN(2)/2)*BL151*BO151*VLOOKUP('Données projet'!$B$11,Paramètres!$A$1:$I$89,3,0)*0.475*44/12</f>
        <v>1.219392030569962E-14</v>
      </c>
      <c r="BS151" s="22">
        <f t="shared" si="117"/>
        <v>32.858071689315977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68.93096442878408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180.18752244216969</v>
      </c>
      <c r="CE151" s="59">
        <f t="shared" si="148"/>
        <v>350.12096474554676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34.891909988841796</v>
      </c>
      <c r="CL151" s="21">
        <f>EXP(-LN(2)/25)*CL150+(1-EXP(-LN(2)/25))/(LN(2)/25)*Calculateur!CG151*Calculateur!CI151*VLOOKUP('Données projet'!$B$12,Paramètres!$A$1:$I$89,3,0)*0.475*44/12</f>
        <v>7.064786813800465</v>
      </c>
      <c r="CM151" s="21">
        <f>EXP(-LN(2)/2)*CM150+(1-EXP(-LN(2)/2))/(LN(2)/2)*CG151*CJ151*VLOOKUP('Données projet'!$B$12,Paramètres!$A$1:$I$89,3,0)*0.475*44/12</f>
        <v>9.2643195673450065E-15</v>
      </c>
      <c r="CN151" s="22">
        <f t="shared" si="120"/>
        <v>41.95669680264227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68.93096442878408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5.6843418860808015E-14</v>
      </c>
      <c r="CU151" s="17">
        <f>CT151*VLOOKUP('Données projet'!$B$13,Paramètres!$A$1:$I$89,3,0)*VLOOKUP('Données projet'!$B$13,Paramètres!$A$1:$I$89,5,0)</f>
        <v>4.5224624045658861E-14</v>
      </c>
      <c r="CV151" s="13">
        <f t="shared" si="149"/>
        <v>7.4514601661523691E-13</v>
      </c>
      <c r="CW151" s="20">
        <f t="shared" si="121"/>
        <v>1.3765621991510601E-12</v>
      </c>
      <c r="CX151" s="59">
        <f t="shared" si="122"/>
        <v>289.4135362388763</v>
      </c>
      <c r="CY151" s="59">
        <f ca="1">AVERAGE(OFFSET($CX$3,0,0,'Données projet'!$E$13+1,1))-AVERAGE(OFFSET($H$3,0,0,'Données projet'!$E$13+1,1))</f>
        <v>284.31574332240928</v>
      </c>
      <c r="CZ151" s="59">
        <f t="shared" si="150"/>
        <v>403.96994631683913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146.92947416163364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146.92947416163364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68.93096442878408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190.9519472160006</v>
      </c>
      <c r="DU151" s="59">
        <f t="shared" si="152"/>
        <v>170.61553500287511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31.461036360101122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31.461036360101122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68.93096442878408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>
        <f>EJ151*VLOOKUP('Données projet'!$B$15,Paramètres!$A$1:$I$89,3,0)*VLOOKUP('Données projet'!$B$15,Paramètres!$A$1:$I$89,5,0)</f>
        <v>0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331.94255128154623</v>
      </c>
      <c r="EP151" s="59">
        <f t="shared" si="154"/>
        <v>258.40809812013964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401.9731468488684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401.9731468488684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68.93096442878408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>
        <f>FE151*VLOOKUP('Données projet'!$B$16,Paramètres!$A$1:$I$89,3,0)*VLOOKUP('Données projet'!$B$16,Paramètres!$A$1:$I$89,5,0)</f>
        <v>0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290.72311302449236</v>
      </c>
      <c r="FK151" s="59">
        <f t="shared" si="156"/>
        <v>352.32552988394434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120.93142440273526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120.93142440273526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68.93096442878408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>
        <f>FZ151*VLOOKUP('Données projet'!$B$17,Paramètres!$A$1:$I$89,3,0)*VLOOKUP('Données projet'!$B$17,Paramètres!$A$1:$I$89,5,0)</f>
        <v>0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123.03972959251965</v>
      </c>
      <c r="GF151" s="59">
        <f t="shared" si="158"/>
        <v>178.27657680839445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26.285166585793771</v>
      </c>
      <c r="GM151" s="21">
        <f>EXP(-LN(2)/25)*GM150+(1-EXP(-LN(2)/25))/(LN(2)/25)*Calculateur!GH151*Calculateur!GJ151*VLOOKUP('Données projet'!$B$17,Paramètres!$A$1:$I$89,3,0)*0.475*44/12</f>
        <v>3.8637649918932886</v>
      </c>
      <c r="GN151" s="21">
        <f>EXP(-LN(2)/2)*GN150+(1-EXP(-LN(2)/2))/(LN(2)/2)*GH151*GK151*VLOOKUP('Données projet'!$B$17,Paramètres!$A$1:$I$89,3,0)*0.475*44/12</f>
        <v>1.8593272341420128E-11</v>
      </c>
      <c r="GO151" s="21">
        <f t="shared" si="135"/>
        <v>30.148931577705653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68.93096442878408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-4.5474735088646412E-13</v>
      </c>
      <c r="GV151" s="17">
        <f>GU151*VLOOKUP('Données projet'!$B$18,Paramètres!$A$1:$I$89,3,0)*VLOOKUP('Données projet'!$B$18,Paramètres!$A$1:$I$89,5,0)</f>
        <v>-3.0504452297464016E-13</v>
      </c>
      <c r="GW151" s="13" t="e">
        <f t="shared" si="159"/>
        <v>#NUM!</v>
      </c>
      <c r="GX151" s="20" t="e">
        <f t="shared" si="136"/>
        <v>#NUM!</v>
      </c>
      <c r="GY151" s="59" t="e">
        <f t="shared" si="137"/>
        <v>#NUM!</v>
      </c>
      <c r="GZ151" s="59">
        <f ca="1">AVERAGE(OFFSET($GY$3,0,0,'Données projet'!$E$18+1,1))-AVERAGE(OFFSET($H$3,0,0,'Données projet'!$E$18+1,1))</f>
        <v>542.25674729323623</v>
      </c>
      <c r="HA151" s="59">
        <f t="shared" si="160"/>
        <v>614.73906555680685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162.67660714642136</v>
      </c>
      <c r="HH151" s="21">
        <f>EXP(-LN(2)/25)*HH150+(1-EXP(-LN(2)/25))/(LN(2)/25)*Calculateur!HC151*Calculateur!HE151*VLOOKUP('Données projet'!$B$18,Paramètres!$A$1:$I$89,3,0)*0.475*44/12</f>
        <v>0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162.67660714642136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2.8499999999999996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10.449999999999998</v>
      </c>
      <c r="H152" s="67">
        <f t="shared" si="110"/>
        <v>214.86666666666667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68.949509805939186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-1.0231815394945443E-12</v>
      </c>
      <c r="O152" s="13">
        <f>N152*VLOOKUP('Données projet'!$B$9,Paramètres!$A$1:$I$89,3,0)*VLOOKUP('Données projet'!$B$9,Paramètres!$A$1:$I$89,5,0)</f>
        <v>-8.9385139290243408E-13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686.80970545599644</v>
      </c>
      <c r="T152" s="59">
        <f t="shared" si="142"/>
        <v>636.16485232937737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44.268000497905511</v>
      </c>
      <c r="AA152" s="21">
        <f>EXP(-LN(2)/25)*AA151+(1-EXP(-LN(2)/25))/(LN(2)/25)*Calculateur!V152*Calculateur!X152*VLOOKUP('Données projet'!$B$9,Paramètres!$A$1:$I$89,3,0)*0.475*44/12</f>
        <v>3.3689256477607481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47.636926145666258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68.949509805939186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1.1368683772161603E-13</v>
      </c>
      <c r="AJ152" s="13">
        <f>AI152*VLOOKUP('Données projet'!$B$10,Paramètres!$A$1:$I$89,3,0)*VLOOKUP('Données projet'!$B$10,Paramètres!$A$1:$I$89,5,0)</f>
        <v>1.0286385077051818E-13</v>
      </c>
      <c r="AK152" s="13">
        <f t="shared" si="143"/>
        <v>1.5402366592183556E-12</v>
      </c>
      <c r="AL152" s="20">
        <f t="shared" si="112"/>
        <v>2.8617333882306215E-12</v>
      </c>
      <c r="AM152" s="59">
        <f t="shared" si="113"/>
        <v>289.4815359551132</v>
      </c>
      <c r="AN152" s="59">
        <f ca="1">AVERAGE(OFFSET($AM$3,0,0,'Données projet'!$E$10+1,1))-AVERAGE(OFFSET($H$3,0,0,'Données projet'!$E$10+1,1))</f>
        <v>323.67375363913726</v>
      </c>
      <c r="AO152" s="59">
        <f t="shared" si="144"/>
        <v>266.03902815735029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38.820292795231701</v>
      </c>
      <c r="AV152" s="21">
        <f>EXP(-LN(2)/25)*AV151+(1-EXP(-LN(2)/25))/(LN(2)/25)*Calculateur!AQ152*Calculateur!AS152*VLOOKUP('Données projet'!$B$10,Paramètres!$A$1:$I$89,3,0)*0.475*44/12</f>
        <v>7.7767196672459145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46.597012462477615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68.949509805939186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371.46495716091965</v>
      </c>
      <c r="BJ152" s="59">
        <f t="shared" si="146"/>
        <v>579.95059529269417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28.329090423365091</v>
      </c>
      <c r="BQ152" s="21">
        <f>EXP(-LN(2)/25)*BQ151+(1-EXP(-LN(2)/25))/(LN(2)/25)*Calculateur!BL152*Calculateur!BN152*VLOOKUP('Données projet'!$B$11,Paramètres!$A$1:$I$89,3,0)*0.475*44/12</f>
        <v>3.8540030892614507</v>
      </c>
      <c r="BR152" s="21">
        <f>EXP(-LN(2)/2)*BR151+(1-EXP(-LN(2)/2))/(LN(2)/2)*BL152*BO152*VLOOKUP('Données projet'!$B$11,Paramètres!$A$1:$I$89,3,0)*0.475*44/12</f>
        <v>8.6224037374085398E-15</v>
      </c>
      <c r="BS152" s="22">
        <f t="shared" si="117"/>
        <v>32.183093512626549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68.949509805939186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180.18752244216969</v>
      </c>
      <c r="CE152" s="59">
        <f t="shared" si="148"/>
        <v>350.12096474554676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34.207700915924285</v>
      </c>
      <c r="CL152" s="21">
        <f>EXP(-LN(2)/25)*CL151+(1-EXP(-LN(2)/25))/(LN(2)/25)*Calculateur!CG152*Calculateur!CI152*VLOOKUP('Données projet'!$B$12,Paramètres!$A$1:$I$89,3,0)*0.475*44/12</f>
        <v>6.8715998468560997</v>
      </c>
      <c r="CM152" s="21">
        <f>EXP(-LN(2)/2)*CM151+(1-EXP(-LN(2)/2))/(LN(2)/2)*CG152*CJ152*VLOOKUP('Données projet'!$B$12,Paramètres!$A$1:$I$89,3,0)*0.475*44/12</f>
        <v>6.5508631891488762E-15</v>
      </c>
      <c r="CN152" s="22">
        <f t="shared" si="120"/>
        <v>41.079300762780392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68.949509805939186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5.6843418860808015E-14</v>
      </c>
      <c r="CU152" s="17">
        <f>CT152*VLOOKUP('Données projet'!$B$13,Paramètres!$A$1:$I$89,3,0)*VLOOKUP('Données projet'!$B$13,Paramètres!$A$1:$I$89,5,0)</f>
        <v>4.5224624045658861E-14</v>
      </c>
      <c r="CV152" s="13">
        <f t="shared" si="149"/>
        <v>7.4514601661523691E-13</v>
      </c>
      <c r="CW152" s="20">
        <f t="shared" si="121"/>
        <v>1.3765621991510601E-12</v>
      </c>
      <c r="CX152" s="59">
        <f t="shared" si="122"/>
        <v>289.48153595511172</v>
      </c>
      <c r="CY152" s="59">
        <f ca="1">AVERAGE(OFFSET($CX$3,0,0,'Données projet'!$E$13+1,1))-AVERAGE(OFFSET($H$3,0,0,'Données projet'!$E$13+1,1))</f>
        <v>284.31574332240928</v>
      </c>
      <c r="CZ152" s="59">
        <f t="shared" si="150"/>
        <v>403.96994631683913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144.04827679145419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144.04827679145419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68.949509805939186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190.9519472160006</v>
      </c>
      <c r="DU152" s="59">
        <f t="shared" si="152"/>
        <v>170.61553500287511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30.844104626416929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30.844104626416929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68.949509805939186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>
        <f>EJ152*VLOOKUP('Données projet'!$B$15,Paramètres!$A$1:$I$89,3,0)*VLOOKUP('Données projet'!$B$15,Paramètres!$A$1:$I$89,5,0)</f>
        <v>0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331.94255128154623</v>
      </c>
      <c r="EP152" s="59">
        <f t="shared" si="154"/>
        <v>258.40809812013964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394.09069861857222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394.09069861857222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68.949509805939186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>
        <f>FE152*VLOOKUP('Données projet'!$B$16,Paramètres!$A$1:$I$89,3,0)*VLOOKUP('Données projet'!$B$16,Paramètres!$A$1:$I$89,5,0)</f>
        <v>0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290.72311302449236</v>
      </c>
      <c r="FK152" s="59">
        <f t="shared" si="156"/>
        <v>352.32552988394434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118.56003293108323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118.56003293108323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68.949509805939186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>
        <f>FZ152*VLOOKUP('Données projet'!$B$17,Paramètres!$A$1:$I$89,3,0)*VLOOKUP('Données projet'!$B$17,Paramètres!$A$1:$I$89,5,0)</f>
        <v>0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123.03972959251965</v>
      </c>
      <c r="GF152" s="59">
        <f t="shared" si="158"/>
        <v>178.27657680839445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25.769730501414909</v>
      </c>
      <c r="GM152" s="21">
        <f>EXP(-LN(2)/25)*GM151+(1-EXP(-LN(2)/25))/(LN(2)/25)*Calculateur!GH152*Calculateur!GJ152*VLOOKUP('Données projet'!$B$17,Paramètres!$A$1:$I$89,3,0)*0.475*44/12</f>
        <v>3.7581101350033963</v>
      </c>
      <c r="GN152" s="21">
        <f>EXP(-LN(2)/2)*GN151+(1-EXP(-LN(2)/2))/(LN(2)/2)*GH152*GK152*VLOOKUP('Données projet'!$B$17,Paramètres!$A$1:$I$89,3,0)*0.475*44/12</f>
        <v>1.3147428957066449E-11</v>
      </c>
      <c r="GO152" s="21">
        <f t="shared" si="135"/>
        <v>29.527840636431453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68.949509805939186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-4.5474735088646412E-13</v>
      </c>
      <c r="GV152" s="17">
        <f>GU152*VLOOKUP('Données projet'!$B$18,Paramètres!$A$1:$I$89,3,0)*VLOOKUP('Données projet'!$B$18,Paramètres!$A$1:$I$89,5,0)</f>
        <v>-3.0504452297464016E-13</v>
      </c>
      <c r="GW152" s="13" t="e">
        <f t="shared" si="159"/>
        <v>#NUM!</v>
      </c>
      <c r="GX152" s="20" t="e">
        <f t="shared" si="136"/>
        <v>#NUM!</v>
      </c>
      <c r="GY152" s="59" t="e">
        <f t="shared" si="137"/>
        <v>#NUM!</v>
      </c>
      <c r="GZ152" s="59">
        <f ca="1">AVERAGE(OFFSET($GY$3,0,0,'Données projet'!$E$18+1,1))-AVERAGE(OFFSET($H$3,0,0,'Données projet'!$E$18+1,1))</f>
        <v>542.25674729323623</v>
      </c>
      <c r="HA152" s="59">
        <f t="shared" si="160"/>
        <v>614.73906555680685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159.48661810321295</v>
      </c>
      <c r="HH152" s="21">
        <f>EXP(-LN(2)/25)*HH151+(1-EXP(-LN(2)/25))/(LN(2)/25)*Calculateur!HC152*Calculateur!HE152*VLOOKUP('Données projet'!$B$18,Paramètres!$A$1:$I$89,3,0)*0.475*44/12</f>
        <v>0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159.48661810321295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2.8499999999999996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10.449999999999998</v>
      </c>
      <c r="H153" s="67">
        <f t="shared" si="110"/>
        <v>214.86666666666667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68.967733462261918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-1.0231815394945443E-12</v>
      </c>
      <c r="O153" s="13">
        <f>N153*VLOOKUP('Données projet'!$B$9,Paramètres!$A$1:$I$89,3,0)*VLOOKUP('Données projet'!$B$9,Paramètres!$A$1:$I$89,5,0)</f>
        <v>-8.9385139290243408E-13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686.80970545599644</v>
      </c>
      <c r="T153" s="59">
        <f t="shared" si="142"/>
        <v>636.16485232937737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43.39993200895578</v>
      </c>
      <c r="AA153" s="21">
        <f>EXP(-LN(2)/25)*AA152+(1-EXP(-LN(2)/25))/(LN(2)/25)*Calculateur!V153*Calculateur!X153*VLOOKUP('Données projet'!$B$9,Paramètres!$A$1:$I$89,3,0)*0.475*44/12</f>
        <v>3.2768021987586304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46.676734207714411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68.967733462261918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1.1368683772161603E-13</v>
      </c>
      <c r="AJ153" s="13">
        <f>AI153*VLOOKUP('Données projet'!$B$10,Paramètres!$A$1:$I$89,3,0)*VLOOKUP('Données projet'!$B$10,Paramètres!$A$1:$I$89,5,0)</f>
        <v>1.0286385077051818E-13</v>
      </c>
      <c r="AK153" s="13">
        <f t="shared" si="143"/>
        <v>1.5402366592183556E-12</v>
      </c>
      <c r="AL153" s="20">
        <f t="shared" si="112"/>
        <v>2.8617333882306215E-12</v>
      </c>
      <c r="AM153" s="59">
        <f t="shared" si="113"/>
        <v>289.54835602829655</v>
      </c>
      <c r="AN153" s="59">
        <f ca="1">AVERAGE(OFFSET($AM$3,0,0,'Données projet'!$E$10+1,1))-AVERAGE(OFFSET($H$3,0,0,'Données projet'!$E$10+1,1))</f>
        <v>323.67375363913726</v>
      </c>
      <c r="AO153" s="59">
        <f t="shared" si="144"/>
        <v>266.03902815735029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38.059050531557801</v>
      </c>
      <c r="AV153" s="21">
        <f>EXP(-LN(2)/25)*AV152+(1-EXP(-LN(2)/25))/(LN(2)/25)*Calculateur!AQ153*Calculateur!AS153*VLOOKUP('Données projet'!$B$10,Paramètres!$A$1:$I$89,3,0)*0.475*44/12</f>
        <v>7.5640648589851613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45.623115390542964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68.967733462261918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371.46495716091965</v>
      </c>
      <c r="BJ153" s="59">
        <f t="shared" si="146"/>
        <v>579.95059529269417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27.773574239201896</v>
      </c>
      <c r="BQ153" s="21">
        <f>EXP(-LN(2)/25)*BQ152+(1-EXP(-LN(2)/25))/(LN(2)/25)*Calculateur!BL153*Calculateur!BN153*VLOOKUP('Données projet'!$B$11,Paramètres!$A$1:$I$89,3,0)*0.475*44/12</f>
        <v>3.7486151721123822</v>
      </c>
      <c r="BR153" s="21">
        <f>EXP(-LN(2)/2)*BR152+(1-EXP(-LN(2)/2))/(LN(2)/2)*BL153*BO153*VLOOKUP('Données projet'!$B$11,Paramètres!$A$1:$I$89,3,0)*0.475*44/12</f>
        <v>6.0969601528498101E-15</v>
      </c>
      <c r="BS153" s="22">
        <f t="shared" si="117"/>
        <v>31.522189411314287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68.967733462261918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180.18752244216969</v>
      </c>
      <c r="CE153" s="59">
        <f t="shared" si="148"/>
        <v>350.12096474554676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33.536908765600359</v>
      </c>
      <c r="CL153" s="21">
        <f>EXP(-LN(2)/25)*CL152+(1-EXP(-LN(2)/25))/(LN(2)/25)*Calculateur!CG153*Calculateur!CI153*VLOOKUP('Données projet'!$B$12,Paramètres!$A$1:$I$89,3,0)*0.475*44/12</f>
        <v>6.6836955876820889</v>
      </c>
      <c r="CM153" s="21">
        <f>EXP(-LN(2)/2)*CM152+(1-EXP(-LN(2)/2))/(LN(2)/2)*CG153*CJ153*VLOOKUP('Données projet'!$B$12,Paramètres!$A$1:$I$89,3,0)*0.475*44/12</f>
        <v>4.6321597836725032E-15</v>
      </c>
      <c r="CN153" s="22">
        <f t="shared" si="120"/>
        <v>40.220604353282454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68.967733462261918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5.6843418860808015E-14</v>
      </c>
      <c r="CU153" s="17">
        <f>CT153*VLOOKUP('Données projet'!$B$13,Paramètres!$A$1:$I$89,3,0)*VLOOKUP('Données projet'!$B$13,Paramètres!$A$1:$I$89,5,0)</f>
        <v>4.5224624045658861E-14</v>
      </c>
      <c r="CV153" s="13">
        <f t="shared" si="149"/>
        <v>7.4514601661523691E-13</v>
      </c>
      <c r="CW153" s="20">
        <f t="shared" si="121"/>
        <v>1.3765621991510601E-12</v>
      </c>
      <c r="CX153" s="59">
        <f t="shared" si="122"/>
        <v>289.54835602829507</v>
      </c>
      <c r="CY153" s="59">
        <f ca="1">AVERAGE(OFFSET($CX$3,0,0,'Données projet'!$E$13+1,1))-AVERAGE(OFFSET($H$3,0,0,'Données projet'!$E$13+1,1))</f>
        <v>284.31574332240928</v>
      </c>
      <c r="CZ153" s="59">
        <f t="shared" si="150"/>
        <v>403.96994631683913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141.22357794434708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141.22357794434708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68.967733462261918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190.9519472160006</v>
      </c>
      <c r="DU153" s="59">
        <f t="shared" si="152"/>
        <v>170.61553500287511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30.239270547739082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30.239270547739082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68.967733462261918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>
        <f>EJ153*VLOOKUP('Données projet'!$B$15,Paramètres!$A$1:$I$89,3,0)*VLOOKUP('Données projet'!$B$15,Paramètres!$A$1:$I$89,5,0)</f>
        <v>0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331.94255128154623</v>
      </c>
      <c r="EP153" s="59">
        <f t="shared" si="154"/>
        <v>258.40809812013964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386.36282039025343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386.36282039025343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68.967733462261918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>
        <f>FE153*VLOOKUP('Données projet'!$B$16,Paramètres!$A$1:$I$89,3,0)*VLOOKUP('Données projet'!$B$16,Paramètres!$A$1:$I$89,5,0)</f>
        <v>0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290.72311302449236</v>
      </c>
      <c r="FK153" s="59">
        <f t="shared" si="156"/>
        <v>352.32552988394434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116.23514299978432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116.23514299978432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68.967733462261918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>
        <f>FZ153*VLOOKUP('Données projet'!$B$17,Paramètres!$A$1:$I$89,3,0)*VLOOKUP('Données projet'!$B$17,Paramètres!$A$1:$I$89,5,0)</f>
        <v>0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123.03972959251965</v>
      </c>
      <c r="GF153" s="59">
        <f t="shared" si="158"/>
        <v>178.27657680839445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25.264401804265745</v>
      </c>
      <c r="GM153" s="21">
        <f>EXP(-LN(2)/25)*GM152+(1-EXP(-LN(2)/25))/(LN(2)/25)*Calculateur!GH153*Calculateur!GJ153*VLOOKUP('Données projet'!$B$17,Paramètres!$A$1:$I$89,3,0)*0.475*44/12</f>
        <v>3.6553444157313058</v>
      </c>
      <c r="GN153" s="21">
        <f>EXP(-LN(2)/2)*GN152+(1-EXP(-LN(2)/2))/(LN(2)/2)*GH153*GK153*VLOOKUP('Données projet'!$B$17,Paramètres!$A$1:$I$89,3,0)*0.475*44/12</f>
        <v>9.2966361707100641E-12</v>
      </c>
      <c r="GO153" s="21">
        <f t="shared" si="135"/>
        <v>28.919746220006349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68.967733462261918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-4.5474735088646412E-13</v>
      </c>
      <c r="GV153" s="17">
        <f>GU153*VLOOKUP('Données projet'!$B$18,Paramètres!$A$1:$I$89,3,0)*VLOOKUP('Données projet'!$B$18,Paramètres!$A$1:$I$89,5,0)</f>
        <v>-3.0504452297464016E-13</v>
      </c>
      <c r="GW153" s="13" t="e">
        <f t="shared" si="159"/>
        <v>#NUM!</v>
      </c>
      <c r="GX153" s="20" t="e">
        <f t="shared" si="136"/>
        <v>#NUM!</v>
      </c>
      <c r="GY153" s="59" t="e">
        <f t="shared" si="137"/>
        <v>#NUM!</v>
      </c>
      <c r="GZ153" s="59">
        <f ca="1">AVERAGE(OFFSET($GY$3,0,0,'Données projet'!$E$18+1,1))-AVERAGE(OFFSET($H$3,0,0,'Données projet'!$E$18+1,1))</f>
        <v>542.25674729323623</v>
      </c>
      <c r="HA153" s="59">
        <f t="shared" si="160"/>
        <v>614.73906555680685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156.35918279944065</v>
      </c>
      <c r="HH153" s="21">
        <f>EXP(-LN(2)/25)*HH152+(1-EXP(-LN(2)/25))/(LN(2)/25)*Calculateur!HC153*Calculateur!HE153*VLOOKUP('Données projet'!$B$18,Paramètres!$A$1:$I$89,3,0)*0.475*44/12</f>
        <v>0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156.35918279944065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2.8499999999999996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10.449999999999998</v>
      </c>
      <c r="H154" s="67">
        <f t="shared" si="110"/>
        <v>214.86666666666667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68.985640978889421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-1.0231815394945443E-12</v>
      </c>
      <c r="O154" s="13">
        <f>N154*VLOOKUP('Données projet'!$B$9,Paramètres!$A$1:$I$89,3,0)*VLOOKUP('Données projet'!$B$9,Paramètres!$A$1:$I$89,5,0)</f>
        <v>-8.9385139290243408E-13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686.80970545599644</v>
      </c>
      <c r="T154" s="59">
        <f t="shared" si="142"/>
        <v>636.16485232937737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42.548885813604855</v>
      </c>
      <c r="AA154" s="21">
        <f>EXP(-LN(2)/25)*AA153+(1-EXP(-LN(2)/25))/(LN(2)/25)*Calculateur!V154*Calculateur!X154*VLOOKUP('Données projet'!$B$9,Paramètres!$A$1:$I$89,3,0)*0.475*44/12</f>
        <v>3.1871978703140371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45.736083683918892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68.985640978889421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1.1368683772161603E-13</v>
      </c>
      <c r="AJ154" s="13">
        <f>AI154*VLOOKUP('Données projet'!$B$10,Paramètres!$A$1:$I$89,3,0)*VLOOKUP('Données projet'!$B$10,Paramètres!$A$1:$I$89,5,0)</f>
        <v>1.0286385077051818E-13</v>
      </c>
      <c r="AK154" s="13">
        <f t="shared" ref="AK154:AK203" si="164">EXP(-1.0587+0.8836*LN(AJ154)+0.284)</f>
        <v>1.5402366592183556E-12</v>
      </c>
      <c r="AL154" s="20">
        <f t="shared" ref="AL154:AL203" si="165">(AJ154+AK154)*0.475*44/12</f>
        <v>2.8617333882306215E-12</v>
      </c>
      <c r="AM154" s="59">
        <f t="shared" si="113"/>
        <v>289.61401692259739</v>
      </c>
      <c r="AN154" s="59">
        <f ca="1">AVERAGE(OFFSET($AM$3,0,0,'Données projet'!$E$10+1,1))-AVERAGE(OFFSET($H$3,0,0,'Données projet'!$E$10+1,1))</f>
        <v>323.67375363913726</v>
      </c>
      <c r="AO154" s="59">
        <f t="shared" si="144"/>
        <v>266.03902815735029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37.312735764362614</v>
      </c>
      <c r="AV154" s="21">
        <f>EXP(-LN(2)/25)*AV153+(1-EXP(-LN(2)/25))/(LN(2)/25)*Calculateur!AQ154*Calculateur!AS154*VLOOKUP('Données projet'!$B$10,Paramètres!$A$1:$I$89,3,0)*0.475*44/12</f>
        <v>7.3572251076393291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44.669960872001944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68.985640978889421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371.46495716091965</v>
      </c>
      <c r="BJ154" s="59">
        <f t="shared" si="146"/>
        <v>579.95059529269417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27.228951388578725</v>
      </c>
      <c r="BQ154" s="21">
        <f>EXP(-LN(2)/25)*BQ153+(1-EXP(-LN(2)/25))/(LN(2)/25)*Calculateur!BL154*Calculateur!BN154*VLOOKUP('Données projet'!$B$11,Paramètres!$A$1:$I$89,3,0)*0.475*44/12</f>
        <v>3.6461090930998648</v>
      </c>
      <c r="BR154" s="21">
        <f>EXP(-LN(2)/2)*BR153+(1-EXP(-LN(2)/2))/(LN(2)/2)*BL154*BO154*VLOOKUP('Données projet'!$B$11,Paramètres!$A$1:$I$89,3,0)*0.475*44/12</f>
        <v>4.3112018687042699E-15</v>
      </c>
      <c r="BS154" s="22">
        <f t="shared" ref="BS154:BS203" si="169">SUM(BP154:BR154)</f>
        <v>30.875060481678592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68.985640978889421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180.18752244216969</v>
      </c>
      <c r="CE154" s="59">
        <f t="shared" si="148"/>
        <v>350.12096474554676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32.879270440201473</v>
      </c>
      <c r="CL154" s="21">
        <f>EXP(-LN(2)/25)*CL153+(1-EXP(-LN(2)/25))/(LN(2)/25)*Calculateur!CG154*Calculateur!CI154*VLOOKUP('Données projet'!$B$12,Paramètres!$A$1:$I$89,3,0)*0.475*44/12</f>
        <v>6.5009295803566474</v>
      </c>
      <c r="CM154" s="21">
        <f>EXP(-LN(2)/2)*CM153+(1-EXP(-LN(2)/2))/(LN(2)/2)*CG154*CJ154*VLOOKUP('Données projet'!$B$12,Paramètres!$A$1:$I$89,3,0)*0.475*44/12</f>
        <v>3.2754315945744381E-15</v>
      </c>
      <c r="CN154" s="22">
        <f t="shared" ref="CN154:CN203" si="172">SUM(CK154:CM154)</f>
        <v>39.380200020558121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68.985640978889421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5.6843418860808015E-14</v>
      </c>
      <c r="CU154" s="17">
        <f>CT154*VLOOKUP('Données projet'!$B$13,Paramètres!$A$1:$I$89,3,0)*VLOOKUP('Données projet'!$B$13,Paramètres!$A$1:$I$89,5,0)</f>
        <v>4.5224624045658861E-14</v>
      </c>
      <c r="CV154" s="13">
        <f t="shared" ref="CV154:CV203" si="173">EXP(-1.0587+0.8836*LN(CU154)+0.284)</f>
        <v>7.4514601661523691E-13</v>
      </c>
      <c r="CW154" s="20">
        <f t="shared" ref="CW154:CW203" si="174">(CU154+CV154)*0.475*44/12</f>
        <v>1.3765621991510601E-12</v>
      </c>
      <c r="CX154" s="59">
        <f t="shared" si="122"/>
        <v>289.61401692259591</v>
      </c>
      <c r="CY154" s="59">
        <f ca="1">AVERAGE(OFFSET($CX$3,0,0,'Données projet'!$E$13+1,1))-AVERAGE(OFFSET($H$3,0,0,'Données projet'!$E$13+1,1))</f>
        <v>284.31574332240928</v>
      </c>
      <c r="CZ154" s="59">
        <f t="shared" si="150"/>
        <v>403.96994631683913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138.45426971873559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138.45426971873559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68.985640978889421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190.9519472160006</v>
      </c>
      <c r="DU154" s="59">
        <f t="shared" si="152"/>
        <v>170.61553500287511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29.646296896431746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29.646296896431746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68.985640978889421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>
        <f>EJ154*VLOOKUP('Données projet'!$B$15,Paramètres!$A$1:$I$89,3,0)*VLOOKUP('Données projet'!$B$15,Paramètres!$A$1:$I$89,5,0)</f>
        <v>0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331.94255128154623</v>
      </c>
      <c r="EP154" s="59">
        <f t="shared" si="154"/>
        <v>258.40809812013964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378.78648114045171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378.78648114045171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68.985640978889421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>
        <f>FE154*VLOOKUP('Données projet'!$B$16,Paramètres!$A$1:$I$89,3,0)*VLOOKUP('Données projet'!$B$16,Paramètres!$A$1:$I$89,5,0)</f>
        <v>0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290.72311302449236</v>
      </c>
      <c r="FK154" s="59">
        <f t="shared" si="156"/>
        <v>352.32552988394434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113.95584274199534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113.95584274199534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68.985640978889421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>
        <f>FZ154*VLOOKUP('Données projet'!$B$17,Paramètres!$A$1:$I$89,3,0)*VLOOKUP('Données projet'!$B$17,Paramètres!$A$1:$I$89,5,0)</f>
        <v>0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123.03972959251965</v>
      </c>
      <c r="GF154" s="59">
        <f t="shared" si="158"/>
        <v>178.27657680839445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24.768982294647607</v>
      </c>
      <c r="GM154" s="21">
        <f>EXP(-LN(2)/25)*GM153+(1-EXP(-LN(2)/25))/(LN(2)/25)*Calculateur!GH154*Calculateur!GJ154*VLOOKUP('Données projet'!$B$17,Paramètres!$A$1:$I$89,3,0)*0.475*44/12</f>
        <v>3.5553888304569248</v>
      </c>
      <c r="GN154" s="21">
        <f>EXP(-LN(2)/2)*GN153+(1-EXP(-LN(2)/2))/(LN(2)/2)*GH154*GK154*VLOOKUP('Données projet'!$B$17,Paramètres!$A$1:$I$89,3,0)*0.475*44/12</f>
        <v>6.5737144785332245E-12</v>
      </c>
      <c r="GO154" s="21">
        <f t="shared" ref="GO154:GO203" si="187">SUM(GL154:GN154)</f>
        <v>28.324371125111103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68.985640978889421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-4.5474735088646412E-13</v>
      </c>
      <c r="GV154" s="17">
        <f>GU154*VLOOKUP('Données projet'!$B$18,Paramètres!$A$1:$I$89,3,0)*VLOOKUP('Données projet'!$B$18,Paramètres!$A$1:$I$89,5,0)</f>
        <v>-3.0504452297464016E-13</v>
      </c>
      <c r="GW154" s="13" t="e">
        <f t="shared" ref="GW154:GW203" si="188">EXP(-1.0587+0.8836*LN(GV154)+0.284)</f>
        <v>#NUM!</v>
      </c>
      <c r="GX154" s="20" t="e">
        <f t="shared" ref="GX154:GX203" si="189">(GV154+GW154)*0.475*44/12</f>
        <v>#NUM!</v>
      </c>
      <c r="GY154" s="59" t="e">
        <f t="shared" si="137"/>
        <v>#NUM!</v>
      </c>
      <c r="GZ154" s="59">
        <f ca="1">AVERAGE(OFFSET($GY$3,0,0,'Données projet'!$E$18+1,1))-AVERAGE(OFFSET($H$3,0,0,'Données projet'!$E$18+1,1))</f>
        <v>542.25674729323623</v>
      </c>
      <c r="HA154" s="59">
        <f t="shared" si="160"/>
        <v>614.73906555680685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153.29307459442813</v>
      </c>
      <c r="HH154" s="21">
        <f>EXP(-LN(2)/25)*HH153+(1-EXP(-LN(2)/25))/(LN(2)/25)*Calculateur!HC154*Calculateur!HE154*VLOOKUP('Données projet'!$B$18,Paramètres!$A$1:$I$89,3,0)*0.475*44/12</f>
        <v>0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153.29307459442813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2.8499999999999996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10.449999999999998</v>
      </c>
      <c r="H155" s="67">
        <f t="shared" si="110"/>
        <v>214.86666666666667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69.003237840138652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-1.0231815394945443E-12</v>
      </c>
      <c r="O155" s="13">
        <f>N155*VLOOKUP('Données projet'!$B$9,Paramètres!$A$1:$I$89,3,0)*VLOOKUP('Données projet'!$B$9,Paramètres!$A$1:$I$89,5,0)</f>
        <v>-8.9385139290243408E-13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686.80970545599644</v>
      </c>
      <c r="T155" s="59">
        <f t="shared" si="142"/>
        <v>636.16485232937737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41.714528115057838</v>
      </c>
      <c r="AA155" s="21">
        <f>EXP(-LN(2)/25)*AA154+(1-EXP(-LN(2)/25))/(LN(2)/25)*Calculateur!V155*Calculateur!X155*VLOOKUP('Données projet'!$B$9,Paramètres!$A$1:$I$89,3,0)*0.475*44/12</f>
        <v>3.1000437769428482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44.814571892000686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69.003237840138652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1.1368683772161603E-13</v>
      </c>
      <c r="AJ155" s="13">
        <f>AI155*VLOOKUP('Données projet'!$B$10,Paramètres!$A$1:$I$89,3,0)*VLOOKUP('Données projet'!$B$10,Paramètres!$A$1:$I$89,5,0)</f>
        <v>1.0286385077051818E-13</v>
      </c>
      <c r="AK155" s="13">
        <f t="shared" si="164"/>
        <v>1.5402366592183556E-12</v>
      </c>
      <c r="AL155" s="20">
        <f t="shared" si="165"/>
        <v>2.8617333882306215E-12</v>
      </c>
      <c r="AM155" s="59">
        <f t="shared" si="113"/>
        <v>289.67853874717792</v>
      </c>
      <c r="AN155" s="59">
        <f ca="1">AVERAGE(OFFSET($AM$3,0,0,'Données projet'!$E$10+1,1))-AVERAGE(OFFSET($H$3,0,0,'Données projet'!$E$10+1,1))</f>
        <v>323.67375363913726</v>
      </c>
      <c r="AO155" s="59">
        <f t="shared" si="144"/>
        <v>266.03902815735029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36.581055774545064</v>
      </c>
      <c r="AV155" s="21">
        <f>EXP(-LN(2)/25)*AV154+(1-EXP(-LN(2)/25))/(LN(2)/25)*Calculateur!AQ155*Calculateur!AS155*VLOOKUP('Données projet'!$B$10,Paramètres!$A$1:$I$89,3,0)*0.475*44/12</f>
        <v>7.1560414001712784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43.73709717471634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69.003237840138652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371.46495716091965</v>
      </c>
      <c r="BJ155" s="59">
        <f t="shared" si="146"/>
        <v>579.95059529269417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26.695008259869137</v>
      </c>
      <c r="BQ155" s="21">
        <f>EXP(-LN(2)/25)*BQ154+(1-EXP(-LN(2)/25))/(LN(2)/25)*Calculateur!BL155*Calculateur!BN155*VLOOKUP('Données projet'!$B$11,Paramètres!$A$1:$I$89,3,0)*0.475*44/12</f>
        <v>3.5464060482085049</v>
      </c>
      <c r="BR155" s="21">
        <f>EXP(-LN(2)/2)*BR154+(1-EXP(-LN(2)/2))/(LN(2)/2)*BL155*BO155*VLOOKUP('Données projet'!$B$11,Paramètres!$A$1:$I$89,3,0)*0.475*44/12</f>
        <v>3.048480076424905E-15</v>
      </c>
      <c r="BS155" s="22">
        <f t="shared" si="169"/>
        <v>30.241414308077648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69.003237840138652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180.18752244216969</v>
      </c>
      <c r="CE155" s="59">
        <f t="shared" si="148"/>
        <v>350.12096474554676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32.234528001243888</v>
      </c>
      <c r="CL155" s="21">
        <f>EXP(-LN(2)/25)*CL154+(1-EXP(-LN(2)/25))/(LN(2)/25)*Calculateur!CG155*Calculateur!CI155*VLOOKUP('Données projet'!$B$12,Paramètres!$A$1:$I$89,3,0)*0.475*44/12</f>
        <v>6.3231613191127662</v>
      </c>
      <c r="CM155" s="21">
        <f>EXP(-LN(2)/2)*CM154+(1-EXP(-LN(2)/2))/(LN(2)/2)*CG155*CJ155*VLOOKUP('Données projet'!$B$12,Paramètres!$A$1:$I$89,3,0)*0.475*44/12</f>
        <v>2.3160798918362516E-15</v>
      </c>
      <c r="CN155" s="22">
        <f t="shared" si="172"/>
        <v>38.557689320356651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69.003237840138652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5.6843418860808015E-14</v>
      </c>
      <c r="CU155" s="17">
        <f>CT155*VLOOKUP('Données projet'!$B$13,Paramètres!$A$1:$I$89,3,0)*VLOOKUP('Données projet'!$B$13,Paramètres!$A$1:$I$89,5,0)</f>
        <v>4.5224624045658861E-14</v>
      </c>
      <c r="CV155" s="13">
        <f t="shared" si="173"/>
        <v>7.4514601661523691E-13</v>
      </c>
      <c r="CW155" s="20">
        <f t="shared" si="174"/>
        <v>1.3765621991510601E-12</v>
      </c>
      <c r="CX155" s="59">
        <f t="shared" si="122"/>
        <v>289.67853874717645</v>
      </c>
      <c r="CY155" s="59">
        <f ca="1">AVERAGE(OFFSET($CX$3,0,0,'Données projet'!$E$13+1,1))-AVERAGE(OFFSET($H$3,0,0,'Données projet'!$E$13+1,1))</f>
        <v>284.31574332240928</v>
      </c>
      <c r="CZ155" s="59">
        <f t="shared" si="150"/>
        <v>403.96994631683913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135.73926593831709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135.73926593831709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69.003237840138652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190.9519472160006</v>
      </c>
      <c r="DU155" s="59">
        <f t="shared" si="152"/>
        <v>170.61553500287511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29.064951096748331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29.064951096748331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69.003237840138652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>
        <f>EJ155*VLOOKUP('Données projet'!$B$15,Paramètres!$A$1:$I$89,3,0)*VLOOKUP('Données projet'!$B$15,Paramètres!$A$1:$I$89,5,0)</f>
        <v>0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331.94255128154623</v>
      </c>
      <c r="EP155" s="59">
        <f t="shared" si="154"/>
        <v>258.40809812013964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371.35870928222795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371.35870928222795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69.003237840138652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>
        <f>FE155*VLOOKUP('Données projet'!$B$16,Paramètres!$A$1:$I$89,3,0)*VLOOKUP('Données projet'!$B$16,Paramètres!$A$1:$I$89,5,0)</f>
        <v>0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290.72311302449236</v>
      </c>
      <c r="FK155" s="59">
        <f t="shared" si="156"/>
        <v>352.32552988394434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111.72123817202572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111.72123817202572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69.003237840138652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>
        <f>FZ155*VLOOKUP('Données projet'!$B$17,Paramètres!$A$1:$I$89,3,0)*VLOOKUP('Données projet'!$B$17,Paramètres!$A$1:$I$89,5,0)</f>
        <v>0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123.03972959251965</v>
      </c>
      <c r="GF155" s="59">
        <f t="shared" si="158"/>
        <v>178.27657680839445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24.283277659437015</v>
      </c>
      <c r="GM155" s="21">
        <f>EXP(-LN(2)/25)*GM154+(1-EXP(-LN(2)/25))/(LN(2)/25)*Calculateur!GH155*Calculateur!GJ155*VLOOKUP('Données projet'!$B$17,Paramètres!$A$1:$I$89,3,0)*0.475*44/12</f>
        <v>3.4581665359183074</v>
      </c>
      <c r="GN155" s="21">
        <f>EXP(-LN(2)/2)*GN154+(1-EXP(-LN(2)/2))/(LN(2)/2)*GH155*GK155*VLOOKUP('Données projet'!$B$17,Paramètres!$A$1:$I$89,3,0)*0.475*44/12</f>
        <v>4.6483180853550321E-12</v>
      </c>
      <c r="GO155" s="21">
        <f t="shared" si="187"/>
        <v>27.741444195359968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69.003237840138652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-4.5474735088646412E-13</v>
      </c>
      <c r="GV155" s="17">
        <f>GU155*VLOOKUP('Données projet'!$B$18,Paramètres!$A$1:$I$89,3,0)*VLOOKUP('Données projet'!$B$18,Paramètres!$A$1:$I$89,5,0)</f>
        <v>-3.0504452297464016E-13</v>
      </c>
      <c r="GW155" s="13" t="e">
        <f t="shared" si="188"/>
        <v>#NUM!</v>
      </c>
      <c r="GX155" s="20" t="e">
        <f t="shared" si="189"/>
        <v>#NUM!</v>
      </c>
      <c r="GY155" s="59" t="e">
        <f t="shared" si="137"/>
        <v>#NUM!</v>
      </c>
      <c r="GZ155" s="59">
        <f ca="1">AVERAGE(OFFSET($GY$3,0,0,'Données projet'!$E$18+1,1))-AVERAGE(OFFSET($H$3,0,0,'Données projet'!$E$18+1,1))</f>
        <v>542.25674729323623</v>
      </c>
      <c r="HA155" s="59">
        <f t="shared" si="160"/>
        <v>614.73906555680685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150.28709090117459</v>
      </c>
      <c r="HH155" s="21">
        <f>EXP(-LN(2)/25)*HH154+(1-EXP(-LN(2)/25))/(LN(2)/25)*Calculateur!HC155*Calculateur!HE155*VLOOKUP('Données projet'!$B$18,Paramètres!$A$1:$I$89,3,0)*0.475*44/12</f>
        <v>0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150.28709090117459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2.8499999999999996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10.449999999999998</v>
      </c>
      <c r="H156" s="67">
        <f t="shared" si="110"/>
        <v>214.86666666666667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69.020529435185907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-1.0231815394945443E-12</v>
      </c>
      <c r="O156" s="13">
        <f>N156*VLOOKUP('Données projet'!$B$9,Paramètres!$A$1:$I$89,3,0)*VLOOKUP('Données projet'!$B$9,Paramètres!$A$1:$I$89,5,0)</f>
        <v>-8.9385139290243408E-13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686.80970545599644</v>
      </c>
      <c r="T156" s="59">
        <f t="shared" si="142"/>
        <v>636.16485232937737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40.896531662071382</v>
      </c>
      <c r="AA156" s="21">
        <f>EXP(-LN(2)/25)*AA155+(1-EXP(-LN(2)/25))/(LN(2)/25)*Calculateur!V156*Calculateur!X156*VLOOKUP('Données projet'!$B$9,Paramètres!$A$1:$I$89,3,0)*0.475*44/12</f>
        <v>3.0152729168381289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43.911804578909511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69.020529435185907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1.1368683772161603E-13</v>
      </c>
      <c r="AJ156" s="13">
        <f>AI156*VLOOKUP('Données projet'!$B$10,Paramètres!$A$1:$I$89,3,0)*VLOOKUP('Données projet'!$B$10,Paramètres!$A$1:$I$89,5,0)</f>
        <v>1.0286385077051818E-13</v>
      </c>
      <c r="AK156" s="13">
        <f t="shared" si="164"/>
        <v>1.5402366592183556E-12</v>
      </c>
      <c r="AL156" s="20">
        <f t="shared" si="165"/>
        <v>2.8617333882306215E-12</v>
      </c>
      <c r="AM156" s="59">
        <f t="shared" si="113"/>
        <v>289.74194126235119</v>
      </c>
      <c r="AN156" s="59">
        <f ca="1">AVERAGE(OFFSET($AM$3,0,0,'Données projet'!$E$10+1,1))-AVERAGE(OFFSET($H$3,0,0,'Données projet'!$E$10+1,1))</f>
        <v>323.67375363913726</v>
      </c>
      <c r="AO156" s="59">
        <f t="shared" si="144"/>
        <v>266.03902815735029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35.863723583047104</v>
      </c>
      <c r="AV156" s="21">
        <f>EXP(-LN(2)/25)*AV155+(1-EXP(-LN(2)/25))/(LN(2)/25)*Calculateur!AQ156*Calculateur!AS156*VLOOKUP('Données projet'!$B$10,Paramètres!$A$1:$I$89,3,0)*0.475*44/12</f>
        <v>6.9603590717637331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42.824082654810837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69.020529435185907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371.46495716091965</v>
      </c>
      <c r="BJ156" s="59">
        <f t="shared" si="146"/>
        <v>579.95059529269417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26.171535430240393</v>
      </c>
      <c r="BQ156" s="21">
        <f>EXP(-LN(2)/25)*BQ155+(1-EXP(-LN(2)/25))/(LN(2)/25)*Calculateur!BL156*Calculateur!BN156*VLOOKUP('Données projet'!$B$11,Paramètres!$A$1:$I$89,3,0)*0.475*44/12</f>
        <v>3.4494293883228546</v>
      </c>
      <c r="BR156" s="21">
        <f>EXP(-LN(2)/2)*BR155+(1-EXP(-LN(2)/2))/(LN(2)/2)*BL156*BO156*VLOOKUP('Données projet'!$B$11,Paramètres!$A$1:$I$89,3,0)*0.475*44/12</f>
        <v>2.155600934352135E-15</v>
      </c>
      <c r="BS156" s="22">
        <f t="shared" si="169"/>
        <v>29.620964818563252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69.020529435185907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180.18752244216969</v>
      </c>
      <c r="CE156" s="59">
        <f t="shared" si="148"/>
        <v>350.12096474554676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31.602428568260201</v>
      </c>
      <c r="CL156" s="21">
        <f>EXP(-LN(2)/25)*CL155+(1-EXP(-LN(2)/25))/(LN(2)/25)*Calculateur!CG156*Calculateur!CI156*VLOOKUP('Données projet'!$B$12,Paramètres!$A$1:$I$89,3,0)*0.475*44/12</f>
        <v>6.1502541403210254</v>
      </c>
      <c r="CM156" s="21">
        <f>EXP(-LN(2)/2)*CM155+(1-EXP(-LN(2)/2))/(LN(2)/2)*CG156*CJ156*VLOOKUP('Données projet'!$B$12,Paramètres!$A$1:$I$89,3,0)*0.475*44/12</f>
        <v>1.6377157972872191E-15</v>
      </c>
      <c r="CN156" s="22">
        <f t="shared" si="172"/>
        <v>37.752682708581226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69.020529435185907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5.6843418860808015E-14</v>
      </c>
      <c r="CU156" s="17">
        <f>CT156*VLOOKUP('Données projet'!$B$13,Paramètres!$A$1:$I$89,3,0)*VLOOKUP('Données projet'!$B$13,Paramètres!$A$1:$I$89,5,0)</f>
        <v>4.5224624045658861E-14</v>
      </c>
      <c r="CV156" s="13">
        <f t="shared" si="173"/>
        <v>7.4514601661523691E-13</v>
      </c>
      <c r="CW156" s="20">
        <f t="shared" si="174"/>
        <v>1.3765621991510601E-12</v>
      </c>
      <c r="CX156" s="59">
        <f t="shared" si="122"/>
        <v>289.74194126234971</v>
      </c>
      <c r="CY156" s="59">
        <f ca="1">AVERAGE(OFFSET($CX$3,0,0,'Données projet'!$E$13+1,1))-AVERAGE(OFFSET($H$3,0,0,'Données projet'!$E$13+1,1))</f>
        <v>284.31574332240928</v>
      </c>
      <c r="CZ156" s="59">
        <f t="shared" si="150"/>
        <v>403.96994631683913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133.07750172604381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133.07750172604381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69.020529435185907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190.9519472160006</v>
      </c>
      <c r="DU156" s="59">
        <f t="shared" si="152"/>
        <v>170.61553500287511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28.495005133610782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28.495005133610782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69.020529435185907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>
        <f>EJ156*VLOOKUP('Données projet'!$B$15,Paramètres!$A$1:$I$89,3,0)*VLOOKUP('Données projet'!$B$15,Paramètres!$A$1:$I$89,5,0)</f>
        <v>0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331.94255128154623</v>
      </c>
      <c r="EP156" s="59">
        <f t="shared" si="154"/>
        <v>258.40809812013964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364.07659149965048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364.07659149965048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69.020529435185907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>
        <f>FE156*VLOOKUP('Données projet'!$B$16,Paramètres!$A$1:$I$89,3,0)*VLOOKUP('Données projet'!$B$16,Paramètres!$A$1:$I$89,5,0)</f>
        <v>0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290.72311302449236</v>
      </c>
      <c r="FK156" s="59">
        <f t="shared" si="156"/>
        <v>352.32552988394434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109.53045283469899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109.53045283469899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69.020529435185907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>
        <f>FZ156*VLOOKUP('Données projet'!$B$17,Paramètres!$A$1:$I$89,3,0)*VLOOKUP('Données projet'!$B$17,Paramètres!$A$1:$I$89,5,0)</f>
        <v>0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123.03972959251965</v>
      </c>
      <c r="GF156" s="59">
        <f t="shared" si="158"/>
        <v>178.27657680839445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23.807097395872329</v>
      </c>
      <c r="GM156" s="21">
        <f>EXP(-LN(2)/25)*GM155+(1-EXP(-LN(2)/25))/(LN(2)/25)*Calculateur!GH156*Calculateur!GJ156*VLOOKUP('Données projet'!$B$17,Paramètres!$A$1:$I$89,3,0)*0.475*44/12</f>
        <v>3.3636027901365471</v>
      </c>
      <c r="GN156" s="21">
        <f>EXP(-LN(2)/2)*GN155+(1-EXP(-LN(2)/2))/(LN(2)/2)*GH156*GK156*VLOOKUP('Données projet'!$B$17,Paramètres!$A$1:$I$89,3,0)*0.475*44/12</f>
        <v>3.2868572392666122E-12</v>
      </c>
      <c r="GO156" s="21">
        <f t="shared" si="187"/>
        <v>27.170700186012162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69.020529435185907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-4.5474735088646412E-13</v>
      </c>
      <c r="GV156" s="17">
        <f>GU156*VLOOKUP('Données projet'!$B$18,Paramètres!$A$1:$I$89,3,0)*VLOOKUP('Données projet'!$B$18,Paramètres!$A$1:$I$89,5,0)</f>
        <v>-3.0504452297464016E-13</v>
      </c>
      <c r="GW156" s="13" t="e">
        <f t="shared" si="188"/>
        <v>#NUM!</v>
      </c>
      <c r="GX156" s="20" t="e">
        <f t="shared" si="189"/>
        <v>#NUM!</v>
      </c>
      <c r="GY156" s="59" t="e">
        <f t="shared" si="137"/>
        <v>#NUM!</v>
      </c>
      <c r="GZ156" s="59">
        <f ca="1">AVERAGE(OFFSET($GY$3,0,0,'Données projet'!$E$18+1,1))-AVERAGE(OFFSET($H$3,0,0,'Données projet'!$E$18+1,1))</f>
        <v>542.25674729323623</v>
      </c>
      <c r="HA156" s="59">
        <f t="shared" si="160"/>
        <v>614.73906555680685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147.34005271467674</v>
      </c>
      <c r="HH156" s="21">
        <f>EXP(-LN(2)/25)*HH155+(1-EXP(-LN(2)/25))/(LN(2)/25)*Calculateur!HC156*Calculateur!HE156*VLOOKUP('Données projet'!$B$18,Paramètres!$A$1:$I$89,3,0)*0.475*44/12</f>
        <v>0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147.34005271467674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2.8499999999999996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10.449999999999998</v>
      </c>
      <c r="H157" s="67">
        <f t="shared" si="110"/>
        <v>214.86666666666667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69.037521059717292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-1.0231815394945443E-12</v>
      </c>
      <c r="O157" s="13">
        <f>N157*VLOOKUP('Données projet'!$B$9,Paramètres!$A$1:$I$89,3,0)*VLOOKUP('Données projet'!$B$9,Paramètres!$A$1:$I$89,5,0)</f>
        <v>-8.9385139290243408E-13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686.80970545599644</v>
      </c>
      <c r="T157" s="59">
        <f t="shared" si="142"/>
        <v>636.16485232937737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40.094575620599421</v>
      </c>
      <c r="AA157" s="21">
        <f>EXP(-LN(2)/25)*AA156+(1-EXP(-LN(2)/25))/(LN(2)/25)*Calculateur!V157*Calculateur!X157*VLOOKUP('Données projet'!$B$9,Paramètres!$A$1:$I$89,3,0)*0.475*44/12</f>
        <v>2.932820120360879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43.027395740960301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69.037521059717292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1.1368683772161603E-13</v>
      </c>
      <c r="AJ157" s="13">
        <f>AI157*VLOOKUP('Données projet'!$B$10,Paramètres!$A$1:$I$89,3,0)*VLOOKUP('Données projet'!$B$10,Paramètres!$A$1:$I$89,5,0)</f>
        <v>1.0286385077051818E-13</v>
      </c>
      <c r="AK157" s="13">
        <f t="shared" si="164"/>
        <v>1.5402366592183556E-12</v>
      </c>
      <c r="AL157" s="20">
        <f t="shared" si="165"/>
        <v>2.8617333882306215E-12</v>
      </c>
      <c r="AM157" s="59">
        <f t="shared" si="113"/>
        <v>289.8042438856329</v>
      </c>
      <c r="AN157" s="59">
        <f ca="1">AVERAGE(OFFSET($AM$3,0,0,'Données projet'!$E$10+1,1))-AVERAGE(OFFSET($H$3,0,0,'Données projet'!$E$10+1,1))</f>
        <v>323.67375363913726</v>
      </c>
      <c r="AO157" s="59">
        <f t="shared" si="144"/>
        <v>266.03902815735029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35.160457838294988</v>
      </c>
      <c r="AV157" s="21">
        <f>EXP(-LN(2)/25)*AV156+(1-EXP(-LN(2)/25))/(LN(2)/25)*Calculateur!AQ157*Calculateur!AS157*VLOOKUP('Données projet'!$B$10,Paramètres!$A$1:$I$89,3,0)*0.475*44/12</f>
        <v>6.7700276869169782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41.930485525211964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69.037521059717292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371.46495716091965</v>
      </c>
      <c r="BJ157" s="59">
        <f t="shared" si="146"/>
        <v>579.95059529269417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25.658327583513771</v>
      </c>
      <c r="BQ157" s="21">
        <f>EXP(-LN(2)/25)*BQ156+(1-EXP(-LN(2)/25))/(LN(2)/25)*Calculateur!BL157*Calculateur!BN157*VLOOKUP('Données projet'!$B$11,Paramètres!$A$1:$I$89,3,0)*0.475*44/12</f>
        <v>3.3551045603015583</v>
      </c>
      <c r="BR157" s="21">
        <f>EXP(-LN(2)/2)*BR156+(1-EXP(-LN(2)/2))/(LN(2)/2)*BL157*BO157*VLOOKUP('Données projet'!$B$11,Paramètres!$A$1:$I$89,3,0)*0.475*44/12</f>
        <v>1.5242400382124525E-15</v>
      </c>
      <c r="BS157" s="22">
        <f t="shared" si="169"/>
        <v>29.013432143815329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69.037521059717292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180.18752244216969</v>
      </c>
      <c r="CE157" s="59">
        <f t="shared" si="148"/>
        <v>350.12096474554676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30.982724219614742</v>
      </c>
      <c r="CL157" s="21">
        <f>EXP(-LN(2)/25)*CL156+(1-EXP(-LN(2)/25))/(LN(2)/25)*Calculateur!CG157*Calculateur!CI157*VLOOKUP('Données projet'!$B$12,Paramètres!$A$1:$I$89,3,0)*0.475*44/12</f>
        <v>5.9820751174261382</v>
      </c>
      <c r="CM157" s="21">
        <f>EXP(-LN(2)/2)*CM156+(1-EXP(-LN(2)/2))/(LN(2)/2)*CG157*CJ157*VLOOKUP('Données projet'!$B$12,Paramètres!$A$1:$I$89,3,0)*0.475*44/12</f>
        <v>1.1580399459181258E-15</v>
      </c>
      <c r="CN157" s="22">
        <f t="shared" si="172"/>
        <v>36.96479933704088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69.037521059717292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5.6843418860808015E-14</v>
      </c>
      <c r="CU157" s="17">
        <f>CT157*VLOOKUP('Données projet'!$B$13,Paramètres!$A$1:$I$89,3,0)*VLOOKUP('Données projet'!$B$13,Paramètres!$A$1:$I$89,5,0)</f>
        <v>4.5224624045658861E-14</v>
      </c>
      <c r="CV157" s="13">
        <f t="shared" si="173"/>
        <v>7.4514601661523691E-13</v>
      </c>
      <c r="CW157" s="20">
        <f t="shared" si="174"/>
        <v>1.3765621991510601E-12</v>
      </c>
      <c r="CX157" s="59">
        <f t="shared" si="122"/>
        <v>289.80424388563142</v>
      </c>
      <c r="CY157" s="59">
        <f ca="1">AVERAGE(OFFSET($CX$3,0,0,'Données projet'!$E$13+1,1))-AVERAGE(OFFSET($H$3,0,0,'Données projet'!$E$13+1,1))</f>
        <v>284.31574332240928</v>
      </c>
      <c r="CZ157" s="59">
        <f t="shared" si="150"/>
        <v>403.96994631683913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130.46793308645735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130.46793308645735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69.037521059717292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190.9519472160006</v>
      </c>
      <c r="DU157" s="59">
        <f t="shared" si="152"/>
        <v>170.61553500287511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27.936235463177649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27.936235463177649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69.037521059717292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>
        <f>EJ157*VLOOKUP('Données projet'!$B$15,Paramètres!$A$1:$I$89,3,0)*VLOOKUP('Données projet'!$B$15,Paramètres!$A$1:$I$89,5,0)</f>
        <v>0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331.94255128154623</v>
      </c>
      <c r="EP157" s="59">
        <f t="shared" si="154"/>
        <v>258.40809812013964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356.93727160513606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356.93727160513606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69.037521059717292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>
        <f>FE157*VLOOKUP('Données projet'!$B$16,Paramètres!$A$1:$I$89,3,0)*VLOOKUP('Données projet'!$B$16,Paramètres!$A$1:$I$89,5,0)</f>
        <v>0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290.72311302449236</v>
      </c>
      <c r="FK157" s="59">
        <f t="shared" si="156"/>
        <v>352.32552988394434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107.38262746159013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107.38262746159013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69.037521059717292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>
        <f>FZ157*VLOOKUP('Données projet'!$B$17,Paramètres!$A$1:$I$89,3,0)*VLOOKUP('Données projet'!$B$17,Paramètres!$A$1:$I$89,5,0)</f>
        <v>0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123.03972959251965</v>
      </c>
      <c r="GF157" s="59">
        <f t="shared" si="158"/>
        <v>178.27657680839445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23.340254736834865</v>
      </c>
      <c r="GM157" s="21">
        <f>EXP(-LN(2)/25)*GM156+(1-EXP(-LN(2)/25))/(LN(2)/25)*Calculateur!GH157*Calculateur!GJ157*VLOOKUP('Données projet'!$B$17,Paramètres!$A$1:$I$89,3,0)*0.475*44/12</f>
        <v>3.27162489495608</v>
      </c>
      <c r="GN157" s="21">
        <f>EXP(-LN(2)/2)*GN156+(1-EXP(-LN(2)/2))/(LN(2)/2)*GH157*GK157*VLOOKUP('Données projet'!$B$17,Paramètres!$A$1:$I$89,3,0)*0.475*44/12</f>
        <v>2.324159042677516E-12</v>
      </c>
      <c r="GO157" s="21">
        <f t="shared" si="187"/>
        <v>26.611879631793268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69.037521059717292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-4.5474735088646412E-13</v>
      </c>
      <c r="GV157" s="17">
        <f>GU157*VLOOKUP('Données projet'!$B$18,Paramètres!$A$1:$I$89,3,0)*VLOOKUP('Données projet'!$B$18,Paramètres!$A$1:$I$89,5,0)</f>
        <v>-3.0504452297464016E-13</v>
      </c>
      <c r="GW157" s="13" t="e">
        <f t="shared" si="188"/>
        <v>#NUM!</v>
      </c>
      <c r="GX157" s="20" t="e">
        <f t="shared" si="189"/>
        <v>#NUM!</v>
      </c>
      <c r="GY157" s="59" t="e">
        <f t="shared" si="137"/>
        <v>#NUM!</v>
      </c>
      <c r="GZ157" s="59">
        <f ca="1">AVERAGE(OFFSET($GY$3,0,0,'Données projet'!$E$18+1,1))-AVERAGE(OFFSET($H$3,0,0,'Données projet'!$E$18+1,1))</f>
        <v>542.25674729323623</v>
      </c>
      <c r="HA157" s="59">
        <f t="shared" si="160"/>
        <v>614.73906555680685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144.4508041495003</v>
      </c>
      <c r="HH157" s="21">
        <f>EXP(-LN(2)/25)*HH156+(1-EXP(-LN(2)/25))/(LN(2)/25)*Calculateur!HC157*Calculateur!HE157*VLOOKUP('Données projet'!$B$18,Paramètres!$A$1:$I$89,3,0)*0.475*44/12</f>
        <v>0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144.4508041495003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2.8499999999999996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10.449999999999998</v>
      </c>
      <c r="H158" s="67">
        <f t="shared" si="110"/>
        <v>214.86666666666667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69.054217917550645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-1.0231815394945443E-12</v>
      </c>
      <c r="O158" s="13">
        <f>N158*VLOOKUP('Données projet'!$B$9,Paramètres!$A$1:$I$89,3,0)*VLOOKUP('Données projet'!$B$9,Paramètres!$A$1:$I$89,5,0)</f>
        <v>-8.9385139290243408E-13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686.80970545599644</v>
      </c>
      <c r="T158" s="59">
        <f t="shared" si="142"/>
        <v>636.16485232937737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39.308345447955837</v>
      </c>
      <c r="AA158" s="21">
        <f>EXP(-LN(2)/25)*AA157+(1-EXP(-LN(2)/25))/(LN(2)/25)*Calculateur!V158*Calculateur!X158*VLOOKUP('Données projet'!$B$9,Paramètres!$A$1:$I$89,3,0)*0.475*44/12</f>
        <v>2.8526219999393039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42.160967447895139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69.054217917550645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1.1368683772161603E-13</v>
      </c>
      <c r="AJ158" s="13">
        <f>AI158*VLOOKUP('Données projet'!$B$10,Paramètres!$A$1:$I$89,3,0)*VLOOKUP('Données projet'!$B$10,Paramètres!$A$1:$I$89,5,0)</f>
        <v>1.0286385077051818E-13</v>
      </c>
      <c r="AK158" s="13">
        <f t="shared" si="164"/>
        <v>1.5402366592183556E-12</v>
      </c>
      <c r="AL158" s="20">
        <f t="shared" si="165"/>
        <v>2.8617333882306215E-12</v>
      </c>
      <c r="AM158" s="59">
        <f t="shared" si="113"/>
        <v>289.86546569768853</v>
      </c>
      <c r="AN158" s="59">
        <f ca="1">AVERAGE(OFFSET($AM$3,0,0,'Données projet'!$E$10+1,1))-AVERAGE(OFFSET($H$3,0,0,'Données projet'!$E$10+1,1))</f>
        <v>323.67375363913726</v>
      </c>
      <c r="AO158" s="59">
        <f t="shared" si="144"/>
        <v>266.03902815735029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34.47098270584771</v>
      </c>
      <c r="AV158" s="21">
        <f>EXP(-LN(2)/25)*AV157+(1-EXP(-LN(2)/25))/(LN(2)/25)*Calculateur!AQ158*Calculateur!AS158*VLOOKUP('Données projet'!$B$10,Paramètres!$A$1:$I$89,3,0)*0.475*44/12</f>
        <v>6.5849009237979503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41.055883629645663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69.054217917550645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371.46495716091965</v>
      </c>
      <c r="BJ158" s="59">
        <f t="shared" si="146"/>
        <v>579.95059529269417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25.155183429635578</v>
      </c>
      <c r="BQ158" s="21">
        <f>EXP(-LN(2)/25)*BQ157+(1-EXP(-LN(2)/25))/(LN(2)/25)*Calculateur!BL158*Calculateur!BN158*VLOOKUP('Données projet'!$B$11,Paramètres!$A$1:$I$89,3,0)*0.475*44/12</f>
        <v>3.2633590496628315</v>
      </c>
      <c r="BR158" s="21">
        <f>EXP(-LN(2)/2)*BR157+(1-EXP(-LN(2)/2))/(LN(2)/2)*BL158*BO158*VLOOKUP('Données projet'!$B$11,Paramètres!$A$1:$I$89,3,0)*0.475*44/12</f>
        <v>1.0778004671760675E-15</v>
      </c>
      <c r="BS158" s="22">
        <f t="shared" si="169"/>
        <v>28.418542479298409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69.054217917550645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180.18752244216969</v>
      </c>
      <c r="CE158" s="59">
        <f t="shared" si="148"/>
        <v>350.12096474554676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30.37517189526389</v>
      </c>
      <c r="CL158" s="21">
        <f>EXP(-LN(2)/25)*CL157+(1-EXP(-LN(2)/25))/(LN(2)/25)*Calculateur!CG158*Calculateur!CI158*VLOOKUP('Données projet'!$B$12,Paramètres!$A$1:$I$89,3,0)*0.475*44/12</f>
        <v>5.8184949587564621</v>
      </c>
      <c r="CM158" s="21">
        <f>EXP(-LN(2)/2)*CM157+(1-EXP(-LN(2)/2))/(LN(2)/2)*CG158*CJ158*VLOOKUP('Données projet'!$B$12,Paramètres!$A$1:$I$89,3,0)*0.475*44/12</f>
        <v>8.1885789864360953E-16</v>
      </c>
      <c r="CN158" s="22">
        <f t="shared" si="172"/>
        <v>36.19366685402035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69.054217917550645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5.6843418860808015E-14</v>
      </c>
      <c r="CU158" s="17">
        <f>CT158*VLOOKUP('Données projet'!$B$13,Paramètres!$A$1:$I$89,3,0)*VLOOKUP('Données projet'!$B$13,Paramètres!$A$1:$I$89,5,0)</f>
        <v>4.5224624045658861E-14</v>
      </c>
      <c r="CV158" s="13">
        <f t="shared" si="173"/>
        <v>7.4514601661523691E-13</v>
      </c>
      <c r="CW158" s="20">
        <f t="shared" si="174"/>
        <v>1.3765621991510601E-12</v>
      </c>
      <c r="CX158" s="59">
        <f t="shared" si="122"/>
        <v>289.86546569768706</v>
      </c>
      <c r="CY158" s="59">
        <f ca="1">AVERAGE(OFFSET($CX$3,0,0,'Données projet'!$E$13+1,1))-AVERAGE(OFFSET($H$3,0,0,'Données projet'!$E$13+1,1))</f>
        <v>284.31574332240928</v>
      </c>
      <c r="CZ158" s="59">
        <f t="shared" si="150"/>
        <v>403.96994631683913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127.90953649621348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127.90953649621348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69.054217917550645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190.9519472160006</v>
      </c>
      <c r="DU158" s="59">
        <f t="shared" si="152"/>
        <v>170.61553500287511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27.388422925165866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27.388422925165866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69.054217917550645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>
        <f>EJ158*VLOOKUP('Données projet'!$B$15,Paramètres!$A$1:$I$89,3,0)*VLOOKUP('Données projet'!$B$15,Paramètres!$A$1:$I$89,5,0)</f>
        <v>0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331.94255128154623</v>
      </c>
      <c r="EP158" s="59">
        <f t="shared" si="154"/>
        <v>258.40809812013964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349.93794941919793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349.93794941919793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69.054217917550645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>
        <f>FE158*VLOOKUP('Données projet'!$B$16,Paramètres!$A$1:$I$89,3,0)*VLOOKUP('Données projet'!$B$16,Paramètres!$A$1:$I$89,5,0)</f>
        <v>0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290.72311302449236</v>
      </c>
      <c r="FK158" s="59">
        <f t="shared" si="156"/>
        <v>352.32552988394434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105.27691963400382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105.27691963400382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69.054217917550645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>
        <f>FZ158*VLOOKUP('Données projet'!$B$17,Paramètres!$A$1:$I$89,3,0)*VLOOKUP('Données projet'!$B$17,Paramètres!$A$1:$I$89,5,0)</f>
        <v>0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123.03972959251965</v>
      </c>
      <c r="GF158" s="59">
        <f t="shared" si="158"/>
        <v>178.27657680839445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22.88256657759522</v>
      </c>
      <c r="GM158" s="21">
        <f>EXP(-LN(2)/25)*GM157+(1-EXP(-LN(2)/25))/(LN(2)/25)*Calculateur!GH158*Calculateur!GJ158*VLOOKUP('Données projet'!$B$17,Paramètres!$A$1:$I$89,3,0)*0.475*44/12</f>
        <v>3.1821621401562301</v>
      </c>
      <c r="GN158" s="21">
        <f>EXP(-LN(2)/2)*GN157+(1-EXP(-LN(2)/2))/(LN(2)/2)*GH158*GK158*VLOOKUP('Données projet'!$B$17,Paramètres!$A$1:$I$89,3,0)*0.475*44/12</f>
        <v>1.6434286196333061E-12</v>
      </c>
      <c r="GO158" s="21">
        <f t="shared" si="187"/>
        <v>26.064728717753095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69.054217917550645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-4.5474735088646412E-13</v>
      </c>
      <c r="GV158" s="17">
        <f>GU158*VLOOKUP('Données projet'!$B$18,Paramètres!$A$1:$I$89,3,0)*VLOOKUP('Données projet'!$B$18,Paramètres!$A$1:$I$89,5,0)</f>
        <v>-3.0504452297464016E-13</v>
      </c>
      <c r="GW158" s="13" t="e">
        <f t="shared" si="188"/>
        <v>#NUM!</v>
      </c>
      <c r="GX158" s="20" t="e">
        <f t="shared" si="189"/>
        <v>#NUM!</v>
      </c>
      <c r="GY158" s="59" t="e">
        <f t="shared" si="137"/>
        <v>#NUM!</v>
      </c>
      <c r="GZ158" s="59">
        <f ca="1">AVERAGE(OFFSET($GY$3,0,0,'Données projet'!$E$18+1,1))-AVERAGE(OFFSET($H$3,0,0,'Données projet'!$E$18+1,1))</f>
        <v>542.25674729323623</v>
      </c>
      <c r="HA158" s="59">
        <f t="shared" si="160"/>
        <v>614.73906555680685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141.61821198641937</v>
      </c>
      <c r="HH158" s="21">
        <f>EXP(-LN(2)/25)*HH157+(1-EXP(-LN(2)/25))/(LN(2)/25)*Calculateur!HC158*Calculateur!HE158*VLOOKUP('Données projet'!$B$18,Paramètres!$A$1:$I$89,3,0)*0.475*44/12</f>
        <v>0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141.61821198641937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2.8499999999999996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10.449999999999998</v>
      </c>
      <c r="H159" s="67">
        <f t="shared" si="110"/>
        <v>214.86666666666667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69.070625122229174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-1.0231815394945443E-12</v>
      </c>
      <c r="O159" s="13">
        <f>N159*VLOOKUP('Données projet'!$B$9,Paramètres!$A$1:$I$89,3,0)*VLOOKUP('Données projet'!$B$9,Paramètres!$A$1:$I$89,5,0)</f>
        <v>-8.9385139290243408E-13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686.80970545599644</v>
      </c>
      <c r="T159" s="59">
        <f t="shared" si="142"/>
        <v>636.16485232937737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38.537532769444738</v>
      </c>
      <c r="AA159" s="21">
        <f>EXP(-LN(2)/25)*AA158+(1-EXP(-LN(2)/25))/(LN(2)/25)*Calculateur!V159*Calculateur!X159*VLOOKUP('Données projet'!$B$9,Paramètres!$A$1:$I$89,3,0)*0.475*44/12</f>
        <v>2.7746169013380926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41.31214967078283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69.070625122229174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1.1368683772161603E-13</v>
      </c>
      <c r="AJ159" s="13">
        <f>AI159*VLOOKUP('Données projet'!$B$10,Paramètres!$A$1:$I$89,3,0)*VLOOKUP('Données projet'!$B$10,Paramètres!$A$1:$I$89,5,0)</f>
        <v>1.0286385077051818E-13</v>
      </c>
      <c r="AK159" s="13">
        <f t="shared" si="164"/>
        <v>1.5402366592183556E-12</v>
      </c>
      <c r="AL159" s="20">
        <f t="shared" si="165"/>
        <v>2.8617333882306215E-12</v>
      </c>
      <c r="AM159" s="59">
        <f t="shared" si="113"/>
        <v>289.9256254481765</v>
      </c>
      <c r="AN159" s="59">
        <f ca="1">AVERAGE(OFFSET($AM$3,0,0,'Données projet'!$E$10+1,1))-AVERAGE(OFFSET($H$3,0,0,'Données projet'!$E$10+1,1))</f>
        <v>323.67375363913726</v>
      </c>
      <c r="AO159" s="59">
        <f t="shared" si="144"/>
        <v>266.03902815735029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33.795027760209422</v>
      </c>
      <c r="AV159" s="21">
        <f>EXP(-LN(2)/25)*AV158+(1-EXP(-LN(2)/25))/(LN(2)/25)*Calculateur!AQ159*Calculateur!AS159*VLOOKUP('Données projet'!$B$10,Paramètres!$A$1:$I$89,3,0)*0.475*44/12</f>
        <v>6.4048364617518061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40.199864221961228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69.070625122229174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371.46495716091965</v>
      </c>
      <c r="BJ159" s="59">
        <f t="shared" si="146"/>
        <v>579.95059529269417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24.661905625727307</v>
      </c>
      <c r="BQ159" s="21">
        <f>EXP(-LN(2)/25)*BQ158+(1-EXP(-LN(2)/25))/(LN(2)/25)*Calculateur!BL159*Calculateur!BN159*VLOOKUP('Données projet'!$B$11,Paramètres!$A$1:$I$89,3,0)*0.475*44/12</f>
        <v>3.1741223248372075</v>
      </c>
      <c r="BR159" s="21">
        <f>EXP(-LN(2)/2)*BR158+(1-EXP(-LN(2)/2))/(LN(2)/2)*BL159*BO159*VLOOKUP('Données projet'!$B$11,Paramètres!$A$1:$I$89,3,0)*0.475*44/12</f>
        <v>7.6212001910622626E-16</v>
      </c>
      <c r="BS159" s="22">
        <f t="shared" si="169"/>
        <v>27.836027950564514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69.070625122229174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180.18752244216969</v>
      </c>
      <c r="CE159" s="59">
        <f t="shared" si="148"/>
        <v>350.12096474554676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29.779533301423228</v>
      </c>
      <c r="CL159" s="21">
        <f>EXP(-LN(2)/25)*CL158+(1-EXP(-LN(2)/25))/(LN(2)/25)*Calculateur!CG159*Calculateur!CI159*VLOOKUP('Données projet'!$B$12,Paramètres!$A$1:$I$89,3,0)*0.475*44/12</f>
        <v>5.6593879081279148</v>
      </c>
      <c r="CM159" s="21">
        <f>EXP(-LN(2)/2)*CM158+(1-EXP(-LN(2)/2))/(LN(2)/2)*CG159*CJ159*VLOOKUP('Données projet'!$B$12,Paramètres!$A$1:$I$89,3,0)*0.475*44/12</f>
        <v>5.7901997295906291E-16</v>
      </c>
      <c r="CN159" s="22">
        <f t="shared" si="172"/>
        <v>35.43892120955114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69.070625122229174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5.6843418860808015E-14</v>
      </c>
      <c r="CU159" s="17">
        <f>CT159*VLOOKUP('Données projet'!$B$13,Paramètres!$A$1:$I$89,3,0)*VLOOKUP('Données projet'!$B$13,Paramètres!$A$1:$I$89,5,0)</f>
        <v>4.5224624045658861E-14</v>
      </c>
      <c r="CV159" s="13">
        <f t="shared" si="173"/>
        <v>7.4514601661523691E-13</v>
      </c>
      <c r="CW159" s="20">
        <f t="shared" si="174"/>
        <v>1.3765621991510601E-12</v>
      </c>
      <c r="CX159" s="59">
        <f t="shared" si="122"/>
        <v>289.92562544817503</v>
      </c>
      <c r="CY159" s="59">
        <f ca="1">AVERAGE(OFFSET($CX$3,0,0,'Données projet'!$E$13+1,1))-AVERAGE(OFFSET($H$3,0,0,'Données projet'!$E$13+1,1))</f>
        <v>284.31574332240928</v>
      </c>
      <c r="CZ159" s="59">
        <f t="shared" si="150"/>
        <v>403.96994631683913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125.40130850263644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125.40130850263644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69.070625122229174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190.9519472160006</v>
      </c>
      <c r="DU159" s="59">
        <f t="shared" si="152"/>
        <v>170.61553500287511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26.851352656891837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26.851352656891837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69.070625122229174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>
        <f>EJ159*VLOOKUP('Données projet'!$B$15,Paramètres!$A$1:$I$89,3,0)*VLOOKUP('Données projet'!$B$15,Paramètres!$A$1:$I$89,5,0)</f>
        <v>0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331.94255128154623</v>
      </c>
      <c r="EP159" s="59">
        <f t="shared" si="154"/>
        <v>258.40809812013964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343.07587967216108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343.07587967216108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69.070625122229174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>
        <f>FE159*VLOOKUP('Données projet'!$B$16,Paramètres!$A$1:$I$89,3,0)*VLOOKUP('Données projet'!$B$16,Paramètres!$A$1:$I$89,5,0)</f>
        <v>0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290.72311302449236</v>
      </c>
      <c r="FK159" s="59">
        <f t="shared" si="156"/>
        <v>352.32552988394434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103.21250345256152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103.21250345256152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69.070625122229174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>
        <f>FZ159*VLOOKUP('Données projet'!$B$17,Paramètres!$A$1:$I$89,3,0)*VLOOKUP('Données projet'!$B$17,Paramètres!$A$1:$I$89,5,0)</f>
        <v>0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123.03972959251965</v>
      </c>
      <c r="GF159" s="59">
        <f t="shared" si="158"/>
        <v>178.27657680839445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22.433853403996054</v>
      </c>
      <c r="GM159" s="21">
        <f>EXP(-LN(2)/25)*GM158+(1-EXP(-LN(2)/25))/(LN(2)/25)*Calculateur!GH159*Calculateur!GJ159*VLOOKUP('Données projet'!$B$17,Paramètres!$A$1:$I$89,3,0)*0.475*44/12</f>
        <v>3.0951457490910239</v>
      </c>
      <c r="GN159" s="21">
        <f>EXP(-LN(2)/2)*GN158+(1-EXP(-LN(2)/2))/(LN(2)/2)*GH159*GK159*VLOOKUP('Données projet'!$B$17,Paramètres!$A$1:$I$89,3,0)*0.475*44/12</f>
        <v>1.162079521338758E-12</v>
      </c>
      <c r="GO159" s="21">
        <f t="shared" si="187"/>
        <v>25.52899915308824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69.070625122229174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-4.5474735088646412E-13</v>
      </c>
      <c r="GV159" s="17">
        <f>GU159*VLOOKUP('Données projet'!$B$18,Paramètres!$A$1:$I$89,3,0)*VLOOKUP('Données projet'!$B$18,Paramètres!$A$1:$I$89,5,0)</f>
        <v>-3.0504452297464016E-13</v>
      </c>
      <c r="GW159" s="13" t="e">
        <f t="shared" si="188"/>
        <v>#NUM!</v>
      </c>
      <c r="GX159" s="20" t="e">
        <f t="shared" si="189"/>
        <v>#NUM!</v>
      </c>
      <c r="GY159" s="59" t="e">
        <f t="shared" si="137"/>
        <v>#NUM!</v>
      </c>
      <c r="GZ159" s="59">
        <f ca="1">AVERAGE(OFFSET($GY$3,0,0,'Données projet'!$E$18+1,1))-AVERAGE(OFFSET($H$3,0,0,'Données projet'!$E$18+1,1))</f>
        <v>542.25674729323623</v>
      </c>
      <c r="HA159" s="59">
        <f t="shared" si="160"/>
        <v>614.73906555680685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138.84116522794582</v>
      </c>
      <c r="HH159" s="21">
        <f>EXP(-LN(2)/25)*HH158+(1-EXP(-LN(2)/25))/(LN(2)/25)*Calculateur!HC159*Calculateur!HE159*VLOOKUP('Données projet'!$B$18,Paramètres!$A$1:$I$89,3,0)*0.475*44/12</f>
        <v>0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138.84116522794582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2.8499999999999996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10.449999999999998</v>
      </c>
      <c r="H160" s="67">
        <f t="shared" si="110"/>
        <v>214.86666666666667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69.086747698587544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-1.0231815394945443E-12</v>
      </c>
      <c r="O160" s="13">
        <f>N160*VLOOKUP('Données projet'!$B$9,Paramètres!$A$1:$I$89,3,0)*VLOOKUP('Données projet'!$B$9,Paramètres!$A$1:$I$89,5,0)</f>
        <v>-8.9385139290243408E-13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686.80970545599644</v>
      </c>
      <c r="T160" s="59">
        <f t="shared" si="142"/>
        <v>636.16485232937737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37.781835257409931</v>
      </c>
      <c r="AA160" s="21">
        <f>EXP(-LN(2)/25)*AA159+(1-EXP(-LN(2)/25))/(LN(2)/25)*Calculateur!V160*Calculateur!X160*VLOOKUP('Données projet'!$B$9,Paramètres!$A$1:$I$89,3,0)*0.475*44/12</f>
        <v>2.698744856260241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40.480580113670172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69.086747698587544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1.1368683772161603E-13</v>
      </c>
      <c r="AJ160" s="13">
        <f>AI160*VLOOKUP('Données projet'!$B$10,Paramètres!$A$1:$I$89,3,0)*VLOOKUP('Données projet'!$B$10,Paramètres!$A$1:$I$89,5,0)</f>
        <v>1.0286385077051818E-13</v>
      </c>
      <c r="AK160" s="13">
        <f t="shared" si="164"/>
        <v>1.5402366592183556E-12</v>
      </c>
      <c r="AL160" s="20">
        <f t="shared" si="165"/>
        <v>2.8617333882306215E-12</v>
      </c>
      <c r="AM160" s="59">
        <f t="shared" si="113"/>
        <v>289.98474156149052</v>
      </c>
      <c r="AN160" s="59">
        <f ca="1">AVERAGE(OFFSET($AM$3,0,0,'Données projet'!$E$10+1,1))-AVERAGE(OFFSET($H$3,0,0,'Données projet'!$E$10+1,1))</f>
        <v>323.67375363913726</v>
      </c>
      <c r="AO160" s="59">
        <f t="shared" si="144"/>
        <v>266.03902815735029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33.132327878763292</v>
      </c>
      <c r="AV160" s="21">
        <f>EXP(-LN(2)/25)*AV159+(1-EXP(-LN(2)/25))/(LN(2)/25)*Calculateur!AQ160*Calculateur!AS160*VLOOKUP('Données projet'!$B$10,Paramètres!$A$1:$I$89,3,0)*0.475*44/12</f>
        <v>6.2296958718894917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39.362023750652781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69.086747698587544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371.46495716091965</v>
      </c>
      <c r="BJ160" s="59">
        <f t="shared" si="146"/>
        <v>579.95059529269417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24.178300698683923</v>
      </c>
      <c r="BQ160" s="21">
        <f>EXP(-LN(2)/25)*BQ159+(1-EXP(-LN(2)/25))/(LN(2)/25)*Calculateur!BL160*Calculateur!BN160*VLOOKUP('Données projet'!$B$11,Paramètres!$A$1:$I$89,3,0)*0.475*44/12</f>
        <v>3.0873257829446956</v>
      </c>
      <c r="BR160" s="21">
        <f>EXP(-LN(2)/2)*BR159+(1-EXP(-LN(2)/2))/(LN(2)/2)*BL160*BO160*VLOOKUP('Données projet'!$B$11,Paramètres!$A$1:$I$89,3,0)*0.475*44/12</f>
        <v>5.3890023358803374E-16</v>
      </c>
      <c r="BS160" s="22">
        <f t="shared" si="169"/>
        <v>27.265626481628619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69.086747698587544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180.18752244216969</v>
      </c>
      <c r="CE160" s="59">
        <f t="shared" si="148"/>
        <v>350.12096474554676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29.195574817104113</v>
      </c>
      <c r="CL160" s="21">
        <f>EXP(-LN(2)/25)*CL159+(1-EXP(-LN(2)/25))/(LN(2)/25)*Calculateur!CG160*Calculateur!CI160*VLOOKUP('Données projet'!$B$12,Paramètres!$A$1:$I$89,3,0)*0.475*44/12</f>
        <v>5.5046316481658817</v>
      </c>
      <c r="CM160" s="21">
        <f>EXP(-LN(2)/2)*CM159+(1-EXP(-LN(2)/2))/(LN(2)/2)*CG160*CJ160*VLOOKUP('Données projet'!$B$12,Paramètres!$A$1:$I$89,3,0)*0.475*44/12</f>
        <v>4.0942894932180476E-16</v>
      </c>
      <c r="CN160" s="22">
        <f t="shared" si="172"/>
        <v>34.700206465269993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69.086747698587544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5.6843418860808015E-14</v>
      </c>
      <c r="CU160" s="17">
        <f>CT160*VLOOKUP('Données projet'!$B$13,Paramètres!$A$1:$I$89,3,0)*VLOOKUP('Données projet'!$B$13,Paramètres!$A$1:$I$89,5,0)</f>
        <v>4.5224624045658861E-14</v>
      </c>
      <c r="CV160" s="13">
        <f t="shared" si="173"/>
        <v>7.4514601661523691E-13</v>
      </c>
      <c r="CW160" s="20">
        <f t="shared" si="174"/>
        <v>1.3765621991510601E-12</v>
      </c>
      <c r="CX160" s="59">
        <f t="shared" si="122"/>
        <v>289.98474156148905</v>
      </c>
      <c r="CY160" s="59">
        <f ca="1">AVERAGE(OFFSET($CX$3,0,0,'Données projet'!$E$13+1,1))-AVERAGE(OFFSET($H$3,0,0,'Données projet'!$E$13+1,1))</f>
        <v>284.31574332240928</v>
      </c>
      <c r="CZ160" s="59">
        <f t="shared" si="150"/>
        <v>403.96994631683913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122.94226533014543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122.94226533014543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69.086747698587544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190.9519472160006</v>
      </c>
      <c r="DU160" s="59">
        <f t="shared" si="152"/>
        <v>170.61553500287511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26.324814008998146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26.324814008998146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69.086747698587544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>
        <f>EJ160*VLOOKUP('Données projet'!$B$15,Paramètres!$A$1:$I$89,3,0)*VLOOKUP('Données projet'!$B$15,Paramètres!$A$1:$I$89,5,0)</f>
        <v>0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331.94255128154623</v>
      </c>
      <c r="EP160" s="59">
        <f t="shared" si="154"/>
        <v>258.40809812013964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336.34837092741435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336.34837092741435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69.086747698587544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>
        <f>FE160*VLOOKUP('Données projet'!$B$16,Paramètres!$A$1:$I$89,3,0)*VLOOKUP('Données projet'!$B$16,Paramètres!$A$1:$I$89,5,0)</f>
        <v>0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290.72311302449236</v>
      </c>
      <c r="FK160" s="59">
        <f t="shared" si="156"/>
        <v>352.32552988394434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101.18856921326777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101.18856921326777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69.086747698587544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>
        <f>FZ160*VLOOKUP('Données projet'!$B$17,Paramètres!$A$1:$I$89,3,0)*VLOOKUP('Données projet'!$B$17,Paramètres!$A$1:$I$89,5,0)</f>
        <v>0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123.03972959251965</v>
      </c>
      <c r="GF160" s="59">
        <f t="shared" si="158"/>
        <v>178.27657680839445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21.993939222043153</v>
      </c>
      <c r="GM160" s="21">
        <f>EXP(-LN(2)/25)*GM159+(1-EXP(-LN(2)/25))/(LN(2)/25)*Calculateur!GH160*Calculateur!GJ160*VLOOKUP('Données projet'!$B$17,Paramètres!$A$1:$I$89,3,0)*0.475*44/12</f>
        <v>3.0105088258154891</v>
      </c>
      <c r="GN160" s="21">
        <f>EXP(-LN(2)/2)*GN159+(1-EXP(-LN(2)/2))/(LN(2)/2)*GH160*GK160*VLOOKUP('Données projet'!$B$17,Paramètres!$A$1:$I$89,3,0)*0.475*44/12</f>
        <v>8.2171430981665306E-13</v>
      </c>
      <c r="GO160" s="21">
        <f t="shared" si="187"/>
        <v>25.004448047859462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69.086747698587544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-4.5474735088646412E-13</v>
      </c>
      <c r="GV160" s="17">
        <f>GU160*VLOOKUP('Données projet'!$B$18,Paramètres!$A$1:$I$89,3,0)*VLOOKUP('Données projet'!$B$18,Paramètres!$A$1:$I$89,5,0)</f>
        <v>-3.0504452297464016E-13</v>
      </c>
      <c r="GW160" s="13" t="e">
        <f t="shared" si="188"/>
        <v>#NUM!</v>
      </c>
      <c r="GX160" s="20" t="e">
        <f t="shared" si="189"/>
        <v>#NUM!</v>
      </c>
      <c r="GY160" s="59" t="e">
        <f t="shared" si="137"/>
        <v>#NUM!</v>
      </c>
      <c r="GZ160" s="59">
        <f ca="1">AVERAGE(OFFSET($GY$3,0,0,'Données projet'!$E$18+1,1))-AVERAGE(OFFSET($H$3,0,0,'Données projet'!$E$18+1,1))</f>
        <v>542.25674729323623</v>
      </c>
      <c r="HA160" s="59">
        <f t="shared" si="160"/>
        <v>614.73906555680685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136.11857466257467</v>
      </c>
      <c r="HH160" s="21">
        <f>EXP(-LN(2)/25)*HH159+(1-EXP(-LN(2)/25))/(LN(2)/25)*Calculateur!HC160*Calculateur!HE160*VLOOKUP('Données projet'!$B$18,Paramètres!$A$1:$I$89,3,0)*0.475*44/12</f>
        <v>0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136.11857466257467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2.8499999999999996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10.449999999999998</v>
      </c>
      <c r="H161" s="67">
        <f t="shared" si="110"/>
        <v>214.86666666666667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69.10259058429078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-1.0231815394945443E-12</v>
      </c>
      <c r="O161" s="13">
        <f>N161*VLOOKUP('Données projet'!$B$9,Paramètres!$A$1:$I$89,3,0)*VLOOKUP('Données projet'!$B$9,Paramètres!$A$1:$I$89,5,0)</f>
        <v>-8.9385139290243408E-13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686.80970545599644</v>
      </c>
      <c r="T161" s="59">
        <f t="shared" si="142"/>
        <v>636.16485232937737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37.040956512656159</v>
      </c>
      <c r="AA161" s="21">
        <f>EXP(-LN(2)/25)*AA160+(1-EXP(-LN(2)/25))/(LN(2)/25)*Calculateur!V161*Calculateur!X161*VLOOKUP('Données projet'!$B$9,Paramètres!$A$1:$I$89,3,0)*0.475*44/12</f>
        <v>2.6249475362449806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39.66590404890114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69.10259058429078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1.1368683772161603E-13</v>
      </c>
      <c r="AJ161" s="13">
        <f>AI161*VLOOKUP('Données projet'!$B$10,Paramètres!$A$1:$I$89,3,0)*VLOOKUP('Données projet'!$B$10,Paramètres!$A$1:$I$89,5,0)</f>
        <v>1.0286385077051818E-13</v>
      </c>
      <c r="AK161" s="13">
        <f t="shared" si="164"/>
        <v>1.5402366592183556E-12</v>
      </c>
      <c r="AL161" s="20">
        <f t="shared" si="165"/>
        <v>2.8617333882306215E-12</v>
      </c>
      <c r="AM161" s="59">
        <f t="shared" si="113"/>
        <v>290.04283214240235</v>
      </c>
      <c r="AN161" s="59">
        <f ca="1">AVERAGE(OFFSET($AM$3,0,0,'Données projet'!$E$10+1,1))-AVERAGE(OFFSET($H$3,0,0,'Données projet'!$E$10+1,1))</f>
        <v>323.67375363913726</v>
      </c>
      <c r="AO161" s="59">
        <f t="shared" si="144"/>
        <v>266.03902815735029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32.482623137785303</v>
      </c>
      <c r="AV161" s="21">
        <f>EXP(-LN(2)/25)*AV160+(1-EXP(-LN(2)/25))/(LN(2)/25)*Calculateur!AQ161*Calculateur!AS161*VLOOKUP('Données projet'!$B$10,Paramètres!$A$1:$I$89,3,0)*0.475*44/12</f>
        <v>6.0593445106672057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38.541967648452513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69.10259058429078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371.46495716091965</v>
      </c>
      <c r="BJ161" s="59">
        <f t="shared" si="146"/>
        <v>579.95059529269417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23.70417896928998</v>
      </c>
      <c r="BQ161" s="21">
        <f>EXP(-LN(2)/25)*BQ160+(1-EXP(-LN(2)/25))/(LN(2)/25)*Calculateur!BL161*Calculateur!BN161*VLOOKUP('Données projet'!$B$11,Paramètres!$A$1:$I$89,3,0)*0.475*44/12</f>
        <v>3.0029026970546662</v>
      </c>
      <c r="BR161" s="21">
        <f>EXP(-LN(2)/2)*BR160+(1-EXP(-LN(2)/2))/(LN(2)/2)*BL161*BO161*VLOOKUP('Données projet'!$B$11,Paramètres!$A$1:$I$89,3,0)*0.475*44/12</f>
        <v>3.8106000955311313E-16</v>
      </c>
      <c r="BS161" s="22">
        <f t="shared" si="169"/>
        <v>26.707081666344646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69.10259058429078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180.18752244216969</v>
      </c>
      <c r="CE161" s="59">
        <f t="shared" si="148"/>
        <v>350.12096474554676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28.623067402482992</v>
      </c>
      <c r="CL161" s="21">
        <f>EXP(-LN(2)/25)*CL160+(1-EXP(-LN(2)/25))/(LN(2)/25)*Calculateur!CG161*Calculateur!CI161*VLOOKUP('Données projet'!$B$12,Paramètres!$A$1:$I$89,3,0)*0.475*44/12</f>
        <v>5.354107206270788</v>
      </c>
      <c r="CM161" s="21">
        <f>EXP(-LN(2)/2)*CM160+(1-EXP(-LN(2)/2))/(LN(2)/2)*CG161*CJ161*VLOOKUP('Données projet'!$B$12,Paramètres!$A$1:$I$89,3,0)*0.475*44/12</f>
        <v>2.8950998647953145E-16</v>
      </c>
      <c r="CN161" s="22">
        <f t="shared" si="172"/>
        <v>33.977174608753778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69.10259058429078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5.6843418860808015E-14</v>
      </c>
      <c r="CU161" s="17">
        <f>CT161*VLOOKUP('Données projet'!$B$13,Paramètres!$A$1:$I$89,3,0)*VLOOKUP('Données projet'!$B$13,Paramètres!$A$1:$I$89,5,0)</f>
        <v>4.5224624045658861E-14</v>
      </c>
      <c r="CV161" s="13">
        <f t="shared" si="173"/>
        <v>7.4514601661523691E-13</v>
      </c>
      <c r="CW161" s="20">
        <f t="shared" si="174"/>
        <v>1.3765621991510601E-12</v>
      </c>
      <c r="CX161" s="59">
        <f t="shared" si="122"/>
        <v>290.04283214240087</v>
      </c>
      <c r="CY161" s="59">
        <f ca="1">AVERAGE(OFFSET($CX$3,0,0,'Données projet'!$E$13+1,1))-AVERAGE(OFFSET($H$3,0,0,'Données projet'!$E$13+1,1))</f>
        <v>284.31574332240928</v>
      </c>
      <c r="CZ161" s="59">
        <f t="shared" si="150"/>
        <v>403.96994631683913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120.53144249439875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120.53144249439875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69.10259058429078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190.9519472160006</v>
      </c>
      <c r="DU161" s="59">
        <f t="shared" si="152"/>
        <v>170.61553500287511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25.808600462832786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25.808600462832786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69.10259058429078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>
        <f>EJ161*VLOOKUP('Données projet'!$B$15,Paramètres!$A$1:$I$89,3,0)*VLOOKUP('Données projet'!$B$15,Paramètres!$A$1:$I$89,5,0)</f>
        <v>0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331.94255128154623</v>
      </c>
      <c r="EP161" s="59">
        <f t="shared" si="154"/>
        <v>258.40809812013964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329.75278452577692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329.75278452577692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69.10259058429078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>
        <f>FE161*VLOOKUP('Données projet'!$B$16,Paramètres!$A$1:$I$89,3,0)*VLOOKUP('Données projet'!$B$16,Paramètres!$A$1:$I$89,5,0)</f>
        <v>0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290.72311302449236</v>
      </c>
      <c r="FK161" s="59">
        <f t="shared" si="156"/>
        <v>352.32552988394434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99.204323089928565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99.204323089928565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69.10259058429078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>
        <f>FZ161*VLOOKUP('Données projet'!$B$17,Paramètres!$A$1:$I$89,3,0)*VLOOKUP('Données projet'!$B$17,Paramètres!$A$1:$I$89,5,0)</f>
        <v>0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123.03972959251965</v>
      </c>
      <c r="GF161" s="59">
        <f t="shared" si="158"/>
        <v>178.27657680839445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21.562651488877194</v>
      </c>
      <c r="GM161" s="21">
        <f>EXP(-LN(2)/25)*GM160+(1-EXP(-LN(2)/25))/(LN(2)/25)*Calculateur!GH161*Calculateur!GJ161*VLOOKUP('Données projet'!$B$17,Paramètres!$A$1:$I$89,3,0)*0.475*44/12</f>
        <v>2.9281863036577858</v>
      </c>
      <c r="GN161" s="21">
        <f>EXP(-LN(2)/2)*GN160+(1-EXP(-LN(2)/2))/(LN(2)/2)*GH161*GK161*VLOOKUP('Données projet'!$B$17,Paramètres!$A$1:$I$89,3,0)*0.475*44/12</f>
        <v>5.8103976066937901E-13</v>
      </c>
      <c r="GO161" s="21">
        <f t="shared" si="187"/>
        <v>24.490837792535562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69.10259058429078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-4.5474735088646412E-13</v>
      </c>
      <c r="GV161" s="17">
        <f>GU161*VLOOKUP('Données projet'!$B$18,Paramètres!$A$1:$I$89,3,0)*VLOOKUP('Données projet'!$B$18,Paramètres!$A$1:$I$89,5,0)</f>
        <v>-3.0504452297464016E-13</v>
      </c>
      <c r="GW161" s="13" t="e">
        <f t="shared" si="188"/>
        <v>#NUM!</v>
      </c>
      <c r="GX161" s="20" t="e">
        <f t="shared" si="189"/>
        <v>#NUM!</v>
      </c>
      <c r="GY161" s="59" t="e">
        <f t="shared" si="137"/>
        <v>#NUM!</v>
      </c>
      <c r="GZ161" s="59">
        <f ca="1">AVERAGE(OFFSET($GY$3,0,0,'Données projet'!$E$18+1,1))-AVERAGE(OFFSET($H$3,0,0,'Données projet'!$E$18+1,1))</f>
        <v>542.25674729323623</v>
      </c>
      <c r="HA161" s="59">
        <f t="shared" si="160"/>
        <v>614.73906555680685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133.44937243757417</v>
      </c>
      <c r="HH161" s="21">
        <f>EXP(-LN(2)/25)*HH160+(1-EXP(-LN(2)/25))/(LN(2)/25)*Calculateur!HC161*Calculateur!HE161*VLOOKUP('Données projet'!$B$18,Paramètres!$A$1:$I$89,3,0)*0.475*44/12</f>
        <v>0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133.44937243757417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2.8499999999999996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10.449999999999998</v>
      </c>
      <c r="H162" s="67">
        <f t="shared" si="110"/>
        <v>214.86666666666667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69.118158631346446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-1.0231815394945443E-12</v>
      </c>
      <c r="O162" s="13">
        <f>N162*VLOOKUP('Données projet'!$B$9,Paramètres!$A$1:$I$89,3,0)*VLOOKUP('Données projet'!$B$9,Paramètres!$A$1:$I$89,5,0)</f>
        <v>-8.9385139290243408E-13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686.80970545599644</v>
      </c>
      <c r="T162" s="59">
        <f t="shared" si="142"/>
        <v>636.16485232937737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36.314605948195599</v>
      </c>
      <c r="AA162" s="21">
        <f>EXP(-LN(2)/25)*AA161+(1-EXP(-LN(2)/25))/(LN(2)/25)*Calculateur!V162*Calculateur!X162*VLOOKUP('Données projet'!$B$9,Paramètres!$A$1:$I$89,3,0)*0.475*44/12</f>
        <v>2.5531682078263702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38.867774156021966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69.118158631346446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1.1368683772161603E-13</v>
      </c>
      <c r="AJ162" s="13">
        <f>AI162*VLOOKUP('Données projet'!$B$10,Paramètres!$A$1:$I$89,3,0)*VLOOKUP('Données projet'!$B$10,Paramètres!$A$1:$I$89,5,0)</f>
        <v>1.0286385077051818E-13</v>
      </c>
      <c r="AK162" s="13">
        <f t="shared" si="164"/>
        <v>1.5402366592183556E-12</v>
      </c>
      <c r="AL162" s="20">
        <f t="shared" si="165"/>
        <v>2.8617333882306215E-12</v>
      </c>
      <c r="AM162" s="59">
        <f t="shared" si="113"/>
        <v>290.09991498160645</v>
      </c>
      <c r="AN162" s="59">
        <f ca="1">AVERAGE(OFFSET($AM$3,0,0,'Données projet'!$E$10+1,1))-AVERAGE(OFFSET($H$3,0,0,'Données projet'!$E$10+1,1))</f>
        <v>323.67375363913726</v>
      </c>
      <c r="AO162" s="59">
        <f t="shared" si="144"/>
        <v>266.03902815735029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31.84565871049713</v>
      </c>
      <c r="AV162" s="21">
        <f>EXP(-LN(2)/25)*AV161+(1-EXP(-LN(2)/25))/(LN(2)/25)*Calculateur!AQ162*Calculateur!AS162*VLOOKUP('Données projet'!$B$10,Paramètres!$A$1:$I$89,3,0)*0.475*44/12</f>
        <v>5.8936514163759322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37.739310126873065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69.118158631346446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371.46495716091965</v>
      </c>
      <c r="BJ162" s="59">
        <f t="shared" si="146"/>
        <v>579.95059529269417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23.239354477823753</v>
      </c>
      <c r="BQ162" s="21">
        <f>EXP(-LN(2)/25)*BQ161+(1-EXP(-LN(2)/25))/(LN(2)/25)*Calculateur!BL162*Calculateur!BN162*VLOOKUP('Données projet'!$B$11,Paramètres!$A$1:$I$89,3,0)*0.475*44/12</f>
        <v>2.9207881648879166</v>
      </c>
      <c r="BR162" s="21">
        <f>EXP(-LN(2)/2)*BR161+(1-EXP(-LN(2)/2))/(LN(2)/2)*BL162*BO162*VLOOKUP('Données projet'!$B$11,Paramètres!$A$1:$I$89,3,0)*0.475*44/12</f>
        <v>2.6945011679401687E-16</v>
      </c>
      <c r="BS162" s="22">
        <f t="shared" si="169"/>
        <v>26.160142642711669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69.118158631346446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180.18752244216969</v>
      </c>
      <c r="CE162" s="59">
        <f t="shared" si="148"/>
        <v>350.12096474554676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28.061786509067549</v>
      </c>
      <c r="CL162" s="21">
        <f>EXP(-LN(2)/25)*CL161+(1-EXP(-LN(2)/25))/(LN(2)/25)*Calculateur!CG162*Calculateur!CI162*VLOOKUP('Données projet'!$B$12,Paramètres!$A$1:$I$89,3,0)*0.475*44/12</f>
        <v>5.207698863155052</v>
      </c>
      <c r="CM162" s="21">
        <f>EXP(-LN(2)/2)*CM161+(1-EXP(-LN(2)/2))/(LN(2)/2)*CG162*CJ162*VLOOKUP('Données projet'!$B$12,Paramètres!$A$1:$I$89,3,0)*0.475*44/12</f>
        <v>2.0471447466090238E-16</v>
      </c>
      <c r="CN162" s="22">
        <f t="shared" si="172"/>
        <v>33.269485372222604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69.118158631346446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5.6843418860808015E-14</v>
      </c>
      <c r="CU162" s="17">
        <f>CT162*VLOOKUP('Données projet'!$B$13,Paramètres!$A$1:$I$89,3,0)*VLOOKUP('Données projet'!$B$13,Paramètres!$A$1:$I$89,5,0)</f>
        <v>4.5224624045658861E-14</v>
      </c>
      <c r="CV162" s="13">
        <f t="shared" si="173"/>
        <v>7.4514601661523691E-13</v>
      </c>
      <c r="CW162" s="20">
        <f t="shared" si="174"/>
        <v>1.3765621991510601E-12</v>
      </c>
      <c r="CX162" s="59">
        <f t="shared" si="122"/>
        <v>290.09991498160497</v>
      </c>
      <c r="CY162" s="59">
        <f ca="1">AVERAGE(OFFSET($CX$3,0,0,'Données projet'!$E$13+1,1))-AVERAGE(OFFSET($H$3,0,0,'Données projet'!$E$13+1,1))</f>
        <v>284.31574332240928</v>
      </c>
      <c r="CZ162" s="59">
        <f t="shared" si="150"/>
        <v>403.96994631683913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118.16789442400432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118.16789442400432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69.118158631346446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190.9519472160006</v>
      </c>
      <c r="DU162" s="59">
        <f t="shared" si="152"/>
        <v>170.61553500287511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25.302509549448555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25.302509549448555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69.118158631346446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>
        <f>EJ162*VLOOKUP('Données projet'!$B$15,Paramètres!$A$1:$I$89,3,0)*VLOOKUP('Données projet'!$B$15,Paramètres!$A$1:$I$89,5,0)</f>
        <v>0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331.94255128154623</v>
      </c>
      <c r="EP162" s="59">
        <f t="shared" si="154"/>
        <v>258.40809812013964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323.28653355056514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323.28653355056514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69.118158631346446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>
        <f>FE162*VLOOKUP('Données projet'!$B$16,Paramètres!$A$1:$I$89,3,0)*VLOOKUP('Données projet'!$B$16,Paramètres!$A$1:$I$89,5,0)</f>
        <v>0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290.72311302449236</v>
      </c>
      <c r="FK162" s="59">
        <f t="shared" si="156"/>
        <v>352.32552988394434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97.258986822797411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97.258986822797411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69.118158631346446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>
        <f>FZ162*VLOOKUP('Données projet'!$B$17,Paramètres!$A$1:$I$89,3,0)*VLOOKUP('Données projet'!$B$17,Paramètres!$A$1:$I$89,5,0)</f>
        <v>0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123.03972959251965</v>
      </c>
      <c r="GF162" s="59">
        <f t="shared" si="158"/>
        <v>178.27657680839445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21.139821045099076</v>
      </c>
      <c r="GM162" s="21">
        <f>EXP(-LN(2)/25)*GM161+(1-EXP(-LN(2)/25))/(LN(2)/25)*Calculateur!GH162*Calculateur!GJ162*VLOOKUP('Données projet'!$B$17,Paramètres!$A$1:$I$89,3,0)*0.475*44/12</f>
        <v>2.8481148951976385</v>
      </c>
      <c r="GN162" s="21">
        <f>EXP(-LN(2)/2)*GN161+(1-EXP(-LN(2)/2))/(LN(2)/2)*GH162*GK162*VLOOKUP('Données projet'!$B$17,Paramètres!$A$1:$I$89,3,0)*0.475*44/12</f>
        <v>4.1085715490832653E-13</v>
      </c>
      <c r="GO162" s="21">
        <f t="shared" si="187"/>
        <v>23.987935940297128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69.118158631346446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-4.5474735088646412E-13</v>
      </c>
      <c r="GV162" s="17">
        <f>GU162*VLOOKUP('Données projet'!$B$18,Paramètres!$A$1:$I$89,3,0)*VLOOKUP('Données projet'!$B$18,Paramètres!$A$1:$I$89,5,0)</f>
        <v>-3.0504452297464016E-13</v>
      </c>
      <c r="GW162" s="13" t="e">
        <f t="shared" si="188"/>
        <v>#NUM!</v>
      </c>
      <c r="GX162" s="20" t="e">
        <f t="shared" si="189"/>
        <v>#NUM!</v>
      </c>
      <c r="GY162" s="59" t="e">
        <f t="shared" si="137"/>
        <v>#NUM!</v>
      </c>
      <c r="GZ162" s="59">
        <f ca="1">AVERAGE(OFFSET($GY$3,0,0,'Données projet'!$E$18+1,1))-AVERAGE(OFFSET($H$3,0,0,'Données projet'!$E$18+1,1))</f>
        <v>542.25674729323623</v>
      </c>
      <c r="HA162" s="59">
        <f t="shared" si="160"/>
        <v>614.73906555680685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130.83251164015334</v>
      </c>
      <c r="HH162" s="21">
        <f>EXP(-LN(2)/25)*HH161+(1-EXP(-LN(2)/25))/(LN(2)/25)*Calculateur!HC162*Calculateur!HE162*VLOOKUP('Données projet'!$B$18,Paramètres!$A$1:$I$89,3,0)*0.475*44/12</f>
        <v>0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130.83251164015334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2.8499999999999996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10.449999999999998</v>
      </c>
      <c r="H163" s="67">
        <f t="shared" si="110"/>
        <v>214.86666666666667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69.133456607590645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-1.0231815394945443E-12</v>
      </c>
      <c r="O163" s="13">
        <f>N163*VLOOKUP('Données projet'!$B$9,Paramètres!$A$1:$I$89,3,0)*VLOOKUP('Données projet'!$B$9,Paramètres!$A$1:$I$89,5,0)</f>
        <v>-8.9385139290243408E-13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686.80970545599644</v>
      </c>
      <c r="T163" s="59">
        <f t="shared" si="142"/>
        <v>636.16485232937737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35.602498675274006</v>
      </c>
      <c r="AA163" s="21">
        <f>EXP(-LN(2)/25)*AA162+(1-EXP(-LN(2)/25))/(LN(2)/25)*Calculateur!V163*Calculateur!X163*VLOOKUP('Données projet'!$B$9,Paramètres!$A$1:$I$89,3,0)*0.475*44/12</f>
        <v>2.4833516889180776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38.085850364192083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69.133456607590645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1.1368683772161603E-13</v>
      </c>
      <c r="AJ163" s="13">
        <f>AI163*VLOOKUP('Données projet'!$B$10,Paramètres!$A$1:$I$89,3,0)*VLOOKUP('Données projet'!$B$10,Paramètres!$A$1:$I$89,5,0)</f>
        <v>1.0286385077051818E-13</v>
      </c>
      <c r="AK163" s="13">
        <f t="shared" si="164"/>
        <v>1.5402366592183556E-12</v>
      </c>
      <c r="AL163" s="20">
        <f t="shared" si="165"/>
        <v>2.8617333882306215E-12</v>
      </c>
      <c r="AM163" s="59">
        <f t="shared" si="113"/>
        <v>290.15600756116856</v>
      </c>
      <c r="AN163" s="59">
        <f ca="1">AVERAGE(OFFSET($AM$3,0,0,'Données projet'!$E$10+1,1))-AVERAGE(OFFSET($H$3,0,0,'Données projet'!$E$10+1,1))</f>
        <v>323.67375363913726</v>
      </c>
      <c r="AO163" s="59">
        <f t="shared" si="144"/>
        <v>266.03902815735029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31.221184767118139</v>
      </c>
      <c r="AV163" s="21">
        <f>EXP(-LN(2)/25)*AV162+(1-EXP(-LN(2)/25))/(LN(2)/25)*Calculateur!AQ163*Calculateur!AS163*VLOOKUP('Données projet'!$B$10,Paramètres!$A$1:$I$89,3,0)*0.475*44/12</f>
        <v>5.732489208461474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36.953673975579612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69.133456607590645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371.46495716091965</v>
      </c>
      <c r="BJ163" s="59">
        <f t="shared" si="146"/>
        <v>579.95059529269417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22.783644911120234</v>
      </c>
      <c r="BQ163" s="21">
        <f>EXP(-LN(2)/25)*BQ162+(1-EXP(-LN(2)/25))/(LN(2)/25)*Calculateur!BL163*Calculateur!BN163*VLOOKUP('Données projet'!$B$11,Paramètres!$A$1:$I$89,3,0)*0.475*44/12</f>
        <v>2.8409190589214823</v>
      </c>
      <c r="BR163" s="21">
        <f>EXP(-LN(2)/2)*BR162+(1-EXP(-LN(2)/2))/(LN(2)/2)*BL163*BO163*VLOOKUP('Données projet'!$B$11,Paramètres!$A$1:$I$89,3,0)*0.475*44/12</f>
        <v>1.9053000477655656E-16</v>
      </c>
      <c r="BS163" s="22">
        <f t="shared" si="169"/>
        <v>25.624563970041716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69.133456607590645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180.18752244216969</v>
      </c>
      <c r="CE163" s="59">
        <f t="shared" si="148"/>
        <v>350.12096474554676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27.511511991624442</v>
      </c>
      <c r="CL163" s="21">
        <f>EXP(-LN(2)/25)*CL162+(1-EXP(-LN(2)/25))/(LN(2)/25)*Calculateur!CG163*Calculateur!CI163*VLOOKUP('Données projet'!$B$12,Paramètres!$A$1:$I$89,3,0)*0.475*44/12</f>
        <v>5.0652940638810966</v>
      </c>
      <c r="CM163" s="21">
        <f>EXP(-LN(2)/2)*CM162+(1-EXP(-LN(2)/2))/(LN(2)/2)*CG163*CJ163*VLOOKUP('Données projet'!$B$12,Paramètres!$A$1:$I$89,3,0)*0.475*44/12</f>
        <v>1.4475499323976573E-16</v>
      </c>
      <c r="CN163" s="22">
        <f t="shared" si="172"/>
        <v>32.576806055505536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69.133456607590645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5.6843418860808015E-14</v>
      </c>
      <c r="CU163" s="17">
        <f>CT163*VLOOKUP('Données projet'!$B$13,Paramètres!$A$1:$I$89,3,0)*VLOOKUP('Données projet'!$B$13,Paramètres!$A$1:$I$89,5,0)</f>
        <v>4.5224624045658861E-14</v>
      </c>
      <c r="CV163" s="13">
        <f t="shared" si="173"/>
        <v>7.4514601661523691E-13</v>
      </c>
      <c r="CW163" s="20">
        <f t="shared" si="174"/>
        <v>1.3765621991510601E-12</v>
      </c>
      <c r="CX163" s="59">
        <f t="shared" si="122"/>
        <v>290.15600756116709</v>
      </c>
      <c r="CY163" s="59">
        <f ca="1">AVERAGE(OFFSET($CX$3,0,0,'Données projet'!$E$13+1,1))-AVERAGE(OFFSET($H$3,0,0,'Données projet'!$E$13+1,1))</f>
        <v>284.31574332240928</v>
      </c>
      <c r="CZ163" s="59">
        <f t="shared" si="150"/>
        <v>403.96994631683913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115.85069408964834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115.85069408964834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69.133456607590645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190.9519472160006</v>
      </c>
      <c r="DU163" s="59">
        <f t="shared" si="152"/>
        <v>170.61553500287511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24.80634277019081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24.80634277019081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69.133456607590645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>
        <f>EJ163*VLOOKUP('Données projet'!$B$15,Paramètres!$A$1:$I$89,3,0)*VLOOKUP('Données projet'!$B$15,Paramètres!$A$1:$I$89,5,0)</f>
        <v>0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331.94255128154623</v>
      </c>
      <c r="EP163" s="59">
        <f t="shared" si="154"/>
        <v>258.40809812013964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316.94708181295357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316.94708181295357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69.133456607590645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>
        <f>FE163*VLOOKUP('Données projet'!$B$16,Paramètres!$A$1:$I$89,3,0)*VLOOKUP('Données projet'!$B$16,Paramètres!$A$1:$I$89,5,0)</f>
        <v>0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290.72311302449236</v>
      </c>
      <c r="FK163" s="59">
        <f t="shared" si="156"/>
        <v>352.32552988394434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95.351797413326736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95.351797413326736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69.133456607590645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>
        <f>FZ163*VLOOKUP('Données projet'!$B$17,Paramètres!$A$1:$I$89,3,0)*VLOOKUP('Données projet'!$B$17,Paramètres!$A$1:$I$89,5,0)</f>
        <v>0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123.03972959251965</v>
      </c>
      <c r="GF163" s="59">
        <f t="shared" si="158"/>
        <v>178.27657680839445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20.725282048422343</v>
      </c>
      <c r="GM163" s="21">
        <f>EXP(-LN(2)/25)*GM162+(1-EXP(-LN(2)/25))/(LN(2)/25)*Calculateur!GH163*Calculateur!GJ163*VLOOKUP('Données projet'!$B$17,Paramètres!$A$1:$I$89,3,0)*0.475*44/12</f>
        <v>2.7702330436126061</v>
      </c>
      <c r="GN163" s="21">
        <f>EXP(-LN(2)/2)*GN162+(1-EXP(-LN(2)/2))/(LN(2)/2)*GH163*GK163*VLOOKUP('Données projet'!$B$17,Paramètres!$A$1:$I$89,3,0)*0.475*44/12</f>
        <v>2.905198803346895E-13</v>
      </c>
      <c r="GO163" s="21">
        <f t="shared" si="187"/>
        <v>23.495515092035241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69.133456607590645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-4.5474735088646412E-13</v>
      </c>
      <c r="GV163" s="17">
        <f>GU163*VLOOKUP('Données projet'!$B$18,Paramètres!$A$1:$I$89,3,0)*VLOOKUP('Données projet'!$B$18,Paramètres!$A$1:$I$89,5,0)</f>
        <v>-3.0504452297464016E-13</v>
      </c>
      <c r="GW163" s="13" t="e">
        <f t="shared" si="188"/>
        <v>#NUM!</v>
      </c>
      <c r="GX163" s="20" t="e">
        <f t="shared" si="189"/>
        <v>#NUM!</v>
      </c>
      <c r="GY163" s="59" t="e">
        <f t="shared" si="137"/>
        <v>#NUM!</v>
      </c>
      <c r="GZ163" s="59">
        <f ca="1">AVERAGE(OFFSET($GY$3,0,0,'Données projet'!$E$18+1,1))-AVERAGE(OFFSET($H$3,0,0,'Données projet'!$E$18+1,1))</f>
        <v>542.25674729323623</v>
      </c>
      <c r="HA163" s="59">
        <f t="shared" si="160"/>
        <v>614.73906555680685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128.26696588684246</v>
      </c>
      <c r="HH163" s="21">
        <f>EXP(-LN(2)/25)*HH162+(1-EXP(-LN(2)/25))/(LN(2)/25)*Calculateur!HC163*Calculateur!HE163*VLOOKUP('Données projet'!$B$18,Paramètres!$A$1:$I$89,3,0)*0.475*44/12</f>
        <v>0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128.26696588684246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2.8499999999999996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10.449999999999998</v>
      </c>
      <c r="H164" s="67">
        <f t="shared" si="110"/>
        <v>214.86666666666667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69.148489198148141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-1.0231815394945443E-12</v>
      </c>
      <c r="O164" s="13">
        <f>N164*VLOOKUP('Données projet'!$B$9,Paramètres!$A$1:$I$89,3,0)*VLOOKUP('Données projet'!$B$9,Paramètres!$A$1:$I$89,5,0)</f>
        <v>-8.9385139290243408E-13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686.80970545599644</v>
      </c>
      <c r="T164" s="59">
        <f t="shared" si="142"/>
        <v>636.16485232937737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34.90435539163186</v>
      </c>
      <c r="AA164" s="21">
        <f>EXP(-LN(2)/25)*AA163+(1-EXP(-LN(2)/25))/(LN(2)/25)*Calculateur!V164*Calculateur!X164*VLOOKUP('Données projet'!$B$9,Paramètres!$A$1:$I$89,3,0)*0.475*44/12</f>
        <v>2.4154443063908233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37.319799698022685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69.148489198148141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1.1368683772161603E-13</v>
      </c>
      <c r="AJ164" s="13">
        <f>AI164*VLOOKUP('Données projet'!$B$10,Paramètres!$A$1:$I$89,3,0)*VLOOKUP('Données projet'!$B$10,Paramètres!$A$1:$I$89,5,0)</f>
        <v>1.0286385077051818E-13</v>
      </c>
      <c r="AK164" s="13">
        <f t="shared" si="164"/>
        <v>1.5402366592183556E-12</v>
      </c>
      <c r="AL164" s="20">
        <f t="shared" si="165"/>
        <v>2.8617333882306215E-12</v>
      </c>
      <c r="AM164" s="59">
        <f t="shared" si="113"/>
        <v>290.21112705987935</v>
      </c>
      <c r="AN164" s="59">
        <f ca="1">AVERAGE(OFFSET($AM$3,0,0,'Données projet'!$E$10+1,1))-AVERAGE(OFFSET($H$3,0,0,'Données projet'!$E$10+1,1))</f>
        <v>323.67375363913726</v>
      </c>
      <c r="AO164" s="59">
        <f t="shared" si="144"/>
        <v>266.03902815735029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30.608956376877316</v>
      </c>
      <c r="AV164" s="21">
        <f>EXP(-LN(2)/25)*AV163+(1-EXP(-LN(2)/25))/(LN(2)/25)*Calculateur!AQ164*Calculateur!AS164*VLOOKUP('Données projet'!$B$10,Paramètres!$A$1:$I$89,3,0)*0.475*44/12</f>
        <v>5.5757339895975893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36.184690366474904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69.148489198148141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371.46495716091965</v>
      </c>
      <c r="BJ164" s="59">
        <f t="shared" si="146"/>
        <v>579.95059529269417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22.336871531064382</v>
      </c>
      <c r="BQ164" s="21">
        <f>EXP(-LN(2)/25)*BQ163+(1-EXP(-LN(2)/25))/(LN(2)/25)*Calculateur!BL164*Calculateur!BN164*VLOOKUP('Données projet'!$B$11,Paramètres!$A$1:$I$89,3,0)*0.475*44/12</f>
        <v>2.7632339778578343</v>
      </c>
      <c r="BR164" s="21">
        <f>EXP(-LN(2)/2)*BR163+(1-EXP(-LN(2)/2))/(LN(2)/2)*BL164*BO164*VLOOKUP('Données projet'!$B$11,Paramètres!$A$1:$I$89,3,0)*0.475*44/12</f>
        <v>1.3472505839700843E-16</v>
      </c>
      <c r="BS164" s="22">
        <f t="shared" si="169"/>
        <v>25.100105508922216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69.148489198148141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180.18752244216969</v>
      </c>
      <c r="CE164" s="59">
        <f t="shared" si="148"/>
        <v>350.12096474554676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26.972028021834078</v>
      </c>
      <c r="CL164" s="21">
        <f>EXP(-LN(2)/25)*CL163+(1-EXP(-LN(2)/25))/(LN(2)/25)*Calculateur!CG164*Calculateur!CI164*VLOOKUP('Données projet'!$B$12,Paramètres!$A$1:$I$89,3,0)*0.475*44/12</f>
        <v>4.9267833313320297</v>
      </c>
      <c r="CM164" s="21">
        <f>EXP(-LN(2)/2)*CM163+(1-EXP(-LN(2)/2))/(LN(2)/2)*CG164*CJ164*VLOOKUP('Données projet'!$B$12,Paramètres!$A$1:$I$89,3,0)*0.475*44/12</f>
        <v>1.0235723733045119E-16</v>
      </c>
      <c r="CN164" s="22">
        <f t="shared" si="172"/>
        <v>31.898811353166106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69.148489198148141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5.6843418860808015E-14</v>
      </c>
      <c r="CU164" s="17">
        <f>CT164*VLOOKUP('Données projet'!$B$13,Paramètres!$A$1:$I$89,3,0)*VLOOKUP('Données projet'!$B$13,Paramètres!$A$1:$I$89,5,0)</f>
        <v>4.5224624045658861E-14</v>
      </c>
      <c r="CV164" s="13">
        <f t="shared" si="173"/>
        <v>7.4514601661523691E-13</v>
      </c>
      <c r="CW164" s="20">
        <f t="shared" si="174"/>
        <v>1.3765621991510601E-12</v>
      </c>
      <c r="CX164" s="59">
        <f t="shared" si="122"/>
        <v>290.21112705987787</v>
      </c>
      <c r="CY164" s="59">
        <f ca="1">AVERAGE(OFFSET($CX$3,0,0,'Données projet'!$E$13+1,1))-AVERAGE(OFFSET($H$3,0,0,'Données projet'!$E$13+1,1))</f>
        <v>284.31574332240928</v>
      </c>
      <c r="CZ164" s="59">
        <f t="shared" si="150"/>
        <v>403.96994631683913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113.57893264049645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113.57893264049645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69.148489198148141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190.9519472160006</v>
      </c>
      <c r="DU164" s="59">
        <f t="shared" si="152"/>
        <v>170.61553500287511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24.319905518842457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24.319905518842457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69.148489198148141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>
        <f>EJ164*VLOOKUP('Données projet'!$B$15,Paramètres!$A$1:$I$89,3,0)*VLOOKUP('Données projet'!$B$15,Paramètres!$A$1:$I$89,5,0)</f>
        <v>0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331.94255128154623</v>
      </c>
      <c r="EP164" s="59">
        <f t="shared" si="154"/>
        <v>258.40809812013964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310.73194285723281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310.73194285723281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69.148489198148141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>
        <f>FE164*VLOOKUP('Données projet'!$B$16,Paramètres!$A$1:$I$89,3,0)*VLOOKUP('Données projet'!$B$16,Paramètres!$A$1:$I$89,5,0)</f>
        <v>0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290.72311302449236</v>
      </c>
      <c r="FK164" s="59">
        <f t="shared" si="156"/>
        <v>352.32552988394434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93.482006824905113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93.482006824905113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69.148489198148141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>
        <f>FZ164*VLOOKUP('Données projet'!$B$17,Paramètres!$A$1:$I$89,3,0)*VLOOKUP('Données projet'!$B$17,Paramètres!$A$1:$I$89,5,0)</f>
        <v>0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123.03972959251965</v>
      </c>
      <c r="GF164" s="59">
        <f t="shared" si="158"/>
        <v>178.27657680839445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20.318871908626619</v>
      </c>
      <c r="GM164" s="21">
        <f>EXP(-LN(2)/25)*GM163+(1-EXP(-LN(2)/25))/(LN(2)/25)*Calculateur!GH164*Calculateur!GJ164*VLOOKUP('Données projet'!$B$17,Paramètres!$A$1:$I$89,3,0)*0.475*44/12</f>
        <v>2.6944808753547953</v>
      </c>
      <c r="GN164" s="21">
        <f>EXP(-LN(2)/2)*GN163+(1-EXP(-LN(2)/2))/(LN(2)/2)*GH164*GK164*VLOOKUP('Données projet'!$B$17,Paramètres!$A$1:$I$89,3,0)*0.475*44/12</f>
        <v>2.0542857745416326E-13</v>
      </c>
      <c r="GO164" s="21">
        <f t="shared" si="187"/>
        <v>23.01335278398162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69.148489198148141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-4.5474735088646412E-13</v>
      </c>
      <c r="GV164" s="17">
        <f>GU164*VLOOKUP('Données projet'!$B$18,Paramètres!$A$1:$I$89,3,0)*VLOOKUP('Données projet'!$B$18,Paramètres!$A$1:$I$89,5,0)</f>
        <v>-3.0504452297464016E-13</v>
      </c>
      <c r="GW164" s="13" t="e">
        <f t="shared" si="188"/>
        <v>#NUM!</v>
      </c>
      <c r="GX164" s="20" t="e">
        <f t="shared" si="189"/>
        <v>#NUM!</v>
      </c>
      <c r="GY164" s="59" t="e">
        <f t="shared" si="137"/>
        <v>#NUM!</v>
      </c>
      <c r="GZ164" s="59">
        <f ca="1">AVERAGE(OFFSET($GY$3,0,0,'Données projet'!$E$18+1,1))-AVERAGE(OFFSET($H$3,0,0,'Données projet'!$E$18+1,1))</f>
        <v>542.25674729323623</v>
      </c>
      <c r="HA164" s="59">
        <f t="shared" si="160"/>
        <v>614.73906555680685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125.75172892092559</v>
      </c>
      <c r="HH164" s="21">
        <f>EXP(-LN(2)/25)*HH163+(1-EXP(-LN(2)/25))/(LN(2)/25)*Calculateur!HC164*Calculateur!HE164*VLOOKUP('Données projet'!$B$18,Paramètres!$A$1:$I$89,3,0)*0.475*44/12</f>
        <v>0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125.75172892092559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2.8499999999999996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10.449999999999998</v>
      </c>
      <c r="H165" s="67">
        <f t="shared" si="110"/>
        <v>214.86666666666667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69.163261006867316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-1.0231815394945443E-12</v>
      </c>
      <c r="O165" s="13">
        <f>N165*VLOOKUP('Données projet'!$B$9,Paramètres!$A$1:$I$89,3,0)*VLOOKUP('Données projet'!$B$9,Paramètres!$A$1:$I$89,5,0)</f>
        <v>-8.9385139290243408E-13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686.80970545599644</v>
      </c>
      <c r="T165" s="59">
        <f t="shared" si="142"/>
        <v>636.16485232937737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34.219902271956578</v>
      </c>
      <c r="AA165" s="21">
        <f>EXP(-LN(2)/25)*AA164+(1-EXP(-LN(2)/25))/(LN(2)/25)*Calculateur!V165*Calculateur!X165*VLOOKUP('Données projet'!$B$9,Paramètres!$A$1:$I$89,3,0)*0.475*44/12</f>
        <v>2.349393854809871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36.569296126766446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69.163261006867316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1.1368683772161603E-13</v>
      </c>
      <c r="AJ165" s="13">
        <f>AI165*VLOOKUP('Données projet'!$B$10,Paramètres!$A$1:$I$89,3,0)*VLOOKUP('Données projet'!$B$10,Paramètres!$A$1:$I$89,5,0)</f>
        <v>1.0286385077051818E-13</v>
      </c>
      <c r="AK165" s="13">
        <f t="shared" si="164"/>
        <v>1.5402366592183556E-12</v>
      </c>
      <c r="AL165" s="20">
        <f t="shared" si="165"/>
        <v>2.8617333882306215E-12</v>
      </c>
      <c r="AM165" s="59">
        <f t="shared" si="113"/>
        <v>290.26529035851632</v>
      </c>
      <c r="AN165" s="59">
        <f ca="1">AVERAGE(OFFSET($AM$3,0,0,'Données projet'!$E$10+1,1))-AVERAGE(OFFSET($H$3,0,0,'Données projet'!$E$10+1,1))</f>
        <v>323.67375363913726</v>
      </c>
      <c r="AO165" s="59">
        <f t="shared" si="144"/>
        <v>266.03902815735029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30.008733411946668</v>
      </c>
      <c r="AV165" s="21">
        <f>EXP(-LN(2)/25)*AV164+(1-EXP(-LN(2)/25))/(LN(2)/25)*Calculateur!AQ165*Calculateur!AS165*VLOOKUP('Données projet'!$B$10,Paramètres!$A$1:$I$89,3,0)*0.475*44/12</f>
        <v>5.4232652504369359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35.431998662383606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69.163261006867316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371.46495716091965</v>
      </c>
      <c r="BJ165" s="59">
        <f t="shared" si="146"/>
        <v>579.95059529269417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21.898859104486572</v>
      </c>
      <c r="BQ165" s="21">
        <f>EXP(-LN(2)/25)*BQ164+(1-EXP(-LN(2)/25))/(LN(2)/25)*Calculateur!BL165*Calculateur!BN165*VLOOKUP('Données projet'!$B$11,Paramètres!$A$1:$I$89,3,0)*0.475*44/12</f>
        <v>2.6876731994211522</v>
      </c>
      <c r="BR165" s="21">
        <f>EXP(-LN(2)/2)*BR164+(1-EXP(-LN(2)/2))/(LN(2)/2)*BL165*BO165*VLOOKUP('Données projet'!$B$11,Paramètres!$A$1:$I$89,3,0)*0.475*44/12</f>
        <v>9.5265002388278282E-17</v>
      </c>
      <c r="BS165" s="22">
        <f t="shared" si="169"/>
        <v>24.586532303907724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69.163261006867316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180.18752244216969</v>
      </c>
      <c r="CE165" s="59">
        <f t="shared" si="148"/>
        <v>350.12096474554676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26.443123003638572</v>
      </c>
      <c r="CL165" s="21">
        <f>EXP(-LN(2)/25)*CL164+(1-EXP(-LN(2)/25))/(LN(2)/25)*Calculateur!CG165*Calculateur!CI165*VLOOKUP('Données projet'!$B$12,Paramètres!$A$1:$I$89,3,0)*0.475*44/12</f>
        <v>4.7920601820484805</v>
      </c>
      <c r="CM165" s="21">
        <f>EXP(-LN(2)/2)*CM164+(1-EXP(-LN(2)/2))/(LN(2)/2)*CG165*CJ165*VLOOKUP('Données projet'!$B$12,Paramètres!$A$1:$I$89,3,0)*0.475*44/12</f>
        <v>7.2377496619882863E-17</v>
      </c>
      <c r="CN165" s="22">
        <f t="shared" si="172"/>
        <v>31.235183185687053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69.163261006867316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5.6843418860808015E-14</v>
      </c>
      <c r="CU165" s="17">
        <f>CT165*VLOOKUP('Données projet'!$B$13,Paramètres!$A$1:$I$89,3,0)*VLOOKUP('Données projet'!$B$13,Paramètres!$A$1:$I$89,5,0)</f>
        <v>4.5224624045658861E-14</v>
      </c>
      <c r="CV165" s="13">
        <f t="shared" si="173"/>
        <v>7.4514601661523691E-13</v>
      </c>
      <c r="CW165" s="20">
        <f t="shared" si="174"/>
        <v>1.3765621991510601E-12</v>
      </c>
      <c r="CX165" s="59">
        <f t="shared" si="122"/>
        <v>290.26529035851485</v>
      </c>
      <c r="CY165" s="59">
        <f ca="1">AVERAGE(OFFSET($CX$3,0,0,'Données projet'!$E$13+1,1))-AVERAGE(OFFSET($H$3,0,0,'Données projet'!$E$13+1,1))</f>
        <v>284.31574332240928</v>
      </c>
      <c r="CZ165" s="59">
        <f t="shared" si="150"/>
        <v>403.96994631683913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111.35171904772476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111.35171904772476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69.163261006867316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190.9519472160006</v>
      </c>
      <c r="DU165" s="59">
        <f t="shared" si="152"/>
        <v>170.61553500287511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23.843007005295618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23.843007005295618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69.163261006867316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>
        <f>EJ165*VLOOKUP('Données projet'!$B$15,Paramètres!$A$1:$I$89,3,0)*VLOOKUP('Données projet'!$B$15,Paramètres!$A$1:$I$89,5,0)</f>
        <v>0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331.94255128154623</v>
      </c>
      <c r="EP165" s="59">
        <f t="shared" si="154"/>
        <v>258.40809812013964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304.63867898557328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304.63867898557328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69.163261006867316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>
        <f>FE165*VLOOKUP('Données projet'!$B$16,Paramètres!$A$1:$I$89,3,0)*VLOOKUP('Données projet'!$B$16,Paramètres!$A$1:$I$89,5,0)</f>
        <v>0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290.72311302449236</v>
      </c>
      <c r="FK165" s="59">
        <f t="shared" si="156"/>
        <v>352.32552988394434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91.648881689462783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91.648881689462783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69.163261006867316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>
        <f>FZ165*VLOOKUP('Données projet'!$B$17,Paramètres!$A$1:$I$89,3,0)*VLOOKUP('Données projet'!$B$17,Paramètres!$A$1:$I$89,5,0)</f>
        <v>0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123.03972959251965</v>
      </c>
      <c r="GF165" s="59">
        <f t="shared" si="158"/>
        <v>178.27657680839445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19.920431223786579</v>
      </c>
      <c r="GM165" s="21">
        <f>EXP(-LN(2)/25)*GM164+(1-EXP(-LN(2)/25))/(LN(2)/25)*Calculateur!GH165*Calculateur!GJ165*VLOOKUP('Données projet'!$B$17,Paramètres!$A$1:$I$89,3,0)*0.475*44/12</f>
        <v>2.6208001541216275</v>
      </c>
      <c r="GN165" s="21">
        <f>EXP(-LN(2)/2)*GN164+(1-EXP(-LN(2)/2))/(LN(2)/2)*GH165*GK165*VLOOKUP('Données projet'!$B$17,Paramètres!$A$1:$I$89,3,0)*0.475*44/12</f>
        <v>1.4525994016734475E-13</v>
      </c>
      <c r="GO165" s="21">
        <f t="shared" si="187"/>
        <v>22.541231377908353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69.163261006867316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-4.5474735088646412E-13</v>
      </c>
      <c r="GV165" s="17">
        <f>GU165*VLOOKUP('Données projet'!$B$18,Paramètres!$A$1:$I$89,3,0)*VLOOKUP('Données projet'!$B$18,Paramètres!$A$1:$I$89,5,0)</f>
        <v>-3.0504452297464016E-13</v>
      </c>
      <c r="GW165" s="13" t="e">
        <f t="shared" si="188"/>
        <v>#NUM!</v>
      </c>
      <c r="GX165" s="20" t="e">
        <f t="shared" si="189"/>
        <v>#NUM!</v>
      </c>
      <c r="GY165" s="59" t="e">
        <f t="shared" si="137"/>
        <v>#NUM!</v>
      </c>
      <c r="GZ165" s="59">
        <f ca="1">AVERAGE(OFFSET($GY$3,0,0,'Données projet'!$E$18+1,1))-AVERAGE(OFFSET($H$3,0,0,'Données projet'!$E$18+1,1))</f>
        <v>542.25674729323623</v>
      </c>
      <c r="HA165" s="59">
        <f t="shared" si="160"/>
        <v>614.73906555680685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123.28581421776728</v>
      </c>
      <c r="HH165" s="21">
        <f>EXP(-LN(2)/25)*HH164+(1-EXP(-LN(2)/25))/(LN(2)/25)*Calculateur!HC165*Calculateur!HE165*VLOOKUP('Données projet'!$B$18,Paramètres!$A$1:$I$89,3,0)*0.475*44/12</f>
        <v>0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123.28581421776728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2.8499999999999996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10.449999999999998</v>
      </c>
      <c r="H166" s="67">
        <f t="shared" si="110"/>
        <v>214.86666666666667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69.177776557730027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-1.0231815394945443E-12</v>
      </c>
      <c r="O166" s="13">
        <f>N166*VLOOKUP('Données projet'!$B$9,Paramètres!$A$1:$I$89,3,0)*VLOOKUP('Données projet'!$B$9,Paramètres!$A$1:$I$89,5,0)</f>
        <v>-8.9385139290243408E-13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686.80970545599644</v>
      </c>
      <c r="T166" s="59">
        <f t="shared" si="142"/>
        <v>636.16485232937737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33.54887086048295</v>
      </c>
      <c r="AA166" s="21">
        <f>EXP(-LN(2)/25)*AA165+(1-EXP(-LN(2)/25))/(LN(2)/25)*Calculateur!V166*Calculateur!X166*VLOOKUP('Données projet'!$B$9,Paramètres!$A$1:$I$89,3,0)*0.475*44/12</f>
        <v>2.2851495563008419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35.834020416783794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69.177776557730027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1.1368683772161603E-13</v>
      </c>
      <c r="AJ166" s="13">
        <f>AI166*VLOOKUP('Données projet'!$B$10,Paramètres!$A$1:$I$89,3,0)*VLOOKUP('Données projet'!$B$10,Paramètres!$A$1:$I$89,5,0)</f>
        <v>1.0286385077051818E-13</v>
      </c>
      <c r="AK166" s="13">
        <f t="shared" si="164"/>
        <v>1.5402366592183556E-12</v>
      </c>
      <c r="AL166" s="20">
        <f t="shared" si="165"/>
        <v>2.8617333882306215E-12</v>
      </c>
      <c r="AM166" s="59">
        <f t="shared" si="113"/>
        <v>290.31851404501293</v>
      </c>
      <c r="AN166" s="59">
        <f ca="1">AVERAGE(OFFSET($AM$3,0,0,'Données projet'!$E$10+1,1))-AVERAGE(OFFSET($H$3,0,0,'Données projet'!$E$10+1,1))</f>
        <v>323.67375363913726</v>
      </c>
      <c r="AO166" s="59">
        <f t="shared" si="144"/>
        <v>266.03902815735029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29.420280453258453</v>
      </c>
      <c r="AV166" s="21">
        <f>EXP(-LN(2)/25)*AV165+(1-EXP(-LN(2)/25))/(LN(2)/25)*Calculateur!AQ166*Calculateur!AS166*VLOOKUP('Données projet'!$B$10,Paramètres!$A$1:$I$89,3,0)*0.475*44/12</f>
        <v>5.2749657769666136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34.695246230225067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69.177776557730027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371.46495716091965</v>
      </c>
      <c r="BJ166" s="59">
        <f t="shared" si="146"/>
        <v>579.95059529269417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21.469435834432751</v>
      </c>
      <c r="BQ166" s="21">
        <f>EXP(-LN(2)/25)*BQ165+(1-EXP(-LN(2)/25))/(LN(2)/25)*Calculateur!BL166*Calculateur!BN166*VLOOKUP('Données projet'!$B$11,Paramètres!$A$1:$I$89,3,0)*0.475*44/12</f>
        <v>2.6141786344443902</v>
      </c>
      <c r="BR166" s="21">
        <f>EXP(-LN(2)/2)*BR165+(1-EXP(-LN(2)/2))/(LN(2)/2)*BL166*BO166*VLOOKUP('Données projet'!$B$11,Paramètres!$A$1:$I$89,3,0)*0.475*44/12</f>
        <v>6.7362529198504217E-17</v>
      </c>
      <c r="BS166" s="22">
        <f t="shared" si="169"/>
        <v>24.083614468877141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69.177776557730027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180.18752244216969</v>
      </c>
      <c r="CE166" s="59">
        <f t="shared" si="148"/>
        <v>350.12096474554676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25.924589490249673</v>
      </c>
      <c r="CL166" s="21">
        <f>EXP(-LN(2)/25)*CL165+(1-EXP(-LN(2)/25))/(LN(2)/25)*Calculateur!CG166*Calculateur!CI166*VLOOKUP('Données projet'!$B$12,Paramètres!$A$1:$I$89,3,0)*0.475*44/12</f>
        <v>4.6610210443668718</v>
      </c>
      <c r="CM166" s="21">
        <f>EXP(-LN(2)/2)*CM165+(1-EXP(-LN(2)/2))/(LN(2)/2)*CG166*CJ166*VLOOKUP('Données projet'!$B$12,Paramètres!$A$1:$I$89,3,0)*0.475*44/12</f>
        <v>5.1178618665225595E-17</v>
      </c>
      <c r="CN166" s="22">
        <f t="shared" si="172"/>
        <v>30.585610534616546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69.177776557730027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5.6843418860808015E-14</v>
      </c>
      <c r="CU166" s="17">
        <f>CT166*VLOOKUP('Données projet'!$B$13,Paramètres!$A$1:$I$89,3,0)*VLOOKUP('Données projet'!$B$13,Paramètres!$A$1:$I$89,5,0)</f>
        <v>4.5224624045658861E-14</v>
      </c>
      <c r="CV166" s="13">
        <f t="shared" si="173"/>
        <v>7.4514601661523691E-13</v>
      </c>
      <c r="CW166" s="20">
        <f t="shared" si="174"/>
        <v>1.3765621991510601E-12</v>
      </c>
      <c r="CX166" s="59">
        <f t="shared" si="122"/>
        <v>290.31851404501145</v>
      </c>
      <c r="CY166" s="59">
        <f ca="1">AVERAGE(OFFSET($CX$3,0,0,'Données projet'!$E$13+1,1))-AVERAGE(OFFSET($H$3,0,0,'Données projet'!$E$13+1,1))</f>
        <v>284.31574332240928</v>
      </c>
      <c r="CZ166" s="59">
        <f t="shared" si="150"/>
        <v>403.96994631683913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109.16817975504117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109.16817975504117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69.177776557730027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190.9519472160006</v>
      </c>
      <c r="DU166" s="59">
        <f t="shared" si="152"/>
        <v>170.61553500287511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23.375460180720061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23.375460180720061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69.177776557730027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>
        <f>EJ166*VLOOKUP('Données projet'!$B$15,Paramètres!$A$1:$I$89,3,0)*VLOOKUP('Données projet'!$B$15,Paramètres!$A$1:$I$89,5,0)</f>
        <v>0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331.94255128154623</v>
      </c>
      <c r="EP166" s="59">
        <f t="shared" si="154"/>
        <v>258.40809812013964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298.66490030191301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298.66490030191301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69.177776557730027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>
        <f>FE166*VLOOKUP('Données projet'!$B$16,Paramètres!$A$1:$I$89,3,0)*VLOOKUP('Données projet'!$B$16,Paramètres!$A$1:$I$89,5,0)</f>
        <v>0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290.72311302449236</v>
      </c>
      <c r="FK166" s="59">
        <f t="shared" si="156"/>
        <v>352.32552988394434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89.851703019830552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89.851703019830552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69.177776557730027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>
        <f>FZ166*VLOOKUP('Données projet'!$B$17,Paramètres!$A$1:$I$89,3,0)*VLOOKUP('Données projet'!$B$17,Paramètres!$A$1:$I$89,5,0)</f>
        <v>0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123.03972959251965</v>
      </c>
      <c r="GF166" s="59">
        <f t="shared" si="158"/>
        <v>178.27657680839445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19.529803717751431</v>
      </c>
      <c r="GM166" s="21">
        <f>EXP(-LN(2)/25)*GM165+(1-EXP(-LN(2)/25))/(LN(2)/25)*Calculateur!GH166*Calculateur!GJ166*VLOOKUP('Données projet'!$B$17,Paramètres!$A$1:$I$89,3,0)*0.475*44/12</f>
        <v>2.5491342360852816</v>
      </c>
      <c r="GN166" s="21">
        <f>EXP(-LN(2)/2)*GN165+(1-EXP(-LN(2)/2))/(LN(2)/2)*GH166*GK166*VLOOKUP('Données projet'!$B$17,Paramètres!$A$1:$I$89,3,0)*0.475*44/12</f>
        <v>1.0271428872708163E-13</v>
      </c>
      <c r="GO166" s="21">
        <f t="shared" si="187"/>
        <v>22.078937953836817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69.177776557730027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-4.5474735088646412E-13</v>
      </c>
      <c r="GV166" s="17">
        <f>GU166*VLOOKUP('Données projet'!$B$18,Paramètres!$A$1:$I$89,3,0)*VLOOKUP('Données projet'!$B$18,Paramètres!$A$1:$I$89,5,0)</f>
        <v>-3.0504452297464016E-13</v>
      </c>
      <c r="GW166" s="13" t="e">
        <f t="shared" si="188"/>
        <v>#NUM!</v>
      </c>
      <c r="GX166" s="20" t="e">
        <f t="shared" si="189"/>
        <v>#NUM!</v>
      </c>
      <c r="GY166" s="59" t="e">
        <f t="shared" si="137"/>
        <v>#NUM!</v>
      </c>
      <c r="GZ166" s="59">
        <f ca="1">AVERAGE(OFFSET($GY$3,0,0,'Données projet'!$E$18+1,1))-AVERAGE(OFFSET($H$3,0,0,'Données projet'!$E$18+1,1))</f>
        <v>542.25674729323623</v>
      </c>
      <c r="HA166" s="59">
        <f t="shared" si="160"/>
        <v>614.73906555680685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120.86825459787846</v>
      </c>
      <c r="HH166" s="21">
        <f>EXP(-LN(2)/25)*HH165+(1-EXP(-LN(2)/25))/(LN(2)/25)*Calculateur!HC166*Calculateur!HE166*VLOOKUP('Données projet'!$B$18,Paramètres!$A$1:$I$89,3,0)*0.475*44/12</f>
        <v>0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120.86825459787846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2.8499999999999996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10.449999999999998</v>
      </c>
      <c r="H167" s="67">
        <f t="shared" si="110"/>
        <v>214.86666666666667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69.192040296237181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-1.0231815394945443E-12</v>
      </c>
      <c r="O167" s="13">
        <f>N167*VLOOKUP('Données projet'!$B$9,Paramètres!$A$1:$I$89,3,0)*VLOOKUP('Données projet'!$B$9,Paramètres!$A$1:$I$89,5,0)</f>
        <v>-8.9385139290243408E-13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686.80970545599644</v>
      </c>
      <c r="T167" s="59">
        <f t="shared" si="142"/>
        <v>636.16485232937737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32.890997965699569</v>
      </c>
      <c r="AA167" s="21">
        <f>EXP(-LN(2)/25)*AA166+(1-EXP(-LN(2)/25))/(LN(2)/25)*Calculateur!V167*Calculateur!X167*VLOOKUP('Données projet'!$B$9,Paramètres!$A$1:$I$89,3,0)*0.475*44/12</f>
        <v>2.2226620215130031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35.113659987212571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69.192040296237181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1.1368683772161603E-13</v>
      </c>
      <c r="AJ167" s="13">
        <f>AI167*VLOOKUP('Données projet'!$B$10,Paramètres!$A$1:$I$89,3,0)*VLOOKUP('Données projet'!$B$10,Paramètres!$A$1:$I$89,5,0)</f>
        <v>1.0286385077051818E-13</v>
      </c>
      <c r="AK167" s="13">
        <f t="shared" si="164"/>
        <v>1.5402366592183556E-12</v>
      </c>
      <c r="AL167" s="20">
        <f t="shared" si="165"/>
        <v>2.8617333882306215E-12</v>
      </c>
      <c r="AM167" s="59">
        <f t="shared" si="113"/>
        <v>290.37081441953916</v>
      </c>
      <c r="AN167" s="59">
        <f ca="1">AVERAGE(OFFSET($AM$3,0,0,'Données projet'!$E$10+1,1))-AVERAGE(OFFSET($H$3,0,0,'Données projet'!$E$10+1,1))</f>
        <v>323.67375363913726</v>
      </c>
      <c r="AO167" s="59">
        <f t="shared" si="144"/>
        <v>266.03902815735029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28.843366698169248</v>
      </c>
      <c r="AV167" s="21">
        <f>EXP(-LN(2)/25)*AV166+(1-EXP(-LN(2)/25))/(LN(2)/25)*Calculateur!AQ167*Calculateur!AS167*VLOOKUP('Données projet'!$B$10,Paramètres!$A$1:$I$89,3,0)*0.475*44/12</f>
        <v>5.1307215603970677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33.974088258566319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69.192040296237181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371.46495716091965</v>
      </c>
      <c r="BJ167" s="59">
        <f t="shared" si="146"/>
        <v>579.95059529269417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21.048433292782352</v>
      </c>
      <c r="BQ167" s="21">
        <f>EXP(-LN(2)/25)*BQ166+(1-EXP(-LN(2)/25))/(LN(2)/25)*Calculateur!BL167*Calculateur!BN167*VLOOKUP('Données projet'!$B$11,Paramètres!$A$1:$I$89,3,0)*0.475*44/12</f>
        <v>2.542693782211829</v>
      </c>
      <c r="BR167" s="21">
        <f>EXP(-LN(2)/2)*BR166+(1-EXP(-LN(2)/2))/(LN(2)/2)*BL167*BO167*VLOOKUP('Données projet'!$B$11,Paramètres!$A$1:$I$89,3,0)*0.475*44/12</f>
        <v>4.7632501194139141E-17</v>
      </c>
      <c r="BS167" s="22">
        <f t="shared" si="169"/>
        <v>23.59112707499418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69.192040296237181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180.18752244216969</v>
      </c>
      <c r="CE167" s="59">
        <f t="shared" si="148"/>
        <v>350.12096474554676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25.416224102784117</v>
      </c>
      <c r="CL167" s="21">
        <f>EXP(-LN(2)/25)*CL166+(1-EXP(-LN(2)/25))/(LN(2)/25)*Calculateur!CG167*Calculateur!CI167*VLOOKUP('Données projet'!$B$12,Paramètres!$A$1:$I$89,3,0)*0.475*44/12</f>
        <v>4.5335651787962155</v>
      </c>
      <c r="CM167" s="21">
        <f>EXP(-LN(2)/2)*CM166+(1-EXP(-LN(2)/2))/(LN(2)/2)*CG167*CJ167*VLOOKUP('Données projet'!$B$12,Paramètres!$A$1:$I$89,3,0)*0.475*44/12</f>
        <v>3.6188748309941432E-17</v>
      </c>
      <c r="CN167" s="22">
        <f t="shared" si="172"/>
        <v>29.949789281580333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69.192040296237181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5.6843418860808015E-14</v>
      </c>
      <c r="CU167" s="17">
        <f>CT167*VLOOKUP('Données projet'!$B$13,Paramètres!$A$1:$I$89,3,0)*VLOOKUP('Données projet'!$B$13,Paramètres!$A$1:$I$89,5,0)</f>
        <v>4.5224624045658861E-14</v>
      </c>
      <c r="CV167" s="13">
        <f t="shared" si="173"/>
        <v>7.4514601661523691E-13</v>
      </c>
      <c r="CW167" s="20">
        <f t="shared" si="174"/>
        <v>1.3765621991510601E-12</v>
      </c>
      <c r="CX167" s="59">
        <f t="shared" si="122"/>
        <v>290.37081441953768</v>
      </c>
      <c r="CY167" s="59">
        <f ca="1">AVERAGE(OFFSET($CX$3,0,0,'Données projet'!$E$13+1,1))-AVERAGE(OFFSET($H$3,0,0,'Données projet'!$E$13+1,1))</f>
        <v>284.31574332240928</v>
      </c>
      <c r="CZ167" s="59">
        <f t="shared" si="150"/>
        <v>403.96994631683913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107.02745833605964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107.02745833605964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69.192040296237181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190.9519472160006</v>
      </c>
      <c r="DU167" s="59">
        <f t="shared" si="152"/>
        <v>170.61553500287511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22.917081664199028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22.917081664199028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69.192040296237181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>
        <f>EJ167*VLOOKUP('Données projet'!$B$15,Paramètres!$A$1:$I$89,3,0)*VLOOKUP('Données projet'!$B$15,Paramètres!$A$1:$I$89,5,0)</f>
        <v>0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331.94255128154623</v>
      </c>
      <c r="EP167" s="59">
        <f t="shared" si="154"/>
        <v>258.40809812013964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292.80826377459414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292.80826377459414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69.192040296237181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>
        <f>FE167*VLOOKUP('Données projet'!$B$16,Paramètres!$A$1:$I$89,3,0)*VLOOKUP('Données projet'!$B$16,Paramètres!$A$1:$I$89,5,0)</f>
        <v>0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290.72311302449236</v>
      </c>
      <c r="FK167" s="59">
        <f t="shared" si="156"/>
        <v>352.32552988394434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88.089765927739066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88.089765927739066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69.192040296237181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>
        <f>FZ167*VLOOKUP('Données projet'!$B$17,Paramètres!$A$1:$I$89,3,0)*VLOOKUP('Données projet'!$B$17,Paramètres!$A$1:$I$89,5,0)</f>
        <v>0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123.03972959251965</v>
      </c>
      <c r="GF167" s="59">
        <f t="shared" si="158"/>
        <v>178.27657680839445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19.146836178850382</v>
      </c>
      <c r="GM167" s="21">
        <f>EXP(-LN(2)/25)*GM166+(1-EXP(-LN(2)/25))/(LN(2)/25)*Calculateur!GH167*Calculateur!GJ167*VLOOKUP('Données projet'!$B$17,Paramètres!$A$1:$I$89,3,0)*0.475*44/12</f>
        <v>2.4794280263463864</v>
      </c>
      <c r="GN167" s="21">
        <f>EXP(-LN(2)/2)*GN166+(1-EXP(-LN(2)/2))/(LN(2)/2)*GH167*GK167*VLOOKUP('Données projet'!$B$17,Paramètres!$A$1:$I$89,3,0)*0.475*44/12</f>
        <v>7.2629970083672376E-14</v>
      </c>
      <c r="GO167" s="21">
        <f t="shared" si="187"/>
        <v>21.62626420519684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69.192040296237181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-4.5474735088646412E-13</v>
      </c>
      <c r="GV167" s="17">
        <f>GU167*VLOOKUP('Données projet'!$B$18,Paramètres!$A$1:$I$89,3,0)*VLOOKUP('Données projet'!$B$18,Paramètres!$A$1:$I$89,5,0)</f>
        <v>-3.0504452297464016E-13</v>
      </c>
      <c r="GW167" s="13" t="e">
        <f t="shared" si="188"/>
        <v>#NUM!</v>
      </c>
      <c r="GX167" s="20" t="e">
        <f t="shared" si="189"/>
        <v>#NUM!</v>
      </c>
      <c r="GY167" s="59" t="e">
        <f t="shared" si="137"/>
        <v>#NUM!</v>
      </c>
      <c r="GZ167" s="59">
        <f ca="1">AVERAGE(OFFSET($GY$3,0,0,'Données projet'!$E$18+1,1))-AVERAGE(OFFSET($H$3,0,0,'Données projet'!$E$18+1,1))</f>
        <v>542.25674729323623</v>
      </c>
      <c r="HA167" s="59">
        <f t="shared" si="160"/>
        <v>614.73906555680685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118.4981018475699</v>
      </c>
      <c r="HH167" s="21">
        <f>EXP(-LN(2)/25)*HH166+(1-EXP(-LN(2)/25))/(LN(2)/25)*Calculateur!HC167*Calculateur!HE167*VLOOKUP('Données projet'!$B$18,Paramètres!$A$1:$I$89,3,0)*0.475*44/12</f>
        <v>0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118.4981018475699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2.8499999999999996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10.449999999999998</v>
      </c>
      <c r="H168" s="67">
        <f t="shared" si="110"/>
        <v>214.86666666666667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69.206056590770174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-1.0231815394945443E-12</v>
      </c>
      <c r="O168" s="13">
        <f>N168*VLOOKUP('Données projet'!$B$9,Paramètres!$A$1:$I$89,3,0)*VLOOKUP('Données projet'!$B$9,Paramètres!$A$1:$I$89,5,0)</f>
        <v>-8.9385139290243408E-13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686.80970545599644</v>
      </c>
      <c r="T168" s="59">
        <f t="shared" si="142"/>
        <v>636.16485232937737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32.246025557120049</v>
      </c>
      <c r="AA168" s="21">
        <f>EXP(-LN(2)/25)*AA167+(1-EXP(-LN(2)/25))/(LN(2)/25)*Calculateur!V168*Calculateur!X168*VLOOKUP('Données projet'!$B$9,Paramètres!$A$1:$I$89,3,0)*0.475*44/12</f>
        <v>2.1618832116500144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34.407908768770064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69.206056590770174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1.1368683772161603E-13</v>
      </c>
      <c r="AJ168" s="13">
        <f>AI168*VLOOKUP('Données projet'!$B$10,Paramètres!$A$1:$I$89,3,0)*VLOOKUP('Données projet'!$B$10,Paramètres!$A$1:$I$89,5,0)</f>
        <v>1.0286385077051818E-13</v>
      </c>
      <c r="AK168" s="13">
        <f t="shared" si="164"/>
        <v>1.5402366592183556E-12</v>
      </c>
      <c r="AL168" s="20">
        <f t="shared" si="165"/>
        <v>2.8617333882306215E-12</v>
      </c>
      <c r="AM168" s="59">
        <f t="shared" si="113"/>
        <v>290.42220749949348</v>
      </c>
      <c r="AN168" s="59">
        <f ca="1">AVERAGE(OFFSET($AM$3,0,0,'Données projet'!$E$10+1,1))-AVERAGE(OFFSET($H$3,0,0,'Données projet'!$E$10+1,1))</f>
        <v>323.67375363913726</v>
      </c>
      <c r="AO168" s="59">
        <f t="shared" si="144"/>
        <v>266.03902815735029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28.277765869934697</v>
      </c>
      <c r="AV168" s="21">
        <f>EXP(-LN(2)/25)*AV167+(1-EXP(-LN(2)/25))/(LN(2)/25)*Calculateur!AQ168*Calculateur!AS168*VLOOKUP('Données projet'!$B$10,Paramètres!$A$1:$I$89,3,0)*0.475*44/12</f>
        <v>4.9904217095150898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33.268187579449787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69.206056590770174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371.46495716091965</v>
      </c>
      <c r="BJ168" s="59">
        <f t="shared" si="146"/>
        <v>579.95059529269417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20.635686354187524</v>
      </c>
      <c r="BQ168" s="21">
        <f>EXP(-LN(2)/25)*BQ167+(1-EXP(-LN(2)/25))/(LN(2)/25)*Calculateur!BL168*Calculateur!BN168*VLOOKUP('Données projet'!$B$11,Paramètres!$A$1:$I$89,3,0)*0.475*44/12</f>
        <v>2.473163687022792</v>
      </c>
      <c r="BR168" s="21">
        <f>EXP(-LN(2)/2)*BR167+(1-EXP(-LN(2)/2))/(LN(2)/2)*BL168*BO168*VLOOKUP('Données projet'!$B$11,Paramètres!$A$1:$I$89,3,0)*0.475*44/12</f>
        <v>3.3681264599252109E-17</v>
      </c>
      <c r="BS168" s="22">
        <f t="shared" si="169"/>
        <v>23.108850041210317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69.206056590770174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180.18752244216969</v>
      </c>
      <c r="CE168" s="59">
        <f t="shared" si="148"/>
        <v>350.12096474554676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24.917827450494492</v>
      </c>
      <c r="CL168" s="21">
        <f>EXP(-LN(2)/25)*CL167+(1-EXP(-LN(2)/25))/(LN(2)/25)*Calculateur!CG168*Calculateur!CI168*VLOOKUP('Données projet'!$B$12,Paramètres!$A$1:$I$89,3,0)*0.475*44/12</f>
        <v>4.409594600572202</v>
      </c>
      <c r="CM168" s="21">
        <f>EXP(-LN(2)/2)*CM167+(1-EXP(-LN(2)/2))/(LN(2)/2)*CG168*CJ168*VLOOKUP('Données projet'!$B$12,Paramètres!$A$1:$I$89,3,0)*0.475*44/12</f>
        <v>2.5589309332612798E-17</v>
      </c>
      <c r="CN168" s="22">
        <f t="shared" si="172"/>
        <v>29.327422051066694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69.206056590770174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5.6843418860808015E-14</v>
      </c>
      <c r="CU168" s="17">
        <f>CT168*VLOOKUP('Données projet'!$B$13,Paramètres!$A$1:$I$89,3,0)*VLOOKUP('Données projet'!$B$13,Paramètres!$A$1:$I$89,5,0)</f>
        <v>4.5224624045658861E-14</v>
      </c>
      <c r="CV168" s="13">
        <f t="shared" si="173"/>
        <v>7.4514601661523691E-13</v>
      </c>
      <c r="CW168" s="20">
        <f t="shared" si="174"/>
        <v>1.3765621991510601E-12</v>
      </c>
      <c r="CX168" s="59">
        <f t="shared" si="122"/>
        <v>290.422207499492</v>
      </c>
      <c r="CY168" s="59">
        <f ca="1">AVERAGE(OFFSET($CX$3,0,0,'Données projet'!$E$13+1,1))-AVERAGE(OFFSET($H$3,0,0,'Données projet'!$E$13+1,1))</f>
        <v>284.31574332240928</v>
      </c>
      <c r="CZ168" s="59">
        <f t="shared" si="150"/>
        <v>403.96994631683913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104.9287151583932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104.9287151583932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69.206056590770174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190.9519472160006</v>
      </c>
      <c r="DU168" s="59">
        <f t="shared" si="152"/>
        <v>170.61553500287511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22.467691670803685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22.467691670803685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69.206056590770174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>
        <f>EJ168*VLOOKUP('Données projet'!$B$15,Paramètres!$A$1:$I$89,3,0)*VLOOKUP('Données projet'!$B$15,Paramètres!$A$1:$I$89,5,0)</f>
        <v>0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331.94255128154623</v>
      </c>
      <c r="EP168" s="59">
        <f t="shared" si="154"/>
        <v>258.40809812013964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287.06647231738043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287.06647231738043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69.206056590770174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>
        <f>FE168*VLOOKUP('Données projet'!$B$16,Paramètres!$A$1:$I$89,3,0)*VLOOKUP('Données projet'!$B$16,Paramètres!$A$1:$I$89,5,0)</f>
        <v>0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290.72311302449236</v>
      </c>
      <c r="FK168" s="59">
        <f t="shared" si="156"/>
        <v>352.32552988394434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86.362379347347982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86.362379347347982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69.206056590770174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>
        <f>FZ168*VLOOKUP('Données projet'!$B$17,Paramètres!$A$1:$I$89,3,0)*VLOOKUP('Données projet'!$B$17,Paramètres!$A$1:$I$89,5,0)</f>
        <v>0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123.03972959251965</v>
      </c>
      <c r="GF168" s="59">
        <f t="shared" si="158"/>
        <v>178.27657680839445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18.771378399800046</v>
      </c>
      <c r="GM168" s="21">
        <f>EXP(-LN(2)/25)*GM167+(1-EXP(-LN(2)/25))/(LN(2)/25)*Calculateur!GH168*Calculateur!GJ168*VLOOKUP('Données projet'!$B$17,Paramètres!$A$1:$I$89,3,0)*0.475*44/12</f>
        <v>2.4116279365784914</v>
      </c>
      <c r="GN168" s="21">
        <f>EXP(-LN(2)/2)*GN167+(1-EXP(-LN(2)/2))/(LN(2)/2)*GH168*GK168*VLOOKUP('Données projet'!$B$17,Paramètres!$A$1:$I$89,3,0)*0.475*44/12</f>
        <v>5.1357144363540816E-14</v>
      </c>
      <c r="GO168" s="21">
        <f t="shared" si="187"/>
        <v>21.183006336378586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69.206056590770174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-4.5474735088646412E-13</v>
      </c>
      <c r="GV168" s="17">
        <f>GU168*VLOOKUP('Données projet'!$B$18,Paramètres!$A$1:$I$89,3,0)*VLOOKUP('Données projet'!$B$18,Paramètres!$A$1:$I$89,5,0)</f>
        <v>-3.0504452297464016E-13</v>
      </c>
      <c r="GW168" s="13" t="e">
        <f t="shared" si="188"/>
        <v>#NUM!</v>
      </c>
      <c r="GX168" s="20" t="e">
        <f t="shared" si="189"/>
        <v>#NUM!</v>
      </c>
      <c r="GY168" s="59" t="e">
        <f t="shared" si="137"/>
        <v>#NUM!</v>
      </c>
      <c r="GZ168" s="59">
        <f ca="1">AVERAGE(OFFSET($GY$3,0,0,'Données projet'!$E$18+1,1))-AVERAGE(OFFSET($H$3,0,0,'Données projet'!$E$18+1,1))</f>
        <v>542.25674729323623</v>
      </c>
      <c r="HA168" s="59">
        <f t="shared" si="160"/>
        <v>614.73906555680685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116.17442634704445</v>
      </c>
      <c r="HH168" s="21">
        <f>EXP(-LN(2)/25)*HH167+(1-EXP(-LN(2)/25))/(LN(2)/25)*Calculateur!HC168*Calculateur!HE168*VLOOKUP('Données projet'!$B$18,Paramètres!$A$1:$I$89,3,0)*0.475*44/12</f>
        <v>0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116.17442634704445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2.8499999999999996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10.449999999999998</v>
      </c>
      <c r="H169" s="67">
        <f t="shared" si="110"/>
        <v>214.86666666666667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69.219829733928762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-1.0231815394945443E-12</v>
      </c>
      <c r="O169" s="13">
        <f>N169*VLOOKUP('Données projet'!$B$9,Paramètres!$A$1:$I$89,3,0)*VLOOKUP('Données projet'!$B$9,Paramètres!$A$1:$I$89,5,0)</f>
        <v>-8.9385139290243408E-13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686.80970545599644</v>
      </c>
      <c r="T169" s="59">
        <f t="shared" si="142"/>
        <v>636.16485232937737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31.613700664078447</v>
      </c>
      <c r="AA169" s="21">
        <f>EXP(-LN(2)/25)*AA168+(1-EXP(-LN(2)/25))/(LN(2)/25)*Calculateur!V169*Calculateur!X169*VLOOKUP('Données projet'!$B$9,Paramètres!$A$1:$I$89,3,0)*0.475*44/12</f>
        <v>2.1027664015389478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33.716467065617394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69.219829733928762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1.1368683772161603E-13</v>
      </c>
      <c r="AJ169" s="13">
        <f>AI169*VLOOKUP('Données projet'!$B$10,Paramètres!$A$1:$I$89,3,0)*VLOOKUP('Données projet'!$B$10,Paramètres!$A$1:$I$89,5,0)</f>
        <v>1.0286385077051818E-13</v>
      </c>
      <c r="AK169" s="13">
        <f t="shared" si="164"/>
        <v>1.5402366592183556E-12</v>
      </c>
      <c r="AL169" s="20">
        <f t="shared" si="165"/>
        <v>2.8617333882306215E-12</v>
      </c>
      <c r="AM169" s="59">
        <f t="shared" si="113"/>
        <v>290.47270902440829</v>
      </c>
      <c r="AN169" s="59">
        <f ca="1">AVERAGE(OFFSET($AM$3,0,0,'Données projet'!$E$10+1,1))-AVERAGE(OFFSET($H$3,0,0,'Données projet'!$E$10+1,1))</f>
        <v>323.67375363913726</v>
      </c>
      <c r="AO169" s="59">
        <f t="shared" si="144"/>
        <v>266.03902815735029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27.723256128959385</v>
      </c>
      <c r="AV169" s="21">
        <f>EXP(-LN(2)/25)*AV168+(1-EXP(-LN(2)/25))/(LN(2)/25)*Calculateur!AQ169*Calculateur!AS169*VLOOKUP('Données projet'!$B$10,Paramètres!$A$1:$I$89,3,0)*0.475*44/12</f>
        <v>4.8539583654335274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32.577214494392912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69.219829733928762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371.46495716091965</v>
      </c>
      <c r="BJ169" s="59">
        <f t="shared" si="146"/>
        <v>579.95059529269417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20.231033131307765</v>
      </c>
      <c r="BQ169" s="21">
        <f>EXP(-LN(2)/25)*BQ168+(1-EXP(-LN(2)/25))/(LN(2)/25)*Calculateur!BL169*Calculateur!BN169*VLOOKUP('Données projet'!$B$11,Paramètres!$A$1:$I$89,3,0)*0.475*44/12</f>
        <v>2.405534895943128</v>
      </c>
      <c r="BR169" s="21">
        <f>EXP(-LN(2)/2)*BR168+(1-EXP(-LN(2)/2))/(LN(2)/2)*BL169*BO169*VLOOKUP('Données projet'!$B$11,Paramètres!$A$1:$I$89,3,0)*0.475*44/12</f>
        <v>2.3816250597069571E-17</v>
      </c>
      <c r="BS169" s="22">
        <f t="shared" si="169"/>
        <v>22.636568027250892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69.219829733928762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180.18752244216969</v>
      </c>
      <c r="CE169" s="59">
        <f t="shared" si="148"/>
        <v>350.12096474554676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24.429204052564327</v>
      </c>
      <c r="CL169" s="21">
        <f>EXP(-LN(2)/25)*CL168+(1-EXP(-LN(2)/25))/(LN(2)/25)*Calculateur!CG169*Calculateur!CI169*VLOOKUP('Données projet'!$B$12,Paramètres!$A$1:$I$89,3,0)*0.475*44/12</f>
        <v>4.2890140043290534</v>
      </c>
      <c r="CM169" s="21">
        <f>EXP(-LN(2)/2)*CM168+(1-EXP(-LN(2)/2))/(LN(2)/2)*CG169*CJ169*VLOOKUP('Données projet'!$B$12,Paramètres!$A$1:$I$89,3,0)*0.475*44/12</f>
        <v>1.8094374154970716E-17</v>
      </c>
      <c r="CN169" s="22">
        <f t="shared" si="172"/>
        <v>28.718218056893381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69.219829733928762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5.6843418860808015E-14</v>
      </c>
      <c r="CU169" s="17">
        <f>CT169*VLOOKUP('Données projet'!$B$13,Paramètres!$A$1:$I$89,3,0)*VLOOKUP('Données projet'!$B$13,Paramètres!$A$1:$I$89,5,0)</f>
        <v>4.5224624045658861E-14</v>
      </c>
      <c r="CV169" s="13">
        <f t="shared" si="173"/>
        <v>7.4514601661523691E-13</v>
      </c>
      <c r="CW169" s="20">
        <f t="shared" si="174"/>
        <v>1.3765621991510601E-12</v>
      </c>
      <c r="CX169" s="59">
        <f t="shared" si="122"/>
        <v>290.47270902440681</v>
      </c>
      <c r="CY169" s="59">
        <f ca="1">AVERAGE(OFFSET($CX$3,0,0,'Données projet'!$E$13+1,1))-AVERAGE(OFFSET($H$3,0,0,'Données projet'!$E$13+1,1))</f>
        <v>284.31574332240928</v>
      </c>
      <c r="CZ169" s="59">
        <f t="shared" si="150"/>
        <v>403.96994631683913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102.87112705433387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102.87112705433387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69.219829733928762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190.9519472160006</v>
      </c>
      <c r="DU169" s="59">
        <f t="shared" si="152"/>
        <v>170.61553500287511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22.027113941077992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22.027113941077992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69.219829733928762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>
        <f>EJ169*VLOOKUP('Données projet'!$B$15,Paramètres!$A$1:$I$89,3,0)*VLOOKUP('Données projet'!$B$15,Paramètres!$A$1:$I$89,5,0)</f>
        <v>0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331.94255128154623</v>
      </c>
      <c r="EP169" s="59">
        <f t="shared" si="154"/>
        <v>258.40809812013964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281.43727388849567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281.43727388849567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69.219829733928762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>
        <f>FE169*VLOOKUP('Données projet'!$B$16,Paramètres!$A$1:$I$89,3,0)*VLOOKUP('Données projet'!$B$16,Paramètres!$A$1:$I$89,5,0)</f>
        <v>0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290.72311302449236</v>
      </c>
      <c r="FK169" s="59">
        <f t="shared" si="156"/>
        <v>352.32552988394434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84.668865764196582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84.668865764196582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69.219829733928762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>
        <f>FZ169*VLOOKUP('Données projet'!$B$17,Paramètres!$A$1:$I$89,3,0)*VLOOKUP('Données projet'!$B$17,Paramètres!$A$1:$I$89,5,0)</f>
        <v>0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123.03972959251965</v>
      </c>
      <c r="GF169" s="59">
        <f t="shared" si="158"/>
        <v>178.27657680839445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18.403283118790256</v>
      </c>
      <c r="GM169" s="21">
        <f>EXP(-LN(2)/25)*GM168+(1-EXP(-LN(2)/25))/(LN(2)/25)*Calculateur!GH169*Calculateur!GJ169*VLOOKUP('Données projet'!$B$17,Paramètres!$A$1:$I$89,3,0)*0.475*44/12</f>
        <v>2.3456818438307514</v>
      </c>
      <c r="GN169" s="21">
        <f>EXP(-LN(2)/2)*GN168+(1-EXP(-LN(2)/2))/(LN(2)/2)*GH169*GK169*VLOOKUP('Données projet'!$B$17,Paramètres!$A$1:$I$89,3,0)*0.475*44/12</f>
        <v>3.6314985041836188E-14</v>
      </c>
      <c r="GO169" s="21">
        <f t="shared" si="187"/>
        <v>20.748964962621042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69.219829733928762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-4.5474735088646412E-13</v>
      </c>
      <c r="GV169" s="17">
        <f>GU169*VLOOKUP('Données projet'!$B$18,Paramètres!$A$1:$I$89,3,0)*VLOOKUP('Données projet'!$B$18,Paramètres!$A$1:$I$89,5,0)</f>
        <v>-3.0504452297464016E-13</v>
      </c>
      <c r="GW169" s="13" t="e">
        <f t="shared" si="188"/>
        <v>#NUM!</v>
      </c>
      <c r="GX169" s="20" t="e">
        <f t="shared" si="189"/>
        <v>#NUM!</v>
      </c>
      <c r="GY169" s="59" t="e">
        <f t="shared" si="137"/>
        <v>#NUM!</v>
      </c>
      <c r="GZ169" s="59">
        <f ca="1">AVERAGE(OFFSET($GY$3,0,0,'Données projet'!$E$18+1,1))-AVERAGE(OFFSET($H$3,0,0,'Données projet'!$E$18+1,1))</f>
        <v>542.25674729323623</v>
      </c>
      <c r="HA169" s="59">
        <f t="shared" si="160"/>
        <v>614.73906555680685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113.89631670578218</v>
      </c>
      <c r="HH169" s="21">
        <f>EXP(-LN(2)/25)*HH168+(1-EXP(-LN(2)/25))/(LN(2)/25)*Calculateur!HC169*Calculateur!HE169*VLOOKUP('Données projet'!$B$18,Paramètres!$A$1:$I$89,3,0)*0.475*44/12</f>
        <v>0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113.89631670578218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2.8499999999999996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10.449999999999998</v>
      </c>
      <c r="H170" s="67">
        <f t="shared" si="110"/>
        <v>214.86666666666667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69.233363943845674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-1.0231815394945443E-12</v>
      </c>
      <c r="O170" s="13">
        <f>N170*VLOOKUP('Données projet'!$B$9,Paramètres!$A$1:$I$89,3,0)*VLOOKUP('Données projet'!$B$9,Paramètres!$A$1:$I$89,5,0)</f>
        <v>-8.9385139290243408E-13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686.80970545599644</v>
      </c>
      <c r="T170" s="59">
        <f t="shared" si="142"/>
        <v>636.16485232937737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30.99377527650929</v>
      </c>
      <c r="AA170" s="21">
        <f>EXP(-LN(2)/25)*AA169+(1-EXP(-LN(2)/25))/(LN(2)/25)*Calculateur!V170*Calculateur!X170*VLOOKUP('Données projet'!$B$9,Paramètres!$A$1:$I$89,3,0)*0.475*44/12</f>
        <v>2.0452661437091861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33.039041420218474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69.233363943845674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1.1368683772161603E-13</v>
      </c>
      <c r="AJ170" s="13">
        <f>AI170*VLOOKUP('Données projet'!$B$10,Paramètres!$A$1:$I$89,3,0)*VLOOKUP('Données projet'!$B$10,Paramètres!$A$1:$I$89,5,0)</f>
        <v>1.0286385077051818E-13</v>
      </c>
      <c r="AK170" s="13">
        <f t="shared" si="164"/>
        <v>1.5402366592183556E-12</v>
      </c>
      <c r="AL170" s="20">
        <f t="shared" si="165"/>
        <v>2.8617333882306215E-12</v>
      </c>
      <c r="AM170" s="59">
        <f t="shared" si="113"/>
        <v>290.52233446077031</v>
      </c>
      <c r="AN170" s="59">
        <f ca="1">AVERAGE(OFFSET($AM$3,0,0,'Données projet'!$E$10+1,1))-AVERAGE(OFFSET($H$3,0,0,'Données projet'!$E$10+1,1))</f>
        <v>323.67375363913726</v>
      </c>
      <c r="AO170" s="59">
        <f t="shared" si="144"/>
        <v>266.03902815735029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27.179619985787053</v>
      </c>
      <c r="AV170" s="21">
        <f>EXP(-LN(2)/25)*AV169+(1-EXP(-LN(2)/25))/(LN(2)/25)*Calculateur!AQ170*Calculateur!AS170*VLOOKUP('Données projet'!$B$10,Paramètres!$A$1:$I$89,3,0)*0.475*44/12</f>
        <v>4.721226618672171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31.900846604459225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69.233363943845674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371.46495716091965</v>
      </c>
      <c r="BJ170" s="59">
        <f t="shared" si="146"/>
        <v>579.95059529269417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19.834314911314586</v>
      </c>
      <c r="BQ170" s="21">
        <f>EXP(-LN(2)/25)*BQ169+(1-EXP(-LN(2)/25))/(LN(2)/25)*Calculateur!BL170*Calculateur!BN170*VLOOKUP('Données projet'!$B$11,Paramètres!$A$1:$I$89,3,0)*0.475*44/12</f>
        <v>2.3397554177119808</v>
      </c>
      <c r="BR170" s="21">
        <f>EXP(-LN(2)/2)*BR169+(1-EXP(-LN(2)/2))/(LN(2)/2)*BL170*BO170*VLOOKUP('Données projet'!$B$11,Paramètres!$A$1:$I$89,3,0)*0.475*44/12</f>
        <v>1.6840632299626054E-17</v>
      </c>
      <c r="BS170" s="22">
        <f t="shared" si="169"/>
        <v>22.174070329026566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69.233363943845674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180.18752244216969</v>
      </c>
      <c r="CE170" s="59">
        <f t="shared" si="148"/>
        <v>350.12096474554676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23.950162261436727</v>
      </c>
      <c r="CL170" s="21">
        <f>EXP(-LN(2)/25)*CL169+(1-EXP(-LN(2)/25))/(LN(2)/25)*Calculateur!CG170*Calculateur!CI170*VLOOKUP('Données projet'!$B$12,Paramètres!$A$1:$I$89,3,0)*0.475*44/12</f>
        <v>4.1717306908312315</v>
      </c>
      <c r="CM170" s="21">
        <f>EXP(-LN(2)/2)*CM169+(1-EXP(-LN(2)/2))/(LN(2)/2)*CG170*CJ170*VLOOKUP('Données projet'!$B$12,Paramètres!$A$1:$I$89,3,0)*0.475*44/12</f>
        <v>1.2794654666306399E-17</v>
      </c>
      <c r="CN170" s="22">
        <f t="shared" si="172"/>
        <v>28.121892952267959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69.233363943845674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5.6843418860808015E-14</v>
      </c>
      <c r="CU170" s="17">
        <f>CT170*VLOOKUP('Données projet'!$B$13,Paramètres!$A$1:$I$89,3,0)*VLOOKUP('Données projet'!$B$13,Paramètres!$A$1:$I$89,5,0)</f>
        <v>4.5224624045658861E-14</v>
      </c>
      <c r="CV170" s="13">
        <f t="shared" si="173"/>
        <v>7.4514601661523691E-13</v>
      </c>
      <c r="CW170" s="20">
        <f t="shared" si="174"/>
        <v>1.3765621991510601E-12</v>
      </c>
      <c r="CX170" s="59">
        <f t="shared" si="122"/>
        <v>290.52233446076883</v>
      </c>
      <c r="CY170" s="59">
        <f ca="1">AVERAGE(OFFSET($CX$3,0,0,'Données projet'!$E$13+1,1))-AVERAGE(OFFSET($H$3,0,0,'Données projet'!$E$13+1,1))</f>
        <v>284.31574332240928</v>
      </c>
      <c r="CZ170" s="59">
        <f t="shared" si="150"/>
        <v>403.96994631683913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100.85388699799032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100.85388699799032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69.233363943845674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190.9519472160006</v>
      </c>
      <c r="DU170" s="59">
        <f t="shared" si="152"/>
        <v>170.61553500287511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21.59517567190634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21.59517567190634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69.233363943845674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>
        <f>EJ170*VLOOKUP('Données projet'!$B$15,Paramètres!$A$1:$I$89,3,0)*VLOOKUP('Données projet'!$B$15,Paramètres!$A$1:$I$89,5,0)</f>
        <v>0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331.94255128154623</v>
      </c>
      <c r="EP170" s="59">
        <f t="shared" si="154"/>
        <v>258.40809812013964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275.91846060732934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275.91846060732934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69.233363943845674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>
        <f>FE170*VLOOKUP('Données projet'!$B$16,Paramètres!$A$1:$I$89,3,0)*VLOOKUP('Données projet'!$B$16,Paramètres!$A$1:$I$89,5,0)</f>
        <v>0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290.72311302449236</v>
      </c>
      <c r="FK170" s="59">
        <f t="shared" si="156"/>
        <v>352.32552988394434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83.008560949469484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83.008560949469484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69.233363943845674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>
        <f>FZ170*VLOOKUP('Données projet'!$B$17,Paramètres!$A$1:$I$89,3,0)*VLOOKUP('Données projet'!$B$17,Paramètres!$A$1:$I$89,5,0)</f>
        <v>0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123.03972959251965</v>
      </c>
      <c r="GF170" s="59">
        <f t="shared" si="158"/>
        <v>178.27657680839445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18.042405961725116</v>
      </c>
      <c r="GM170" s="21">
        <f>EXP(-LN(2)/25)*GM169+(1-EXP(-LN(2)/25))/(LN(2)/25)*Calculateur!GH170*Calculateur!GJ170*VLOOKUP('Données projet'!$B$17,Paramètres!$A$1:$I$89,3,0)*0.475*44/12</f>
        <v>2.2815390504571527</v>
      </c>
      <c r="GN170" s="21">
        <f>EXP(-LN(2)/2)*GN169+(1-EXP(-LN(2)/2))/(LN(2)/2)*GH170*GK170*VLOOKUP('Données projet'!$B$17,Paramètres!$A$1:$I$89,3,0)*0.475*44/12</f>
        <v>2.5678572181770408E-14</v>
      </c>
      <c r="GO170" s="21">
        <f t="shared" si="187"/>
        <v>20.323945012182293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69.233363943845674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-4.5474735088646412E-13</v>
      </c>
      <c r="GV170" s="17">
        <f>GU170*VLOOKUP('Données projet'!$B$18,Paramètres!$A$1:$I$89,3,0)*VLOOKUP('Données projet'!$B$18,Paramètres!$A$1:$I$89,5,0)</f>
        <v>-3.0504452297464016E-13</v>
      </c>
      <c r="GW170" s="13" t="e">
        <f t="shared" si="188"/>
        <v>#NUM!</v>
      </c>
      <c r="GX170" s="20" t="e">
        <f t="shared" si="189"/>
        <v>#NUM!</v>
      </c>
      <c r="GY170" s="59" t="e">
        <f t="shared" si="137"/>
        <v>#NUM!</v>
      </c>
      <c r="GZ170" s="59">
        <f ca="1">AVERAGE(OFFSET($GY$3,0,0,'Données projet'!$E$18+1,1))-AVERAGE(OFFSET($H$3,0,0,'Données projet'!$E$18+1,1))</f>
        <v>542.25674729323623</v>
      </c>
      <c r="HA170" s="59">
        <f t="shared" si="160"/>
        <v>614.73906555680685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111.6628794050754</v>
      </c>
      <c r="HH170" s="21">
        <f>EXP(-LN(2)/25)*HH169+(1-EXP(-LN(2)/25))/(LN(2)/25)*Calculateur!HC170*Calculateur!HE170*VLOOKUP('Données projet'!$B$18,Paramètres!$A$1:$I$89,3,0)*0.475*44/12</f>
        <v>0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111.6628794050754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2.8499999999999996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10.449999999999998</v>
      </c>
      <c r="H171" s="67">
        <f t="shared" si="110"/>
        <v>214.86666666666667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69.246663365478497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-1.0231815394945443E-12</v>
      </c>
      <c r="O171" s="13">
        <f>N171*VLOOKUP('Données projet'!$B$9,Paramètres!$A$1:$I$89,3,0)*VLOOKUP('Données projet'!$B$9,Paramètres!$A$1:$I$89,5,0)</f>
        <v>-8.9385139290243408E-13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686.80970545599644</v>
      </c>
      <c r="T171" s="59">
        <f t="shared" si="142"/>
        <v>636.16485232937737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30.386006247673212</v>
      </c>
      <c r="AA171" s="21">
        <f>EXP(-LN(2)/25)*AA170+(1-EXP(-LN(2)/25))/(LN(2)/25)*Calculateur!V171*Calculateur!X171*VLOOKUP('Données projet'!$B$9,Paramètres!$A$1:$I$89,3,0)*0.475*44/12</f>
        <v>1.9893382334535865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32.375344481126795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69.246663365478497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1.1368683772161603E-13</v>
      </c>
      <c r="AJ171" s="13">
        <f>AI171*VLOOKUP('Données projet'!$B$10,Paramètres!$A$1:$I$89,3,0)*VLOOKUP('Données projet'!$B$10,Paramètres!$A$1:$I$89,5,0)</f>
        <v>1.0286385077051818E-13</v>
      </c>
      <c r="AK171" s="13">
        <f t="shared" si="164"/>
        <v>1.5402366592183556E-12</v>
      </c>
      <c r="AL171" s="20">
        <f t="shared" si="165"/>
        <v>2.8617333882306215E-12</v>
      </c>
      <c r="AM171" s="59">
        <f t="shared" si="113"/>
        <v>290.57109900675732</v>
      </c>
      <c r="AN171" s="59">
        <f ca="1">AVERAGE(OFFSET($AM$3,0,0,'Données projet'!$E$10+1,1))-AVERAGE(OFFSET($H$3,0,0,'Données projet'!$E$10+1,1))</f>
        <v>323.67375363913726</v>
      </c>
      <c r="AO171" s="59">
        <f t="shared" si="144"/>
        <v>266.03902815735029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26.646644215797025</v>
      </c>
      <c r="AV171" s="21">
        <f>EXP(-LN(2)/25)*AV170+(1-EXP(-LN(2)/25))/(LN(2)/25)*Calculateur!AQ171*Calculateur!AS171*VLOOKUP('Données projet'!$B$10,Paramètres!$A$1:$I$89,3,0)*0.475*44/12</f>
        <v>4.5921244285060627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31.238768644303086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69.246663365478497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371.46495716091965</v>
      </c>
      <c r="BJ171" s="59">
        <f t="shared" si="146"/>
        <v>579.95059529269417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19.445376093641251</v>
      </c>
      <c r="BQ171" s="21">
        <f>EXP(-LN(2)/25)*BQ170+(1-EXP(-LN(2)/25))/(LN(2)/25)*Calculateur!BL171*Calculateur!BN171*VLOOKUP('Données projet'!$B$11,Paramètres!$A$1:$I$89,3,0)*0.475*44/12</f>
        <v>2.2757746827722567</v>
      </c>
      <c r="BR171" s="21">
        <f>EXP(-LN(2)/2)*BR170+(1-EXP(-LN(2)/2))/(LN(2)/2)*BL171*BO171*VLOOKUP('Données projet'!$B$11,Paramètres!$A$1:$I$89,3,0)*0.475*44/12</f>
        <v>1.1908125298534785E-17</v>
      </c>
      <c r="BS171" s="22">
        <f t="shared" si="169"/>
        <v>21.721150776413509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69.246663365478497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180.18752244216969</v>
      </c>
      <c r="CE171" s="59">
        <f t="shared" si="148"/>
        <v>350.12096474554676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23.480514187646495</v>
      </c>
      <c r="CL171" s="21">
        <f>EXP(-LN(2)/25)*CL170+(1-EXP(-LN(2)/25))/(LN(2)/25)*Calculateur!CG171*Calculateur!CI171*VLOOKUP('Données projet'!$B$12,Paramètres!$A$1:$I$89,3,0)*0.475*44/12</f>
        <v>4.0576544957086691</v>
      </c>
      <c r="CM171" s="21">
        <f>EXP(-LN(2)/2)*CM170+(1-EXP(-LN(2)/2))/(LN(2)/2)*CG171*CJ171*VLOOKUP('Données projet'!$B$12,Paramètres!$A$1:$I$89,3,0)*0.475*44/12</f>
        <v>9.0471870774853579E-18</v>
      </c>
      <c r="CN171" s="22">
        <f t="shared" si="172"/>
        <v>27.538168683355163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69.246663365478497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5.6843418860808015E-14</v>
      </c>
      <c r="CU171" s="17">
        <f>CT171*VLOOKUP('Données projet'!$B$13,Paramètres!$A$1:$I$89,3,0)*VLOOKUP('Données projet'!$B$13,Paramètres!$A$1:$I$89,5,0)</f>
        <v>4.5224624045658861E-14</v>
      </c>
      <c r="CV171" s="13">
        <f t="shared" si="173"/>
        <v>7.4514601661523691E-13</v>
      </c>
      <c r="CW171" s="20">
        <f t="shared" si="174"/>
        <v>1.3765621991510601E-12</v>
      </c>
      <c r="CX171" s="59">
        <f t="shared" si="122"/>
        <v>290.57109900675584</v>
      </c>
      <c r="CY171" s="59">
        <f ca="1">AVERAGE(OFFSET($CX$3,0,0,'Données projet'!$E$13+1,1))-AVERAGE(OFFSET($H$3,0,0,'Données projet'!$E$13+1,1))</f>
        <v>284.31574332240928</v>
      </c>
      <c r="CZ171" s="59">
        <f t="shared" si="150"/>
        <v>403.96994631683913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98.876203788756712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98.876203788756712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69.246663365478497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190.9519472160006</v>
      </c>
      <c r="DU171" s="59">
        <f t="shared" si="152"/>
        <v>170.61553500287511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21.171707448736814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21.171707448736814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69.246663365478497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>
        <f>EJ171*VLOOKUP('Données projet'!$B$15,Paramètres!$A$1:$I$89,3,0)*VLOOKUP('Données projet'!$B$15,Paramètres!$A$1:$I$89,5,0)</f>
        <v>0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331.94255128154623</v>
      </c>
      <c r="EP171" s="59">
        <f t="shared" si="154"/>
        <v>258.40809812013964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270.50786788846295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270.50786788846295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69.246663365478497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>
        <f>FE171*VLOOKUP('Données projet'!$B$16,Paramètres!$A$1:$I$89,3,0)*VLOOKUP('Données projet'!$B$16,Paramètres!$A$1:$I$89,5,0)</f>
        <v>0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290.72311302449236</v>
      </c>
      <c r="FK171" s="59">
        <f t="shared" si="156"/>
        <v>352.32552988394434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81.380813699473251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81.380813699473251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69.246663365478497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>
        <f>FZ171*VLOOKUP('Données projet'!$B$17,Paramètres!$A$1:$I$89,3,0)*VLOOKUP('Données projet'!$B$17,Paramètres!$A$1:$I$89,5,0)</f>
        <v>0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123.03972959251965</v>
      </c>
      <c r="GF171" s="59">
        <f t="shared" si="158"/>
        <v>178.27657680839445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17.688605385596691</v>
      </c>
      <c r="GM171" s="21">
        <f>EXP(-LN(2)/25)*GM170+(1-EXP(-LN(2)/25))/(LN(2)/25)*Calculateur!GH171*Calculateur!GJ171*VLOOKUP('Données projet'!$B$17,Paramètres!$A$1:$I$89,3,0)*0.475*44/12</f>
        <v>2.2191502451414777</v>
      </c>
      <c r="GN171" s="21">
        <f>EXP(-LN(2)/2)*GN170+(1-EXP(-LN(2)/2))/(LN(2)/2)*GH171*GK171*VLOOKUP('Données projet'!$B$17,Paramètres!$A$1:$I$89,3,0)*0.475*44/12</f>
        <v>1.8157492520918094E-14</v>
      </c>
      <c r="GO171" s="21">
        <f t="shared" si="187"/>
        <v>19.907755630738187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69.246663365478497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-4.5474735088646412E-13</v>
      </c>
      <c r="GV171" s="17">
        <f>GU171*VLOOKUP('Données projet'!$B$18,Paramètres!$A$1:$I$89,3,0)*VLOOKUP('Données projet'!$B$18,Paramètres!$A$1:$I$89,5,0)</f>
        <v>-3.0504452297464016E-13</v>
      </c>
      <c r="GW171" s="13" t="e">
        <f t="shared" si="188"/>
        <v>#NUM!</v>
      </c>
      <c r="GX171" s="20" t="e">
        <f t="shared" si="189"/>
        <v>#NUM!</v>
      </c>
      <c r="GY171" s="59" t="e">
        <f t="shared" si="137"/>
        <v>#NUM!</v>
      </c>
      <c r="GZ171" s="59">
        <f ca="1">AVERAGE(OFFSET($GY$3,0,0,'Données projet'!$E$18+1,1))-AVERAGE(OFFSET($H$3,0,0,'Données projet'!$E$18+1,1))</f>
        <v>542.25674729323623</v>
      </c>
      <c r="HA171" s="59">
        <f t="shared" si="160"/>
        <v>614.73906555680685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109.47323844757324</v>
      </c>
      <c r="HH171" s="21">
        <f>EXP(-LN(2)/25)*HH170+(1-EXP(-LN(2)/25))/(LN(2)/25)*Calculateur!HC171*Calculateur!HE171*VLOOKUP('Données projet'!$B$18,Paramètres!$A$1:$I$89,3,0)*0.475*44/12</f>
        <v>0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109.47323844757324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2.8499999999999996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10.449999999999998</v>
      </c>
      <c r="H172" s="67">
        <f t="shared" si="110"/>
        <v>214.86666666666667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69.259732071879057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-1.0231815394945443E-12</v>
      </c>
      <c r="O172" s="13">
        <f>N172*VLOOKUP('Données projet'!$B$9,Paramètres!$A$1:$I$89,3,0)*VLOOKUP('Données projet'!$B$9,Paramètres!$A$1:$I$89,5,0)</f>
        <v>-8.9385139290243408E-13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686.80970545599644</v>
      </c>
      <c r="T172" s="59">
        <f t="shared" si="142"/>
        <v>636.16485232937737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29.790155198790107</v>
      </c>
      <c r="AA172" s="21">
        <f>EXP(-LN(2)/25)*AA171+(1-EXP(-LN(2)/25))/(LN(2)/25)*Calculateur!V172*Calculateur!X172*VLOOKUP('Données projet'!$B$9,Paramètres!$A$1:$I$89,3,0)*0.475*44/12</f>
        <v>1.9349396748450471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31.725094873635154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69.259732071879057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1.1368683772161603E-13</v>
      </c>
      <c r="AJ172" s="13">
        <f>AI172*VLOOKUP('Données projet'!$B$10,Paramètres!$A$1:$I$89,3,0)*VLOOKUP('Données projet'!$B$10,Paramètres!$A$1:$I$89,5,0)</f>
        <v>1.0286385077051818E-13</v>
      </c>
      <c r="AK172" s="13">
        <f t="shared" si="164"/>
        <v>1.5402366592183556E-12</v>
      </c>
      <c r="AL172" s="20">
        <f t="shared" si="165"/>
        <v>2.8617333882306215E-12</v>
      </c>
      <c r="AM172" s="59">
        <f t="shared" si="113"/>
        <v>290.61901759689272</v>
      </c>
      <c r="AN172" s="59">
        <f ca="1">AVERAGE(OFFSET($AM$3,0,0,'Données projet'!$E$10+1,1))-AVERAGE(OFFSET($H$3,0,0,'Données projet'!$E$10+1,1))</f>
        <v>323.67375363913726</v>
      </c>
      <c r="AO172" s="59">
        <f t="shared" si="144"/>
        <v>266.03902815735029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26.12411977557338</v>
      </c>
      <c r="AV172" s="21">
        <f>EXP(-LN(2)/25)*AV171+(1-EXP(-LN(2)/25))/(LN(2)/25)*Calculateur!AQ172*Calculateur!AS172*VLOOKUP('Données projet'!$B$10,Paramètres!$A$1:$I$89,3,0)*0.475*44/12</f>
        <v>4.466552544519236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30.590672320092615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69.259732071879057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371.46495716091965</v>
      </c>
      <c r="BJ172" s="59">
        <f t="shared" si="146"/>
        <v>579.95059529269417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19.064064128953234</v>
      </c>
      <c r="BQ172" s="21">
        <f>EXP(-LN(2)/25)*BQ171+(1-EXP(-LN(2)/25))/(LN(2)/25)*Calculateur!BL172*Calculateur!BN172*VLOOKUP('Données projet'!$B$11,Paramètres!$A$1:$I$89,3,0)*0.475*44/12</f>
        <v>2.2135435043940603</v>
      </c>
      <c r="BR172" s="21">
        <f>EXP(-LN(2)/2)*BR171+(1-EXP(-LN(2)/2))/(LN(2)/2)*BL172*BO172*VLOOKUP('Données projet'!$B$11,Paramètres!$A$1:$I$89,3,0)*0.475*44/12</f>
        <v>8.4203161498130272E-18</v>
      </c>
      <c r="BS172" s="22">
        <f t="shared" si="169"/>
        <v>21.277607633347294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69.259732071879057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180.18752244216969</v>
      </c>
      <c r="CE172" s="59">
        <f t="shared" si="148"/>
        <v>350.12096474554676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23.02007562612625</v>
      </c>
      <c r="CL172" s="21">
        <f>EXP(-LN(2)/25)*CL171+(1-EXP(-LN(2)/25))/(LN(2)/25)*Calculateur!CG172*Calculateur!CI172*VLOOKUP('Données projet'!$B$12,Paramètres!$A$1:$I$89,3,0)*0.475*44/12</f>
        <v>3.9466977201407394</v>
      </c>
      <c r="CM172" s="21">
        <f>EXP(-LN(2)/2)*CM171+(1-EXP(-LN(2)/2))/(LN(2)/2)*CG172*CJ172*VLOOKUP('Données projet'!$B$12,Paramètres!$A$1:$I$89,3,0)*0.475*44/12</f>
        <v>6.3973273331531994E-18</v>
      </c>
      <c r="CN172" s="22">
        <f t="shared" si="172"/>
        <v>26.96677334626699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69.259732071879057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5.6843418860808015E-14</v>
      </c>
      <c r="CU172" s="17">
        <f>CT172*VLOOKUP('Données projet'!$B$13,Paramètres!$A$1:$I$89,3,0)*VLOOKUP('Données projet'!$B$13,Paramètres!$A$1:$I$89,5,0)</f>
        <v>4.5224624045658861E-14</v>
      </c>
      <c r="CV172" s="13">
        <f t="shared" si="173"/>
        <v>7.4514601661523691E-13</v>
      </c>
      <c r="CW172" s="20">
        <f t="shared" si="174"/>
        <v>1.3765621991510601E-12</v>
      </c>
      <c r="CX172" s="59">
        <f t="shared" si="122"/>
        <v>290.61901759689124</v>
      </c>
      <c r="CY172" s="59">
        <f ca="1">AVERAGE(OFFSET($CX$3,0,0,'Données projet'!$E$13+1,1))-AVERAGE(OFFSET($H$3,0,0,'Données projet'!$E$13+1,1))</f>
        <v>284.31574332240928</v>
      </c>
      <c r="CZ172" s="59">
        <f t="shared" si="150"/>
        <v>403.96994631683913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96.937301740988531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96.937301740988531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69.259732071879057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190.9519472160006</v>
      </c>
      <c r="DU172" s="59">
        <f t="shared" si="152"/>
        <v>170.61553500287511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20.75654317913353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20.75654317913353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69.259732071879057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>
        <f>EJ172*VLOOKUP('Données projet'!$B$15,Paramètres!$A$1:$I$89,3,0)*VLOOKUP('Données projet'!$B$15,Paramètres!$A$1:$I$89,5,0)</f>
        <v>0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331.94255128154623</v>
      </c>
      <c r="EP172" s="59">
        <f t="shared" si="154"/>
        <v>258.40809812013964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265.20337359267785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265.20337359267785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69.259732071879057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>
        <f>FE172*VLOOKUP('Données projet'!$B$16,Paramètres!$A$1:$I$89,3,0)*VLOOKUP('Données projet'!$B$16,Paramètres!$A$1:$I$89,5,0)</f>
        <v>0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290.72311302449236</v>
      </c>
      <c r="FK172" s="59">
        <f t="shared" si="156"/>
        <v>352.32552988394434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79.784985580221658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79.784985580221658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69.259732071879057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>
        <f>FZ172*VLOOKUP('Données projet'!$B$17,Paramètres!$A$1:$I$89,3,0)*VLOOKUP('Données projet'!$B$17,Paramètres!$A$1:$I$89,5,0)</f>
        <v>0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123.03972959251965</v>
      </c>
      <c r="GF172" s="59">
        <f t="shared" si="158"/>
        <v>178.27657680839445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17.3417426229691</v>
      </c>
      <c r="GM172" s="21">
        <f>EXP(-LN(2)/25)*GM171+(1-EXP(-LN(2)/25))/(LN(2)/25)*Calculateur!GH172*Calculateur!GJ172*VLOOKUP('Données projet'!$B$17,Paramètres!$A$1:$I$89,3,0)*0.475*44/12</f>
        <v>2.1584674649880444</v>
      </c>
      <c r="GN172" s="21">
        <f>EXP(-LN(2)/2)*GN171+(1-EXP(-LN(2)/2))/(LN(2)/2)*GH172*GK172*VLOOKUP('Données projet'!$B$17,Paramètres!$A$1:$I$89,3,0)*0.475*44/12</f>
        <v>1.2839286090885204E-14</v>
      </c>
      <c r="GO172" s="21">
        <f t="shared" si="187"/>
        <v>19.500210087957157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69.259732071879057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-4.5474735088646412E-13</v>
      </c>
      <c r="GV172" s="17">
        <f>GU172*VLOOKUP('Données projet'!$B$18,Paramètres!$A$1:$I$89,3,0)*VLOOKUP('Données projet'!$B$18,Paramètres!$A$1:$I$89,5,0)</f>
        <v>-3.0504452297464016E-13</v>
      </c>
      <c r="GW172" s="13" t="e">
        <f t="shared" si="188"/>
        <v>#NUM!</v>
      </c>
      <c r="GX172" s="20" t="e">
        <f t="shared" si="189"/>
        <v>#NUM!</v>
      </c>
      <c r="GY172" s="59" t="e">
        <f t="shared" si="137"/>
        <v>#NUM!</v>
      </c>
      <c r="GZ172" s="59">
        <f ca="1">AVERAGE(OFFSET($GY$3,0,0,'Données projet'!$E$18+1,1))-AVERAGE(OFFSET($H$3,0,0,'Données projet'!$E$18+1,1))</f>
        <v>542.25674729323623</v>
      </c>
      <c r="HA172" s="59">
        <f t="shared" si="160"/>
        <v>614.73906555680685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107.32653501369859</v>
      </c>
      <c r="HH172" s="21">
        <f>EXP(-LN(2)/25)*HH171+(1-EXP(-LN(2)/25))/(LN(2)/25)*Calculateur!HC172*Calculateur!HE172*VLOOKUP('Données projet'!$B$18,Paramètres!$A$1:$I$89,3,0)*0.475*44/12</f>
        <v>0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107.32653501369859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2.8499999999999996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10.449999999999998</v>
      </c>
      <c r="H173" s="67">
        <f t="shared" si="110"/>
        <v>214.86666666666667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69.272574065440793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-1.0231815394945443E-12</v>
      </c>
      <c r="O173" s="13">
        <f>N173*VLOOKUP('Données projet'!$B$9,Paramètres!$A$1:$I$89,3,0)*VLOOKUP('Données projet'!$B$9,Paramètres!$A$1:$I$89,5,0)</f>
        <v>-8.9385139290243408E-13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686.80970545599644</v>
      </c>
      <c r="T173" s="59">
        <f t="shared" si="142"/>
        <v>636.16485232937737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29.205988425542344</v>
      </c>
      <c r="AA173" s="21">
        <f>EXP(-LN(2)/25)*AA172+(1-EXP(-LN(2)/25))/(LN(2)/25)*Calculateur!V173*Calculateur!X173*VLOOKUP('Données projet'!$B$9,Paramètres!$A$1:$I$89,3,0)*0.475*44/12</f>
        <v>1.8820286476823542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31.088017073224698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69.272574065440793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1.1368683772161603E-13</v>
      </c>
      <c r="AJ173" s="13">
        <f>AI173*VLOOKUP('Données projet'!$B$10,Paramètres!$A$1:$I$89,3,0)*VLOOKUP('Données projet'!$B$10,Paramètres!$A$1:$I$89,5,0)</f>
        <v>1.0286385077051818E-13</v>
      </c>
      <c r="AK173" s="13">
        <f t="shared" si="164"/>
        <v>1.5402366592183556E-12</v>
      </c>
      <c r="AL173" s="20">
        <f t="shared" si="165"/>
        <v>2.8617333882306215E-12</v>
      </c>
      <c r="AM173" s="59">
        <f t="shared" si="113"/>
        <v>290.66610490661907</v>
      </c>
      <c r="AN173" s="59">
        <f ca="1">AVERAGE(OFFSET($AM$3,0,0,'Données projet'!$E$10+1,1))-AVERAGE(OFFSET($H$3,0,0,'Données projet'!$E$10+1,1))</f>
        <v>323.67375363913726</v>
      </c>
      <c r="AO173" s="59">
        <f t="shared" si="144"/>
        <v>266.03902815735029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25.611841720914082</v>
      </c>
      <c r="AV173" s="21">
        <f>EXP(-LN(2)/25)*AV172+(1-EXP(-LN(2)/25))/(LN(2)/25)*Calculateur!AQ173*Calculateur!AS173*VLOOKUP('Données projet'!$B$10,Paramètres!$A$1:$I$89,3,0)*0.475*44/12</f>
        <v>4.3444144303035674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29.956256151217652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69.272574065440793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371.46495716091965</v>
      </c>
      <c r="BJ173" s="59">
        <f t="shared" si="146"/>
        <v>579.95059529269417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18.690229459315418</v>
      </c>
      <c r="BQ173" s="21">
        <f>EXP(-LN(2)/25)*BQ172+(1-EXP(-LN(2)/25))/(LN(2)/25)*Calculateur!BL173*Calculateur!BN173*VLOOKUP('Données projet'!$B$11,Paramètres!$A$1:$I$89,3,0)*0.475*44/12</f>
        <v>2.1530140408612111</v>
      </c>
      <c r="BR173" s="21">
        <f>EXP(-LN(2)/2)*BR172+(1-EXP(-LN(2)/2))/(LN(2)/2)*BL173*BO173*VLOOKUP('Données projet'!$B$11,Paramètres!$A$1:$I$89,3,0)*0.475*44/12</f>
        <v>5.9540626492673926E-18</v>
      </c>
      <c r="BS173" s="22">
        <f t="shared" si="169"/>
        <v>20.84324350017663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69.272574065440793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180.18752244216969</v>
      </c>
      <c r="CE173" s="59">
        <f t="shared" si="148"/>
        <v>350.12096474554676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22.568665983957626</v>
      </c>
      <c r="CL173" s="21">
        <f>EXP(-LN(2)/25)*CL172+(1-EXP(-LN(2)/25))/(LN(2)/25)*Calculateur!CG173*Calculateur!CI173*VLOOKUP('Données projet'!$B$12,Paramètres!$A$1:$I$89,3,0)*0.475*44/12</f>
        <v>3.8387750634356781</v>
      </c>
      <c r="CM173" s="21">
        <f>EXP(-LN(2)/2)*CM172+(1-EXP(-LN(2)/2))/(LN(2)/2)*CG173*CJ173*VLOOKUP('Données projet'!$B$12,Paramètres!$A$1:$I$89,3,0)*0.475*44/12</f>
        <v>4.523593538742679E-18</v>
      </c>
      <c r="CN173" s="22">
        <f t="shared" si="172"/>
        <v>26.407441047393306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69.272574065440793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5.6843418860808015E-14</v>
      </c>
      <c r="CU173" s="17">
        <f>CT173*VLOOKUP('Données projet'!$B$13,Paramètres!$A$1:$I$89,3,0)*VLOOKUP('Données projet'!$B$13,Paramètres!$A$1:$I$89,5,0)</f>
        <v>4.5224624045658861E-14</v>
      </c>
      <c r="CV173" s="13">
        <f t="shared" si="173"/>
        <v>7.4514601661523691E-13</v>
      </c>
      <c r="CW173" s="20">
        <f t="shared" si="174"/>
        <v>1.3765621991510601E-12</v>
      </c>
      <c r="CX173" s="59">
        <f t="shared" si="122"/>
        <v>290.66610490661759</v>
      </c>
      <c r="CY173" s="59">
        <f ca="1">AVERAGE(OFFSET($CX$3,0,0,'Données projet'!$E$13+1,1))-AVERAGE(OFFSET($H$3,0,0,'Données projet'!$E$13+1,1))</f>
        <v>284.31574332240928</v>
      </c>
      <c r="CZ173" s="59">
        <f t="shared" si="150"/>
        <v>403.96994631683913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95.036420379763612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95.036420379763612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69.272574065440793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190.9519472160006</v>
      </c>
      <c r="DU173" s="59">
        <f t="shared" si="152"/>
        <v>170.61553500287511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20.349520027631964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20.349520027631964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69.272574065440793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>
        <f>EJ173*VLOOKUP('Données projet'!$B$15,Paramètres!$A$1:$I$89,3,0)*VLOOKUP('Données projet'!$B$15,Paramètres!$A$1:$I$89,5,0)</f>
        <v>0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331.94255128154623</v>
      </c>
      <c r="EP173" s="59">
        <f t="shared" si="154"/>
        <v>258.40809812013964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260.00289719461102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260.00289719461102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69.272574065440793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>
        <f>FE173*VLOOKUP('Données projet'!$B$16,Paramètres!$A$1:$I$89,3,0)*VLOOKUP('Données projet'!$B$16,Paramètres!$A$1:$I$89,5,0)</f>
        <v>0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290.72311302449236</v>
      </c>
      <c r="FK173" s="59">
        <f t="shared" si="156"/>
        <v>352.32552988394434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78.220450677029547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78.220450677029547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69.272574065440793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>
        <f>FZ173*VLOOKUP('Données projet'!$B$17,Paramètres!$A$1:$I$89,3,0)*VLOOKUP('Données projet'!$B$17,Paramètres!$A$1:$I$89,5,0)</f>
        <v>0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123.03972959251965</v>
      </c>
      <c r="GF173" s="59">
        <f t="shared" si="158"/>
        <v>178.27657680839445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17.001681627551243</v>
      </c>
      <c r="GM173" s="21">
        <f>EXP(-LN(2)/25)*GM172+(1-EXP(-LN(2)/25))/(LN(2)/25)*Calculateur!GH173*Calculateur!GJ173*VLOOKUP('Données projet'!$B$17,Paramètres!$A$1:$I$89,3,0)*0.475*44/12</f>
        <v>2.0994440586490755</v>
      </c>
      <c r="GN173" s="21">
        <f>EXP(-LN(2)/2)*GN172+(1-EXP(-LN(2)/2))/(LN(2)/2)*GH173*GK173*VLOOKUP('Données projet'!$B$17,Paramètres!$A$1:$I$89,3,0)*0.475*44/12</f>
        <v>9.078746260459047E-15</v>
      </c>
      <c r="GO173" s="21">
        <f t="shared" si="187"/>
        <v>19.10112568620033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69.272574065440793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-4.5474735088646412E-13</v>
      </c>
      <c r="GV173" s="17">
        <f>GU173*VLOOKUP('Données projet'!$B$18,Paramètres!$A$1:$I$89,3,0)*VLOOKUP('Données projet'!$B$18,Paramètres!$A$1:$I$89,5,0)</f>
        <v>-3.0504452297464016E-13</v>
      </c>
      <c r="GW173" s="13" t="e">
        <f t="shared" si="188"/>
        <v>#NUM!</v>
      </c>
      <c r="GX173" s="20" t="e">
        <f t="shared" si="189"/>
        <v>#NUM!</v>
      </c>
      <c r="GY173" s="59" t="e">
        <f t="shared" si="137"/>
        <v>#NUM!</v>
      </c>
      <c r="GZ173" s="59">
        <f ca="1">AVERAGE(OFFSET($GY$3,0,0,'Données projet'!$E$18+1,1))-AVERAGE(OFFSET($H$3,0,0,'Données projet'!$E$18+1,1))</f>
        <v>542.25674729323623</v>
      </c>
      <c r="HA173" s="59">
        <f t="shared" si="160"/>
        <v>614.73906555680685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105.22192712480241</v>
      </c>
      <c r="HH173" s="21">
        <f>EXP(-LN(2)/25)*HH172+(1-EXP(-LN(2)/25))/(LN(2)/25)*Calculateur!HC173*Calculateur!HE173*VLOOKUP('Données projet'!$B$18,Paramètres!$A$1:$I$89,3,0)*0.475*44/12</f>
        <v>0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105.22192712480241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2.8499999999999996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10.449999999999998</v>
      </c>
      <c r="H174" s="67">
        <f t="shared" si="110"/>
        <v>214.86666666666667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69.285193279124641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-1.0231815394945443E-12</v>
      </c>
      <c r="O174" s="13">
        <f>N174*VLOOKUP('Données projet'!$B$9,Paramètres!$A$1:$I$89,3,0)*VLOOKUP('Données projet'!$B$9,Paramètres!$A$1:$I$89,5,0)</f>
        <v>-8.9385139290243408E-13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686.80970545599644</v>
      </c>
      <c r="T174" s="59">
        <f t="shared" si="142"/>
        <v>636.16485232937737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28.633276806411423</v>
      </c>
      <c r="AA174" s="21">
        <f>EXP(-LN(2)/25)*AA173+(1-EXP(-LN(2)/25))/(LN(2)/25)*Calculateur!V174*Calculateur!X174*VLOOKUP('Données projet'!$B$9,Paramètres!$A$1:$I$89,3,0)*0.475*44/12</f>
        <v>1.8305644753398951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30.463841281751318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69.285193279124641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1.1368683772161603E-13</v>
      </c>
      <c r="AJ174" s="13">
        <f>AI174*VLOOKUP('Données projet'!$B$10,Paramètres!$A$1:$I$89,3,0)*VLOOKUP('Données projet'!$B$10,Paramètres!$A$1:$I$89,5,0)</f>
        <v>1.0286385077051818E-13</v>
      </c>
      <c r="AK174" s="13">
        <f t="shared" si="164"/>
        <v>1.5402366592183556E-12</v>
      </c>
      <c r="AL174" s="20">
        <f t="shared" si="165"/>
        <v>2.8617333882306215E-12</v>
      </c>
      <c r="AM174" s="59">
        <f t="shared" si="113"/>
        <v>290.71237535679319</v>
      </c>
      <c r="AN174" s="59">
        <f ca="1">AVERAGE(OFFSET($AM$3,0,0,'Données projet'!$E$10+1,1))-AVERAGE(OFFSET($H$3,0,0,'Données projet'!$E$10+1,1))</f>
        <v>323.67375363913726</v>
      </c>
      <c r="AO174" s="59">
        <f t="shared" si="144"/>
        <v>266.03902815735029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25.109609126447893</v>
      </c>
      <c r="AV174" s="21">
        <f>EXP(-LN(2)/25)*AV173+(1-EXP(-LN(2)/25))/(LN(2)/25)*Calculateur!AQ174*Calculateur!AS174*VLOOKUP('Données projet'!$B$10,Paramètres!$A$1:$I$89,3,0)*0.475*44/12</f>
        <v>4.2256161892440911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29.335225315691986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69.285193279124641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371.46495716091965</v>
      </c>
      <c r="BJ174" s="59">
        <f t="shared" si="146"/>
        <v>579.95059529269417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18.323725459532564</v>
      </c>
      <c r="BQ174" s="21">
        <f>EXP(-LN(2)/25)*BQ173+(1-EXP(-LN(2)/25))/(LN(2)/25)*Calculateur!BL174*Calculateur!BN174*VLOOKUP('Données projet'!$B$11,Paramètres!$A$1:$I$89,3,0)*0.475*44/12</f>
        <v>2.0941397586917736</v>
      </c>
      <c r="BR174" s="21">
        <f>EXP(-LN(2)/2)*BR173+(1-EXP(-LN(2)/2))/(LN(2)/2)*BL174*BO174*VLOOKUP('Données projet'!$B$11,Paramètres!$A$1:$I$89,3,0)*0.475*44/12</f>
        <v>4.2101580749065136E-18</v>
      </c>
      <c r="BS174" s="22">
        <f t="shared" si="169"/>
        <v>20.417865218224339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69.285193279124641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180.18752244216969</v>
      </c>
      <c r="CE174" s="59">
        <f t="shared" si="148"/>
        <v>350.12096474554676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22.126108209539233</v>
      </c>
      <c r="CL174" s="21">
        <f>EXP(-LN(2)/25)*CL173+(1-EXP(-LN(2)/25))/(LN(2)/25)*Calculateur!CG174*Calculateur!CI174*VLOOKUP('Données projet'!$B$12,Paramètres!$A$1:$I$89,3,0)*0.475*44/12</f>
        <v>3.7338035574536224</v>
      </c>
      <c r="CM174" s="21">
        <f>EXP(-LN(2)/2)*CM173+(1-EXP(-LN(2)/2))/(LN(2)/2)*CG174*CJ174*VLOOKUP('Données projet'!$B$12,Paramètres!$A$1:$I$89,3,0)*0.475*44/12</f>
        <v>3.1986636665765997E-18</v>
      </c>
      <c r="CN174" s="22">
        <f t="shared" si="172"/>
        <v>25.859911766992855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69.285193279124641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5.6843418860808015E-14</v>
      </c>
      <c r="CU174" s="17">
        <f>CT174*VLOOKUP('Données projet'!$B$13,Paramètres!$A$1:$I$89,3,0)*VLOOKUP('Données projet'!$B$13,Paramètres!$A$1:$I$89,5,0)</f>
        <v>4.5224624045658861E-14</v>
      </c>
      <c r="CV174" s="13">
        <f t="shared" si="173"/>
        <v>7.4514601661523691E-13</v>
      </c>
      <c r="CW174" s="20">
        <f t="shared" si="174"/>
        <v>1.3765621991510601E-12</v>
      </c>
      <c r="CX174" s="59">
        <f t="shared" si="122"/>
        <v>290.71237535679171</v>
      </c>
      <c r="CY174" s="59">
        <f ca="1">AVERAGE(OFFSET($CX$3,0,0,'Données projet'!$E$13+1,1))-AVERAGE(OFFSET($H$3,0,0,'Données projet'!$E$13+1,1))</f>
        <v>284.31574332240928</v>
      </c>
      <c r="CZ174" s="59">
        <f t="shared" si="150"/>
        <v>403.96994631683913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93.17281414260917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93.17281414260917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69.285193279124641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190.9519472160006</v>
      </c>
      <c r="DU174" s="59">
        <f t="shared" si="152"/>
        <v>170.61553500287511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19.950478351871737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19.950478351871737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69.285193279124641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>
        <f>EJ174*VLOOKUP('Données projet'!$B$15,Paramètres!$A$1:$I$89,3,0)*VLOOKUP('Données projet'!$B$15,Paramètres!$A$1:$I$89,5,0)</f>
        <v>0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331.94255128154623</v>
      </c>
      <c r="EP174" s="59">
        <f t="shared" si="154"/>
        <v>258.40809812013964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254.90439896673291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254.90439896673291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69.285193279124641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>
        <f>FE174*VLOOKUP('Données projet'!$B$16,Paramètres!$A$1:$I$89,3,0)*VLOOKUP('Données projet'!$B$16,Paramètres!$A$1:$I$89,5,0)</f>
        <v>0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290.72311302449236</v>
      </c>
      <c r="FK174" s="59">
        <f t="shared" si="156"/>
        <v>352.32552988394434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76.686595349016969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76.686595349016969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69.285193279124641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>
        <f>FZ174*VLOOKUP('Données projet'!$B$17,Paramètres!$A$1:$I$89,3,0)*VLOOKUP('Données projet'!$B$17,Paramètres!$A$1:$I$89,5,0)</f>
        <v>0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123.03972959251965</v>
      </c>
      <c r="GF174" s="59">
        <f t="shared" si="158"/>
        <v>178.27657680839445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16.668289020836802</v>
      </c>
      <c r="GM174" s="21">
        <f>EXP(-LN(2)/25)*GM173+(1-EXP(-LN(2)/25))/(LN(2)/25)*Calculateur!GH174*Calculateur!GJ174*VLOOKUP('Données projet'!$B$17,Paramètres!$A$1:$I$89,3,0)*0.475*44/12</f>
        <v>2.0420346504603519</v>
      </c>
      <c r="GN174" s="21">
        <f>EXP(-LN(2)/2)*GN173+(1-EXP(-LN(2)/2))/(LN(2)/2)*GH174*GK174*VLOOKUP('Données projet'!$B$17,Paramètres!$A$1:$I$89,3,0)*0.475*44/12</f>
        <v>6.419643045442602E-15</v>
      </c>
      <c r="GO174" s="21">
        <f t="shared" si="187"/>
        <v>18.710323671297161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69.285193279124641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-4.5474735088646412E-13</v>
      </c>
      <c r="GV174" s="17">
        <f>GU174*VLOOKUP('Données projet'!$B$18,Paramètres!$A$1:$I$89,3,0)*VLOOKUP('Données projet'!$B$18,Paramètres!$A$1:$I$89,5,0)</f>
        <v>-3.0504452297464016E-13</v>
      </c>
      <c r="GW174" s="13" t="e">
        <f t="shared" si="188"/>
        <v>#NUM!</v>
      </c>
      <c r="GX174" s="20" t="e">
        <f t="shared" si="189"/>
        <v>#NUM!</v>
      </c>
      <c r="GY174" s="59" t="e">
        <f t="shared" si="137"/>
        <v>#NUM!</v>
      </c>
      <c r="GZ174" s="59">
        <f ca="1">AVERAGE(OFFSET($GY$3,0,0,'Données projet'!$E$18+1,1))-AVERAGE(OFFSET($H$3,0,0,'Données projet'!$E$18+1,1))</f>
        <v>542.25674729323623</v>
      </c>
      <c r="HA174" s="59">
        <f t="shared" si="160"/>
        <v>614.73906555680685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103.15858931292343</v>
      </c>
      <c r="HH174" s="21">
        <f>EXP(-LN(2)/25)*HH173+(1-EXP(-LN(2)/25))/(LN(2)/25)*Calculateur!HC174*Calculateur!HE174*VLOOKUP('Données projet'!$B$18,Paramètres!$A$1:$I$89,3,0)*0.475*44/12</f>
        <v>0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103.15858931292343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2.8499999999999996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10.449999999999998</v>
      </c>
      <c r="H175" s="67">
        <f t="shared" si="110"/>
        <v>214.86666666666667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69.297593577663406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-1.0231815394945443E-12</v>
      </c>
      <c r="O175" s="13">
        <f>N175*VLOOKUP('Données projet'!$B$9,Paramètres!$A$1:$I$89,3,0)*VLOOKUP('Données projet'!$B$9,Paramètres!$A$1:$I$89,5,0)</f>
        <v>-8.9385139290243408E-13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686.80970545599644</v>
      </c>
      <c r="T175" s="59">
        <f t="shared" si="142"/>
        <v>636.16485232937737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28.071795712812065</v>
      </c>
      <c r="AA175" s="21">
        <f>EXP(-LN(2)/25)*AA174+(1-EXP(-LN(2)/25))/(LN(2)/25)*Calculateur!V175*Calculateur!X175*VLOOKUP('Données projet'!$B$9,Paramètres!$A$1:$I$89,3,0)*0.475*44/12</f>
        <v>1.7805075934965238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29.852303306308588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69.297593577663406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1.1368683772161603E-13</v>
      </c>
      <c r="AJ175" s="13">
        <f>AI175*VLOOKUP('Données projet'!$B$10,Paramètres!$A$1:$I$89,3,0)*VLOOKUP('Données projet'!$B$10,Paramètres!$A$1:$I$89,5,0)</f>
        <v>1.0286385077051818E-13</v>
      </c>
      <c r="AK175" s="13">
        <f t="shared" si="164"/>
        <v>1.5402366592183556E-12</v>
      </c>
      <c r="AL175" s="20">
        <f t="shared" si="165"/>
        <v>2.8617333882306215E-12</v>
      </c>
      <c r="AM175" s="59">
        <f t="shared" si="113"/>
        <v>290.75784311810202</v>
      </c>
      <c r="AN175" s="59">
        <f ca="1">AVERAGE(OFFSET($AM$3,0,0,'Données projet'!$E$10+1,1))-AVERAGE(OFFSET($H$3,0,0,'Données projet'!$E$10+1,1))</f>
        <v>323.67375363913726</v>
      </c>
      <c r="AO175" s="59">
        <f t="shared" si="144"/>
        <v>266.03902815735029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24.617225006827553</v>
      </c>
      <c r="AV175" s="21">
        <f>EXP(-LN(2)/25)*AV174+(1-EXP(-LN(2)/25))/(LN(2)/25)*Calculateur!AQ175*Calculateur!AS175*VLOOKUP('Données projet'!$B$10,Paramètres!$A$1:$I$89,3,0)*0.475*44/12</f>
        <v>4.110066492333714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28.727291499161268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69.297593577663406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371.46495716091965</v>
      </c>
      <c r="BJ175" s="59">
        <f t="shared" si="146"/>
        <v>579.95059529269417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17.964408379640087</v>
      </c>
      <c r="BQ175" s="21">
        <f>EXP(-LN(2)/25)*BQ174+(1-EXP(-LN(2)/25))/(LN(2)/25)*Calculateur!BL175*Calculateur!BN175*VLOOKUP('Données projet'!$B$11,Paramètres!$A$1:$I$89,3,0)*0.475*44/12</f>
        <v>2.0368753968643234</v>
      </c>
      <c r="BR175" s="21">
        <f>EXP(-LN(2)/2)*BR174+(1-EXP(-LN(2)/2))/(LN(2)/2)*BL175*BO175*VLOOKUP('Données projet'!$B$11,Paramètres!$A$1:$I$89,3,0)*0.475*44/12</f>
        <v>2.9770313246336963E-18</v>
      </c>
      <c r="BS175" s="22">
        <f t="shared" si="169"/>
        <v>20.001283776504412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69.297593577663406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180.18752244216969</v>
      </c>
      <c r="CE175" s="59">
        <f t="shared" si="148"/>
        <v>350.12096474554676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21.692228723143597</v>
      </c>
      <c r="CL175" s="21">
        <f>EXP(-LN(2)/25)*CL174+(1-EXP(-LN(2)/25))/(LN(2)/25)*Calculateur!CG175*Calculateur!CI175*VLOOKUP('Données projet'!$B$12,Paramètres!$A$1:$I$89,3,0)*0.475*44/12</f>
        <v>3.6317025028228578</v>
      </c>
      <c r="CM175" s="21">
        <f>EXP(-LN(2)/2)*CM174+(1-EXP(-LN(2)/2))/(LN(2)/2)*CG175*CJ175*VLOOKUP('Données projet'!$B$12,Paramètres!$A$1:$I$89,3,0)*0.475*44/12</f>
        <v>2.2617967693713395E-18</v>
      </c>
      <c r="CN175" s="22">
        <f t="shared" si="172"/>
        <v>25.323931225966454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69.297593577663406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5.6843418860808015E-14</v>
      </c>
      <c r="CU175" s="17">
        <f>CT175*VLOOKUP('Données projet'!$B$13,Paramètres!$A$1:$I$89,3,0)*VLOOKUP('Données projet'!$B$13,Paramètres!$A$1:$I$89,5,0)</f>
        <v>4.5224624045658861E-14</v>
      </c>
      <c r="CV175" s="13">
        <f t="shared" si="173"/>
        <v>7.4514601661523691E-13</v>
      </c>
      <c r="CW175" s="20">
        <f t="shared" si="174"/>
        <v>1.3765621991510601E-12</v>
      </c>
      <c r="CX175" s="59">
        <f t="shared" si="122"/>
        <v>290.75784311810054</v>
      </c>
      <c r="CY175" s="59">
        <f ca="1">AVERAGE(OFFSET($CX$3,0,0,'Données projet'!$E$13+1,1))-AVERAGE(OFFSET($H$3,0,0,'Données projet'!$E$13+1,1))</f>
        <v>284.31574332240928</v>
      </c>
      <c r="CZ175" s="59">
        <f t="shared" si="150"/>
        <v>403.96994631683913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91.345752087077756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91.345752087077756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69.297593577663406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190.9519472160006</v>
      </c>
      <c r="DU175" s="59">
        <f t="shared" si="152"/>
        <v>170.61553500287511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19.559261639981777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19.559261639981777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69.297593577663406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>
        <f>EJ175*VLOOKUP('Données projet'!$B$15,Paramètres!$A$1:$I$89,3,0)*VLOOKUP('Données projet'!$B$15,Paramètres!$A$1:$I$89,5,0)</f>
        <v>0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331.94255128154623</v>
      </c>
      <c r="EP175" s="59">
        <f t="shared" si="154"/>
        <v>258.40809812013964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249.90587917932663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249.90587917932663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69.297593577663406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>
        <f>FE175*VLOOKUP('Données projet'!$B$16,Paramètres!$A$1:$I$89,3,0)*VLOOKUP('Données projet'!$B$16,Paramètres!$A$1:$I$89,5,0)</f>
        <v>0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290.72311302449236</v>
      </c>
      <c r="FK175" s="59">
        <f t="shared" si="156"/>
        <v>352.32552988394434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75.182817988427345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75.182817988427345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69.297593577663406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>
        <f>FZ175*VLOOKUP('Données projet'!$B$17,Paramètres!$A$1:$I$89,3,0)*VLOOKUP('Données projet'!$B$17,Paramètres!$A$1:$I$89,5,0)</f>
        <v>0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123.03972959251965</v>
      </c>
      <c r="GF175" s="59">
        <f t="shared" si="158"/>
        <v>178.27657680839445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16.34143403979062</v>
      </c>
      <c r="GM175" s="21">
        <f>EXP(-LN(2)/25)*GM174+(1-EXP(-LN(2)/25))/(LN(2)/25)*Calculateur!GH175*Calculateur!GJ175*VLOOKUP('Données projet'!$B$17,Paramètres!$A$1:$I$89,3,0)*0.475*44/12</f>
        <v>1.9861951055575784</v>
      </c>
      <c r="GN175" s="21">
        <f>EXP(-LN(2)/2)*GN174+(1-EXP(-LN(2)/2))/(LN(2)/2)*GH175*GK175*VLOOKUP('Données projet'!$B$17,Paramètres!$A$1:$I$89,3,0)*0.475*44/12</f>
        <v>4.5393731302295235E-15</v>
      </c>
      <c r="GO175" s="21">
        <f t="shared" si="187"/>
        <v>18.327629145348201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69.297593577663406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-4.5474735088646412E-13</v>
      </c>
      <c r="GV175" s="17">
        <f>GU175*VLOOKUP('Données projet'!$B$18,Paramètres!$A$1:$I$89,3,0)*VLOOKUP('Données projet'!$B$18,Paramètres!$A$1:$I$89,5,0)</f>
        <v>-3.0504452297464016E-13</v>
      </c>
      <c r="GW175" s="13" t="e">
        <f t="shared" si="188"/>
        <v>#NUM!</v>
      </c>
      <c r="GX175" s="20" t="e">
        <f t="shared" si="189"/>
        <v>#NUM!</v>
      </c>
      <c r="GY175" s="59" t="e">
        <f t="shared" si="137"/>
        <v>#NUM!</v>
      </c>
      <c r="GZ175" s="59">
        <f ca="1">AVERAGE(OFFSET($GY$3,0,0,'Données projet'!$E$18+1,1))-AVERAGE(OFFSET($H$3,0,0,'Données projet'!$E$18+1,1))</f>
        <v>542.25674729323623</v>
      </c>
      <c r="HA175" s="59">
        <f t="shared" si="160"/>
        <v>614.73906555680685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101.13571229702359</v>
      </c>
      <c r="HH175" s="21">
        <f>EXP(-LN(2)/25)*HH174+(1-EXP(-LN(2)/25))/(LN(2)/25)*Calculateur!HC175*Calculateur!HE175*VLOOKUP('Données projet'!$B$18,Paramètres!$A$1:$I$89,3,0)*0.475*44/12</f>
        <v>0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101.13571229702359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2.8499999999999996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10.449999999999998</v>
      </c>
      <c r="H176" s="67">
        <f t="shared" si="110"/>
        <v>214.86666666666667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69.309778758745438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-1.0231815394945443E-12</v>
      </c>
      <c r="O176" s="13">
        <f>N176*VLOOKUP('Données projet'!$B$9,Paramètres!$A$1:$I$89,3,0)*VLOOKUP('Données projet'!$B$9,Paramètres!$A$1:$I$89,5,0)</f>
        <v>-8.9385139290243408E-13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686.80970545599644</v>
      </c>
      <c r="T176" s="59">
        <f t="shared" si="142"/>
        <v>636.16485232937737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27.521324920988537</v>
      </c>
      <c r="AA176" s="21">
        <f>EXP(-LN(2)/25)*AA175+(1-EXP(-LN(2)/25))/(LN(2)/25)*Calculateur!V176*Calculateur!X176*VLOOKUP('Données projet'!$B$9,Paramètres!$A$1:$I$89,3,0)*0.475*44/12</f>
        <v>1.7318195197195363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29.253144440708073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69.309778758745438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1.1368683772161603E-13</v>
      </c>
      <c r="AJ176" s="13">
        <f>AI176*VLOOKUP('Données projet'!$B$10,Paramètres!$A$1:$I$89,3,0)*VLOOKUP('Données projet'!$B$10,Paramètres!$A$1:$I$89,5,0)</f>
        <v>1.0286385077051818E-13</v>
      </c>
      <c r="AK176" s="13">
        <f t="shared" si="164"/>
        <v>1.5402366592183556E-12</v>
      </c>
      <c r="AL176" s="20">
        <f t="shared" si="165"/>
        <v>2.8617333882306215E-12</v>
      </c>
      <c r="AM176" s="59">
        <f t="shared" si="113"/>
        <v>290.80252211540278</v>
      </c>
      <c r="AN176" s="59">
        <f ca="1">AVERAGE(OFFSET($AM$3,0,0,'Données projet'!$E$10+1,1))-AVERAGE(OFFSET($H$3,0,0,'Données projet'!$E$10+1,1))</f>
        <v>323.67375363913726</v>
      </c>
      <c r="AO176" s="59">
        <f t="shared" si="144"/>
        <v>266.03902815735029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24.134496239468309</v>
      </c>
      <c r="AV176" s="21">
        <f>EXP(-LN(2)/25)*AV175+(1-EXP(-LN(2)/25))/(LN(2)/25)*Calculateur!AQ176*Calculateur!AS176*VLOOKUP('Données projet'!$B$10,Paramètres!$A$1:$I$89,3,0)*0.475*44/12</f>
        <v>3.9976765079618453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28.132172747430154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69.309778758745438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371.46495716091965</v>
      </c>
      <c r="BJ176" s="59">
        <f t="shared" si="146"/>
        <v>579.95059529269417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17.612137288522522</v>
      </c>
      <c r="BQ176" s="21">
        <f>EXP(-LN(2)/25)*BQ175+(1-EXP(-LN(2)/25))/(LN(2)/25)*Calculateur!BL176*Calculateur!BN176*VLOOKUP('Données projet'!$B$11,Paramètres!$A$1:$I$89,3,0)*0.475*44/12</f>
        <v>1.9811769320224466</v>
      </c>
      <c r="BR176" s="21">
        <f>EXP(-LN(2)/2)*BR175+(1-EXP(-LN(2)/2))/(LN(2)/2)*BL176*BO176*VLOOKUP('Données projet'!$B$11,Paramètres!$A$1:$I$89,3,0)*0.475*44/12</f>
        <v>2.1050790374532568E-18</v>
      </c>
      <c r="BS176" s="22">
        <f t="shared" si="169"/>
        <v>19.593314220544968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69.309778758745438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180.18752244216969</v>
      </c>
      <c r="CE176" s="59">
        <f t="shared" si="148"/>
        <v>350.12096474554676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21.266857348835824</v>
      </c>
      <c r="CL176" s="21">
        <f>EXP(-LN(2)/25)*CL175+(1-EXP(-LN(2)/25))/(LN(2)/25)*Calculateur!CG176*Calculateur!CI176*VLOOKUP('Données projet'!$B$12,Paramètres!$A$1:$I$89,3,0)*0.475*44/12</f>
        <v>3.5323934069002325</v>
      </c>
      <c r="CM176" s="21">
        <f>EXP(-LN(2)/2)*CM175+(1-EXP(-LN(2)/2))/(LN(2)/2)*CG176*CJ176*VLOOKUP('Données projet'!$B$12,Paramètres!$A$1:$I$89,3,0)*0.475*44/12</f>
        <v>1.5993318332882999E-18</v>
      </c>
      <c r="CN176" s="22">
        <f t="shared" si="172"/>
        <v>24.799250755736058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69.309778758745438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5.6843418860808015E-14</v>
      </c>
      <c r="CU176" s="17">
        <f>CT176*VLOOKUP('Données projet'!$B$13,Paramètres!$A$1:$I$89,3,0)*VLOOKUP('Données projet'!$B$13,Paramètres!$A$1:$I$89,5,0)</f>
        <v>4.5224624045658861E-14</v>
      </c>
      <c r="CV176" s="13">
        <f t="shared" si="173"/>
        <v>7.4514601661523691E-13</v>
      </c>
      <c r="CW176" s="20">
        <f t="shared" si="174"/>
        <v>1.3765621991510601E-12</v>
      </c>
      <c r="CX176" s="59">
        <f t="shared" si="122"/>
        <v>290.8025221154013</v>
      </c>
      <c r="CY176" s="59">
        <f ca="1">AVERAGE(OFFSET($CX$3,0,0,'Données projet'!$E$13+1,1))-AVERAGE(OFFSET($H$3,0,0,'Données projet'!$E$13+1,1))</f>
        <v>284.31574332240928</v>
      </c>
      <c r="CZ176" s="59">
        <f t="shared" si="150"/>
        <v>403.96994631683913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89.554517604057494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89.554517604057494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69.309778758745438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190.9519472160006</v>
      </c>
      <c r="DU176" s="59">
        <f t="shared" si="152"/>
        <v>170.61553500287511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19.175716449193349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19.175716449193349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69.309778758745438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>
        <f>EJ176*VLOOKUP('Données projet'!$B$15,Paramètres!$A$1:$I$89,3,0)*VLOOKUP('Données projet'!$B$15,Paramètres!$A$1:$I$89,5,0)</f>
        <v>0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331.94255128154623</v>
      </c>
      <c r="EP176" s="59">
        <f t="shared" si="154"/>
        <v>258.40809812013964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245.00537731615537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245.00537731615537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69.309778758745438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>
        <f>FE176*VLOOKUP('Données projet'!$B$16,Paramètres!$A$1:$I$89,3,0)*VLOOKUP('Données projet'!$B$16,Paramètres!$A$1:$I$89,5,0)</f>
        <v>0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290.72311302449236</v>
      </c>
      <c r="FK176" s="59">
        <f t="shared" si="156"/>
        <v>352.32552988394434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73.708528784665262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73.708528784665262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69.309778758745438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>
        <f>FZ176*VLOOKUP('Données projet'!$B$17,Paramètres!$A$1:$I$89,3,0)*VLOOKUP('Données projet'!$B$17,Paramètres!$A$1:$I$89,5,0)</f>
        <v>0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123.03972959251965</v>
      </c>
      <c r="GF176" s="59">
        <f t="shared" si="158"/>
        <v>178.27657680839445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16.020988485560903</v>
      </c>
      <c r="GM176" s="21">
        <f>EXP(-LN(2)/25)*GM175+(1-EXP(-LN(2)/25))/(LN(2)/25)*Calculateur!GH176*Calculateur!GJ176*VLOOKUP('Données projet'!$B$17,Paramètres!$A$1:$I$89,3,0)*0.475*44/12</f>
        <v>1.9318824959466454</v>
      </c>
      <c r="GN176" s="21">
        <f>EXP(-LN(2)/2)*GN175+(1-EXP(-LN(2)/2))/(LN(2)/2)*GH176*GK176*VLOOKUP('Données projet'!$B$17,Paramètres!$A$1:$I$89,3,0)*0.475*44/12</f>
        <v>3.209821522721301E-15</v>
      </c>
      <c r="GO176" s="21">
        <f t="shared" si="187"/>
        <v>17.952870981507552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69.309778758745438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-4.5474735088646412E-13</v>
      </c>
      <c r="GV176" s="17">
        <f>GU176*VLOOKUP('Données projet'!$B$18,Paramètres!$A$1:$I$89,3,0)*VLOOKUP('Données projet'!$B$18,Paramètres!$A$1:$I$89,5,0)</f>
        <v>-3.0504452297464016E-13</v>
      </c>
      <c r="GW176" s="13" t="e">
        <f t="shared" si="188"/>
        <v>#NUM!</v>
      </c>
      <c r="GX176" s="20" t="e">
        <f t="shared" si="189"/>
        <v>#NUM!</v>
      </c>
      <c r="GY176" s="59" t="e">
        <f t="shared" si="137"/>
        <v>#NUM!</v>
      </c>
      <c r="GZ176" s="59">
        <f ca="1">AVERAGE(OFFSET($GY$3,0,0,'Données projet'!$E$18+1,1))-AVERAGE(OFFSET($H$3,0,0,'Données projet'!$E$18+1,1))</f>
        <v>542.25674729323623</v>
      </c>
      <c r="HA176" s="59">
        <f t="shared" si="160"/>
        <v>614.73906555680685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99.152502665572399</v>
      </c>
      <c r="HH176" s="21">
        <f>EXP(-LN(2)/25)*HH175+(1-EXP(-LN(2)/25))/(LN(2)/25)*Calculateur!HC176*Calculateur!HE176*VLOOKUP('Données projet'!$B$18,Paramètres!$A$1:$I$89,3,0)*0.475*44/12</f>
        <v>0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99.152502665572399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2.8499999999999996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10.449999999999998</v>
      </c>
      <c r="H177" s="67">
        <f t="shared" si="110"/>
        <v>214.86666666666667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69.321752554177692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-1.0231815394945443E-12</v>
      </c>
      <c r="O177" s="13">
        <f>N177*VLOOKUP('Données projet'!$B$9,Paramètres!$A$1:$I$89,3,0)*VLOOKUP('Données projet'!$B$9,Paramètres!$A$1:$I$89,5,0)</f>
        <v>-8.9385139290243408E-13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686.80970545599644</v>
      </c>
      <c r="T177" s="59">
        <f t="shared" si="142"/>
        <v>636.16485232937737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26.98164852563864</v>
      </c>
      <c r="AA177" s="21">
        <f>EXP(-LN(2)/25)*AA176+(1-EXP(-LN(2)/25))/(LN(2)/25)*Calculateur!V177*Calculateur!X177*VLOOKUP('Données projet'!$B$9,Paramètres!$A$1:$I$89,3,0)*0.475*44/12</f>
        <v>1.6844628238803752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28.666111349519014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69.321752554177692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1.1368683772161603E-13</v>
      </c>
      <c r="AJ177" s="13">
        <f>AI177*VLOOKUP('Données projet'!$B$10,Paramètres!$A$1:$I$89,3,0)*VLOOKUP('Données projet'!$B$10,Paramètres!$A$1:$I$89,5,0)</f>
        <v>1.0286385077051818E-13</v>
      </c>
      <c r="AK177" s="13">
        <f t="shared" si="164"/>
        <v>1.5402366592183556E-12</v>
      </c>
      <c r="AL177" s="20">
        <f t="shared" si="165"/>
        <v>2.8617333882306215E-12</v>
      </c>
      <c r="AM177" s="59">
        <f t="shared" si="113"/>
        <v>290.84642603198773</v>
      </c>
      <c r="AN177" s="59">
        <f ca="1">AVERAGE(OFFSET($AM$3,0,0,'Données projet'!$E$10+1,1))-AVERAGE(OFFSET($H$3,0,0,'Données projet'!$E$10+1,1))</f>
        <v>323.67375363913726</v>
      </c>
      <c r="AO177" s="59">
        <f t="shared" si="144"/>
        <v>266.03902815735029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23.661233488801503</v>
      </c>
      <c r="AV177" s="21">
        <f>EXP(-LN(2)/25)*AV176+(1-EXP(-LN(2)/25))/(LN(2)/25)*Calculateur!AQ177*Calculateur!AS177*VLOOKUP('Données projet'!$B$10,Paramètres!$A$1:$I$89,3,0)*0.475*44/12</f>
        <v>3.8883598336229577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27.54959332242446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69.321752554177692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371.46495716091965</v>
      </c>
      <c r="BJ177" s="59">
        <f t="shared" si="146"/>
        <v>579.95059529269417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17.266774018637623</v>
      </c>
      <c r="BQ177" s="21">
        <f>EXP(-LN(2)/25)*BQ176+(1-EXP(-LN(2)/25))/(LN(2)/25)*Calculateur!BL177*Calculateur!BN177*VLOOKUP('Données projet'!$B$11,Paramètres!$A$1:$I$89,3,0)*0.475*44/12</f>
        <v>1.927001544630726</v>
      </c>
      <c r="BR177" s="21">
        <f>EXP(-LN(2)/2)*BR176+(1-EXP(-LN(2)/2))/(LN(2)/2)*BL177*BO177*VLOOKUP('Données projet'!$B$11,Paramètres!$A$1:$I$89,3,0)*0.475*44/12</f>
        <v>1.4885156623168482E-18</v>
      </c>
      <c r="BS177" s="22">
        <f t="shared" si="169"/>
        <v>19.19377556326835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69.321752554177692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180.18752244216969</v>
      </c>
      <c r="CE177" s="59">
        <f t="shared" si="148"/>
        <v>350.12096474554676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20.849827247727308</v>
      </c>
      <c r="CL177" s="21">
        <f>EXP(-LN(2)/25)*CL176+(1-EXP(-LN(2)/25))/(LN(2)/25)*Calculateur!CG177*Calculateur!CI177*VLOOKUP('Données projet'!$B$12,Paramètres!$A$1:$I$89,3,0)*0.475*44/12</f>
        <v>3.4357999234280499</v>
      </c>
      <c r="CM177" s="21">
        <f>EXP(-LN(2)/2)*CM176+(1-EXP(-LN(2)/2))/(LN(2)/2)*CG177*CJ177*VLOOKUP('Données projet'!$B$12,Paramètres!$A$1:$I$89,3,0)*0.475*44/12</f>
        <v>1.1308983846856697E-18</v>
      </c>
      <c r="CN177" s="22">
        <f t="shared" si="172"/>
        <v>24.285627171155358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69.321752554177692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5.6843418860808015E-14</v>
      </c>
      <c r="CU177" s="17">
        <f>CT177*VLOOKUP('Données projet'!$B$13,Paramètres!$A$1:$I$89,3,0)*VLOOKUP('Données projet'!$B$13,Paramètres!$A$1:$I$89,5,0)</f>
        <v>4.5224624045658861E-14</v>
      </c>
      <c r="CV177" s="13">
        <f t="shared" si="173"/>
        <v>7.4514601661523691E-13</v>
      </c>
      <c r="CW177" s="20">
        <f t="shared" si="174"/>
        <v>1.3765621991510601E-12</v>
      </c>
      <c r="CX177" s="59">
        <f t="shared" si="122"/>
        <v>290.84642603198625</v>
      </c>
      <c r="CY177" s="59">
        <f ca="1">AVERAGE(OFFSET($CX$3,0,0,'Données projet'!$E$13+1,1))-AVERAGE(OFFSET($H$3,0,0,'Données projet'!$E$13+1,1))</f>
        <v>284.31574332240928</v>
      </c>
      <c r="CZ177" s="59">
        <f t="shared" si="150"/>
        <v>403.96994631683913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87.798408136704111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87.798408136704111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69.321752554177692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190.9519472160006</v>
      </c>
      <c r="DU177" s="59">
        <f t="shared" si="152"/>
        <v>170.61553500287511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18.799692345656815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18.799692345656815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69.321752554177692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>
        <f>EJ177*VLOOKUP('Données projet'!$B$15,Paramètres!$A$1:$I$89,3,0)*VLOOKUP('Données projet'!$B$15,Paramètres!$A$1:$I$89,5,0)</f>
        <v>0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331.94255128154623</v>
      </c>
      <c r="EP177" s="59">
        <f t="shared" si="154"/>
        <v>258.40809812013964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240.20097130550991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240.20097130550991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69.321752554177692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>
        <f>FE177*VLOOKUP('Données projet'!$B$16,Paramètres!$A$1:$I$89,3,0)*VLOOKUP('Données projet'!$B$16,Paramètres!$A$1:$I$89,5,0)</f>
        <v>0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290.72311302449236</v>
      </c>
      <c r="FK177" s="59">
        <f t="shared" si="156"/>
        <v>352.32552988394434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72.263149492961318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72.263149492961318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69.321752554177692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>
        <f>FZ177*VLOOKUP('Données projet'!$B$17,Paramètres!$A$1:$I$89,3,0)*VLOOKUP('Données projet'!$B$17,Paramètres!$A$1:$I$89,5,0)</f>
        <v>0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123.03972959251965</v>
      </c>
      <c r="GF177" s="59">
        <f t="shared" si="158"/>
        <v>178.27657680839445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15.70682667319714</v>
      </c>
      <c r="GM177" s="21">
        <f>EXP(-LN(2)/25)*GM176+(1-EXP(-LN(2)/25))/(LN(2)/25)*Calculateur!GH177*Calculateur!GJ177*VLOOKUP('Données projet'!$B$17,Paramètres!$A$1:$I$89,3,0)*0.475*44/12</f>
        <v>1.8790550675016993</v>
      </c>
      <c r="GN177" s="21">
        <f>EXP(-LN(2)/2)*GN176+(1-EXP(-LN(2)/2))/(LN(2)/2)*GH177*GK177*VLOOKUP('Données projet'!$B$17,Paramètres!$A$1:$I$89,3,0)*0.475*44/12</f>
        <v>2.2696865651147617E-15</v>
      </c>
      <c r="GO177" s="21">
        <f t="shared" si="187"/>
        <v>17.585881740698841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69.321752554177692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-4.5474735088646412E-13</v>
      </c>
      <c r="GV177" s="17">
        <f>GU177*VLOOKUP('Données projet'!$B$18,Paramètres!$A$1:$I$89,3,0)*VLOOKUP('Données projet'!$B$18,Paramètres!$A$1:$I$89,5,0)</f>
        <v>-3.0504452297464016E-13</v>
      </c>
      <c r="GW177" s="13" t="e">
        <f t="shared" si="188"/>
        <v>#NUM!</v>
      </c>
      <c r="GX177" s="20" t="e">
        <f t="shared" si="189"/>
        <v>#NUM!</v>
      </c>
      <c r="GY177" s="59" t="e">
        <f t="shared" si="137"/>
        <v>#NUM!</v>
      </c>
      <c r="GZ177" s="59">
        <f ca="1">AVERAGE(OFFSET($GY$3,0,0,'Données projet'!$E$18+1,1))-AVERAGE(OFFSET($H$3,0,0,'Données projet'!$E$18+1,1))</f>
        <v>542.25674729323623</v>
      </c>
      <c r="HA177" s="59">
        <f t="shared" si="160"/>
        <v>614.73906555680685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97.208182565355543</v>
      </c>
      <c r="HH177" s="21">
        <f>EXP(-LN(2)/25)*HH176+(1-EXP(-LN(2)/25))/(LN(2)/25)*Calculateur!HC177*Calculateur!HE177*VLOOKUP('Données projet'!$B$18,Paramètres!$A$1:$I$89,3,0)*0.475*44/12</f>
        <v>0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97.208182565355543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2.8499999999999996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10.449999999999998</v>
      </c>
      <c r="H178" s="67">
        <f t="shared" si="110"/>
        <v>214.86666666666667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69.333518631028568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-1.0231815394945443E-12</v>
      </c>
      <c r="O178" s="13">
        <f>N178*VLOOKUP('Données projet'!$B$9,Paramètres!$A$1:$I$89,3,0)*VLOOKUP('Données projet'!$B$9,Paramètres!$A$1:$I$89,5,0)</f>
        <v>-8.9385139290243408E-13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686.80970545599644</v>
      </c>
      <c r="T178" s="59">
        <f t="shared" si="142"/>
        <v>636.16485232937737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26.452554855231455</v>
      </c>
      <c r="AA178" s="21">
        <f>EXP(-LN(2)/25)*AA177+(1-EXP(-LN(2)/25))/(LN(2)/25)*Calculateur!V178*Calculateur!X178*VLOOKUP('Données projet'!$B$9,Paramètres!$A$1:$I$89,3,0)*0.475*44/12</f>
        <v>1.6384010993793163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28.09095595461077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69.333518631028568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1.1368683772161603E-13</v>
      </c>
      <c r="AJ178" s="13">
        <f>AI178*VLOOKUP('Données projet'!$B$10,Paramètres!$A$1:$I$89,3,0)*VLOOKUP('Données projet'!$B$10,Paramètres!$A$1:$I$89,5,0)</f>
        <v>1.0286385077051818E-13</v>
      </c>
      <c r="AK178" s="13">
        <f t="shared" si="164"/>
        <v>1.5402366592183556E-12</v>
      </c>
      <c r="AL178" s="20">
        <f t="shared" si="165"/>
        <v>2.8617333882306215E-12</v>
      </c>
      <c r="AM178" s="59">
        <f t="shared" si="113"/>
        <v>290.88956831377425</v>
      </c>
      <c r="AN178" s="59">
        <f ca="1">AVERAGE(OFFSET($AM$3,0,0,'Données projet'!$E$10+1,1))-AVERAGE(OFFSET($H$3,0,0,'Données projet'!$E$10+1,1))</f>
        <v>323.67375363913726</v>
      </c>
      <c r="AO178" s="59">
        <f t="shared" si="144"/>
        <v>266.03902815735029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23.197251132013498</v>
      </c>
      <c r="AV178" s="21">
        <f>EXP(-LN(2)/25)*AV177+(1-EXP(-LN(2)/25))/(LN(2)/25)*Calculateur!AQ178*Calculateur!AS178*VLOOKUP('Données projet'!$B$10,Paramètres!$A$1:$I$89,3,0)*0.475*44/12</f>
        <v>3.7820324294925811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26.97928356150608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69.333518631028568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371.46495716091965</v>
      </c>
      <c r="BJ178" s="59">
        <f t="shared" si="146"/>
        <v>579.95059529269417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16.928183111824371</v>
      </c>
      <c r="BQ178" s="21">
        <f>EXP(-LN(2)/25)*BQ177+(1-EXP(-LN(2)/25))/(LN(2)/25)*Calculateur!BL178*Calculateur!BN178*VLOOKUP('Données projet'!$B$11,Paramètres!$A$1:$I$89,3,0)*0.475*44/12</f>
        <v>1.8743075860561917</v>
      </c>
      <c r="BR178" s="21">
        <f>EXP(-LN(2)/2)*BR177+(1-EXP(-LN(2)/2))/(LN(2)/2)*BL178*BO178*VLOOKUP('Données projet'!$B$11,Paramètres!$A$1:$I$89,3,0)*0.475*44/12</f>
        <v>1.0525395187266284E-18</v>
      </c>
      <c r="BS178" s="22">
        <f t="shared" si="169"/>
        <v>18.802490697880561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69.333518631028568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180.18752244216969</v>
      </c>
      <c r="CE178" s="59">
        <f t="shared" si="148"/>
        <v>350.12096474554676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20.440974852538282</v>
      </c>
      <c r="CL178" s="21">
        <f>EXP(-LN(2)/25)*CL177+(1-EXP(-LN(2)/25))/(LN(2)/25)*Calculateur!CG178*Calculateur!CI178*VLOOKUP('Données projet'!$B$12,Paramètres!$A$1:$I$89,3,0)*0.475*44/12</f>
        <v>3.3418477938410445</v>
      </c>
      <c r="CM178" s="21">
        <f>EXP(-LN(2)/2)*CM177+(1-EXP(-LN(2)/2))/(LN(2)/2)*CG178*CJ178*VLOOKUP('Données projet'!$B$12,Paramètres!$A$1:$I$89,3,0)*0.475*44/12</f>
        <v>7.9966591664414993E-19</v>
      </c>
      <c r="CN178" s="22">
        <f t="shared" si="172"/>
        <v>23.782822646379326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69.333518631028568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5.6843418860808015E-14</v>
      </c>
      <c r="CU178" s="17">
        <f>CT178*VLOOKUP('Données projet'!$B$13,Paramètres!$A$1:$I$89,3,0)*VLOOKUP('Données projet'!$B$13,Paramètres!$A$1:$I$89,5,0)</f>
        <v>4.5224624045658861E-14</v>
      </c>
      <c r="CV178" s="13">
        <f t="shared" si="173"/>
        <v>7.4514601661523691E-13</v>
      </c>
      <c r="CW178" s="20">
        <f t="shared" si="174"/>
        <v>1.3765621991510601E-12</v>
      </c>
      <c r="CX178" s="59">
        <f t="shared" si="122"/>
        <v>290.88956831377277</v>
      </c>
      <c r="CY178" s="59">
        <f ca="1">AVERAGE(OFFSET($CX$3,0,0,'Données projet'!$E$13+1,1))-AVERAGE(OFFSET($H$3,0,0,'Données projet'!$E$13+1,1))</f>
        <v>284.31574332240928</v>
      </c>
      <c r="CZ178" s="59">
        <f t="shared" si="150"/>
        <v>403.96994631683913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86.076734904884518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86.076734904884518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69.333518631028568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190.9519472160006</v>
      </c>
      <c r="DU178" s="59">
        <f t="shared" si="152"/>
        <v>170.61553500287511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18.431041845438575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18.431041845438575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69.333518631028568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>
        <f>EJ178*VLOOKUP('Données projet'!$B$15,Paramètres!$A$1:$I$89,3,0)*VLOOKUP('Données projet'!$B$15,Paramètres!$A$1:$I$89,5,0)</f>
        <v>0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331.94255128154623</v>
      </c>
      <c r="EP178" s="59">
        <f t="shared" si="154"/>
        <v>258.40809812013964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235.49077676633487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235.49077676633487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69.333518631028568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>
        <f>FE178*VLOOKUP('Données projet'!$B$16,Paramètres!$A$1:$I$89,3,0)*VLOOKUP('Données projet'!$B$16,Paramètres!$A$1:$I$89,5,0)</f>
        <v>0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290.72311302449236</v>
      </c>
      <c r="FK178" s="59">
        <f t="shared" si="156"/>
        <v>352.32552988394434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70.846113207573381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70.846113207573381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69.333518631028568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>
        <f>FZ178*VLOOKUP('Données projet'!$B$17,Paramètres!$A$1:$I$89,3,0)*VLOOKUP('Données projet'!$B$17,Paramètres!$A$1:$I$89,5,0)</f>
        <v>0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123.03972959251965</v>
      </c>
      <c r="GF178" s="59">
        <f t="shared" si="158"/>
        <v>178.27657680839445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15.398825382354048</v>
      </c>
      <c r="GM178" s="21">
        <f>EXP(-LN(2)/25)*GM177+(1-EXP(-LN(2)/25))/(LN(2)/25)*Calculateur!GH178*Calculateur!GJ178*VLOOKUP('Données projet'!$B$17,Paramètres!$A$1:$I$89,3,0)*0.475*44/12</f>
        <v>1.827672207865654</v>
      </c>
      <c r="GN178" s="21">
        <f>EXP(-LN(2)/2)*GN177+(1-EXP(-LN(2)/2))/(LN(2)/2)*GH178*GK178*VLOOKUP('Données projet'!$B$17,Paramètres!$A$1:$I$89,3,0)*0.475*44/12</f>
        <v>1.6049107613606505E-15</v>
      </c>
      <c r="GO178" s="21">
        <f t="shared" si="187"/>
        <v>17.226497590219701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69.333518631028568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-4.5474735088646412E-13</v>
      </c>
      <c r="GV178" s="17">
        <f>GU178*VLOOKUP('Données projet'!$B$18,Paramètres!$A$1:$I$89,3,0)*VLOOKUP('Données projet'!$B$18,Paramètres!$A$1:$I$89,5,0)</f>
        <v>-3.0504452297464016E-13</v>
      </c>
      <c r="GW178" s="13" t="e">
        <f t="shared" si="188"/>
        <v>#NUM!</v>
      </c>
      <c r="GX178" s="20" t="e">
        <f t="shared" si="189"/>
        <v>#NUM!</v>
      </c>
      <c r="GY178" s="59" t="e">
        <f t="shared" si="137"/>
        <v>#NUM!</v>
      </c>
      <c r="GZ178" s="59">
        <f ca="1">AVERAGE(OFFSET($GY$3,0,0,'Données projet'!$E$18+1,1))-AVERAGE(OFFSET($H$3,0,0,'Données projet'!$E$18+1,1))</f>
        <v>542.25674729323623</v>
      </c>
      <c r="HA178" s="59">
        <f t="shared" si="160"/>
        <v>614.73906555680685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95.301989396385778</v>
      </c>
      <c r="HH178" s="21">
        <f>EXP(-LN(2)/25)*HH177+(1-EXP(-LN(2)/25))/(LN(2)/25)*Calculateur!HC178*Calculateur!HE178*VLOOKUP('Données projet'!$B$18,Paramètres!$A$1:$I$89,3,0)*0.475*44/12</f>
        <v>0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95.301989396385778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2.8499999999999996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10.449999999999998</v>
      </c>
      <c r="H179" s="67">
        <f t="shared" si="110"/>
        <v>214.86666666666667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69.345080592751117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-1.0231815394945443E-12</v>
      </c>
      <c r="O179" s="13">
        <f>N179*VLOOKUP('Données projet'!$B$9,Paramètres!$A$1:$I$89,3,0)*VLOOKUP('Données projet'!$B$9,Paramètres!$A$1:$I$89,5,0)</f>
        <v>-8.9385139290243408E-13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686.80970545599644</v>
      </c>
      <c r="T179" s="59">
        <f t="shared" si="142"/>
        <v>636.16485232937737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25.933836388985682</v>
      </c>
      <c r="AA179" s="21">
        <f>EXP(-LN(2)/25)*AA178+(1-EXP(-LN(2)/25))/(LN(2)/25)*Calculateur!V179*Calculateur!X179*VLOOKUP('Données projet'!$B$9,Paramètres!$A$1:$I$89,3,0)*0.475*44/12</f>
        <v>1.5935989351570197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27.527435324142701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69.345080592751117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1.1368683772161603E-13</v>
      </c>
      <c r="AJ179" s="13">
        <f>AI179*VLOOKUP('Données projet'!$B$10,Paramètres!$A$1:$I$89,3,0)*VLOOKUP('Données projet'!$B$10,Paramètres!$A$1:$I$89,5,0)</f>
        <v>1.0286385077051818E-13</v>
      </c>
      <c r="AK179" s="13">
        <f t="shared" si="164"/>
        <v>1.5402366592183556E-12</v>
      </c>
      <c r="AL179" s="20">
        <f t="shared" si="165"/>
        <v>2.8617333882306215E-12</v>
      </c>
      <c r="AM179" s="59">
        <f t="shared" si="113"/>
        <v>290.93196217342359</v>
      </c>
      <c r="AN179" s="59">
        <f ca="1">AVERAGE(OFFSET($AM$3,0,0,'Données projet'!$E$10+1,1))-AVERAGE(OFFSET($H$3,0,0,'Données projet'!$E$10+1,1))</f>
        <v>323.67375363913726</v>
      </c>
      <c r="AO179" s="59">
        <f t="shared" si="144"/>
        <v>266.03902815735029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22.742367186240813</v>
      </c>
      <c r="AV179" s="21">
        <f>EXP(-LN(2)/25)*AV178+(1-EXP(-LN(2)/25))/(LN(2)/25)*Calculateur!AQ179*Calculateur!AS179*VLOOKUP('Données projet'!$B$10,Paramètres!$A$1:$I$89,3,0)*0.475*44/12</f>
        <v>3.678612553819665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26.420979740060478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69.345080592751117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371.46495716091965</v>
      </c>
      <c r="BJ179" s="59">
        <f t="shared" si="146"/>
        <v>579.95059529269417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16.596231766173666</v>
      </c>
      <c r="BQ179" s="21">
        <f>EXP(-LN(2)/25)*BQ178+(1-EXP(-LN(2)/25))/(LN(2)/25)*Calculateur!BL179*Calculateur!BN179*VLOOKUP('Données projet'!$B$11,Paramètres!$A$1:$I$89,3,0)*0.475*44/12</f>
        <v>1.823054546549933</v>
      </c>
      <c r="BR179" s="21">
        <f>EXP(-LN(2)/2)*BR178+(1-EXP(-LN(2)/2))/(LN(2)/2)*BL179*BO179*VLOOKUP('Données projet'!$B$11,Paramètres!$A$1:$I$89,3,0)*0.475*44/12</f>
        <v>7.4425783115842408E-19</v>
      </c>
      <c r="BS179" s="22">
        <f t="shared" si="169"/>
        <v>18.4192863127236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69.345080592751117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180.18752244216969</v>
      </c>
      <c r="CE179" s="59">
        <f t="shared" si="148"/>
        <v>350.12096474554676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20.040139803443576</v>
      </c>
      <c r="CL179" s="21">
        <f>EXP(-LN(2)/25)*CL178+(1-EXP(-LN(2)/25))/(LN(2)/25)*Calculateur!CG179*Calculateur!CI179*VLOOKUP('Données projet'!$B$12,Paramètres!$A$1:$I$89,3,0)*0.475*44/12</f>
        <v>3.2504647901783237</v>
      </c>
      <c r="CM179" s="21">
        <f>EXP(-LN(2)/2)*CM178+(1-EXP(-LN(2)/2))/(LN(2)/2)*CG179*CJ179*VLOOKUP('Données projet'!$B$12,Paramètres!$A$1:$I$89,3,0)*0.475*44/12</f>
        <v>5.6544919234283487E-19</v>
      </c>
      <c r="CN179" s="22">
        <f t="shared" si="172"/>
        <v>23.2906045936219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69.345080592751117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5.6843418860808015E-14</v>
      </c>
      <c r="CU179" s="17">
        <f>CT179*VLOOKUP('Données projet'!$B$13,Paramètres!$A$1:$I$89,3,0)*VLOOKUP('Données projet'!$B$13,Paramètres!$A$1:$I$89,5,0)</f>
        <v>4.5224624045658861E-14</v>
      </c>
      <c r="CV179" s="13">
        <f t="shared" si="173"/>
        <v>7.4514601661523691E-13</v>
      </c>
      <c r="CW179" s="20">
        <f t="shared" si="174"/>
        <v>1.3765621991510601E-12</v>
      </c>
      <c r="CX179" s="59">
        <f t="shared" si="122"/>
        <v>290.93196217342211</v>
      </c>
      <c r="CY179" s="59">
        <f ca="1">AVERAGE(OFFSET($CX$3,0,0,'Données projet'!$E$13+1,1))-AVERAGE(OFFSET($H$3,0,0,'Données projet'!$E$13+1,1))</f>
        <v>284.31574332240928</v>
      </c>
      <c r="CZ179" s="59">
        <f t="shared" si="150"/>
        <v>403.96994631683913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84.388822635023914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84.388822635023914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69.345080592751117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190.9519472160006</v>
      </c>
      <c r="DU179" s="59">
        <f t="shared" si="152"/>
        <v>170.61553500287511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18.069620356675014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18.069620356675014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69.345080592751117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>
        <f>EJ179*VLOOKUP('Données projet'!$B$15,Paramètres!$A$1:$I$89,3,0)*VLOOKUP('Données projet'!$B$15,Paramètres!$A$1:$I$89,5,0)</f>
        <v>0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331.94255128154623</v>
      </c>
      <c r="EP179" s="59">
        <f t="shared" si="154"/>
        <v>258.40809812013964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230.87294626913808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230.87294626913808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69.345080592751117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>
        <f>FE179*VLOOKUP('Données projet'!$B$16,Paramètres!$A$1:$I$89,3,0)*VLOOKUP('Données projet'!$B$16,Paramètres!$A$1:$I$89,5,0)</f>
        <v>0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290.72311302449236</v>
      </c>
      <c r="FK179" s="59">
        <f t="shared" si="156"/>
        <v>352.32552988394434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69.456864139435112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69.456864139435112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69.345080592751117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>
        <f>FZ179*VLOOKUP('Données projet'!$B$17,Paramètres!$A$1:$I$89,3,0)*VLOOKUP('Données projet'!$B$17,Paramètres!$A$1:$I$89,5,0)</f>
        <v>0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123.03972959251965</v>
      </c>
      <c r="GF179" s="59">
        <f t="shared" si="158"/>
        <v>178.27657680839445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15.09686380896215</v>
      </c>
      <c r="GM179" s="21">
        <f>EXP(-LN(2)/25)*GM178+(1-EXP(-LN(2)/25))/(LN(2)/25)*Calculateur!GH179*Calculateur!GJ179*VLOOKUP('Données projet'!$B$17,Paramètres!$A$1:$I$89,3,0)*0.475*44/12</f>
        <v>1.7776944152284635</v>
      </c>
      <c r="GN179" s="21">
        <f>EXP(-LN(2)/2)*GN178+(1-EXP(-LN(2)/2))/(LN(2)/2)*GH179*GK179*VLOOKUP('Données projet'!$B$17,Paramètres!$A$1:$I$89,3,0)*0.475*44/12</f>
        <v>1.1348432825573809E-15</v>
      </c>
      <c r="GO179" s="21">
        <f t="shared" si="187"/>
        <v>16.874558224190615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69.345080592751117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-4.5474735088646412E-13</v>
      </c>
      <c r="GV179" s="17">
        <f>GU179*VLOOKUP('Données projet'!$B$18,Paramètres!$A$1:$I$89,3,0)*VLOOKUP('Données projet'!$B$18,Paramètres!$A$1:$I$89,5,0)</f>
        <v>-3.0504452297464016E-13</v>
      </c>
      <c r="GW179" s="13" t="e">
        <f t="shared" si="188"/>
        <v>#NUM!</v>
      </c>
      <c r="GX179" s="20" t="e">
        <f t="shared" si="189"/>
        <v>#NUM!</v>
      </c>
      <c r="GY179" s="59" t="e">
        <f t="shared" si="137"/>
        <v>#NUM!</v>
      </c>
      <c r="GZ179" s="59">
        <f ca="1">AVERAGE(OFFSET($GY$3,0,0,'Données projet'!$E$18+1,1))-AVERAGE(OFFSET($H$3,0,0,'Données projet'!$E$18+1,1))</f>
        <v>542.25674729323623</v>
      </c>
      <c r="HA179" s="59">
        <f t="shared" si="160"/>
        <v>614.73906555680685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93.433175512796481</v>
      </c>
      <c r="HH179" s="21">
        <f>EXP(-LN(2)/25)*HH178+(1-EXP(-LN(2)/25))/(LN(2)/25)*Calculateur!HC179*Calculateur!HE179*VLOOKUP('Données projet'!$B$18,Paramètres!$A$1:$I$89,3,0)*0.475*44/12</f>
        <v>0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93.433175512796481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2.8499999999999996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10.449999999999998</v>
      </c>
      <c r="H180" s="67">
        <f t="shared" si="110"/>
        <v>214.86666666666667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69.356441980286434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-1.0231815394945443E-12</v>
      </c>
      <c r="O180" s="13">
        <f>N180*VLOOKUP('Données projet'!$B$9,Paramètres!$A$1:$I$89,3,0)*VLOOKUP('Données projet'!$B$9,Paramètres!$A$1:$I$89,5,0)</f>
        <v>-8.9385139290243408E-13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686.80970545599644</v>
      </c>
      <c r="T180" s="59">
        <f t="shared" si="142"/>
        <v>636.16485232937737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25.425289675475966</v>
      </c>
      <c r="AA180" s="21">
        <f>EXP(-LN(2)/25)*AA179+(1-EXP(-LN(2)/25))/(LN(2)/25)*Calculateur!V180*Calculateur!X180*VLOOKUP('Données projet'!$B$9,Paramètres!$A$1:$I$89,3,0)*0.475*44/12</f>
        <v>1.5500218884714252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26.97531156394739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69.356441980286434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1.1368683772161603E-13</v>
      </c>
      <c r="AJ180" s="13">
        <f>AI180*VLOOKUP('Données projet'!$B$10,Paramètres!$A$1:$I$89,3,0)*VLOOKUP('Données projet'!$B$10,Paramètres!$A$1:$I$89,5,0)</f>
        <v>1.0286385077051818E-13</v>
      </c>
      <c r="AK180" s="13">
        <f t="shared" si="164"/>
        <v>1.5402366592183556E-12</v>
      </c>
      <c r="AL180" s="20">
        <f t="shared" si="165"/>
        <v>2.8617333882306215E-12</v>
      </c>
      <c r="AM180" s="59">
        <f t="shared" si="113"/>
        <v>290.97362059438643</v>
      </c>
      <c r="AN180" s="59">
        <f ca="1">AVERAGE(OFFSET($AM$3,0,0,'Données projet'!$E$10+1,1))-AVERAGE(OFFSET($H$3,0,0,'Données projet'!$E$10+1,1))</f>
        <v>323.67375363913726</v>
      </c>
      <c r="AO180" s="59">
        <f t="shared" si="144"/>
        <v>266.03902815735029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22.296403237192919</v>
      </c>
      <c r="AV180" s="21">
        <f>EXP(-LN(2)/25)*AV179+(1-EXP(-LN(2)/25))/(LN(2)/25)*Calculateur!AQ180*Calculateur!AS180*VLOOKUP('Données projet'!$B$10,Paramètres!$A$1:$I$89,3,0)*0.475*44/12</f>
        <v>3.5780207000856397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25.874423937278557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69.356441980286434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371.46495716091965</v>
      </c>
      <c r="BJ180" s="59">
        <f t="shared" si="146"/>
        <v>579.95059529269417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16.270789783940845</v>
      </c>
      <c r="BQ180" s="21">
        <f>EXP(-LN(2)/25)*BQ179+(1-EXP(-LN(2)/25))/(LN(2)/25)*Calculateur!BL180*Calculateur!BN180*VLOOKUP('Données projet'!$B$11,Paramètres!$A$1:$I$89,3,0)*0.475*44/12</f>
        <v>1.7732030241042531</v>
      </c>
      <c r="BR180" s="21">
        <f>EXP(-LN(2)/2)*BR179+(1-EXP(-LN(2)/2))/(LN(2)/2)*BL180*BO180*VLOOKUP('Données projet'!$B$11,Paramètres!$A$1:$I$89,3,0)*0.475*44/12</f>
        <v>5.262697593633142E-19</v>
      </c>
      <c r="BS180" s="22">
        <f t="shared" si="169"/>
        <v>18.043992808045097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69.356441980286434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180.18752244216969</v>
      </c>
      <c r="CE180" s="59">
        <f t="shared" si="148"/>
        <v>350.12096474554676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19.64716488517638</v>
      </c>
      <c r="CL180" s="21">
        <f>EXP(-LN(2)/25)*CL179+(1-EXP(-LN(2)/25))/(LN(2)/25)*Calculateur!CG180*Calculateur!CI180*VLOOKUP('Données projet'!$B$12,Paramètres!$A$1:$I$89,3,0)*0.475*44/12</f>
        <v>3.1615806595563831</v>
      </c>
      <c r="CM180" s="21">
        <f>EXP(-LN(2)/2)*CM179+(1-EXP(-LN(2)/2))/(LN(2)/2)*CG180*CJ180*VLOOKUP('Données projet'!$B$12,Paramètres!$A$1:$I$89,3,0)*0.475*44/12</f>
        <v>3.9983295832207496E-19</v>
      </c>
      <c r="CN180" s="22">
        <f t="shared" si="172"/>
        <v>22.808745544732762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69.356441980286434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5.6843418860808015E-14</v>
      </c>
      <c r="CU180" s="17">
        <f>CT180*VLOOKUP('Données projet'!$B$13,Paramètres!$A$1:$I$89,3,0)*VLOOKUP('Données projet'!$B$13,Paramètres!$A$1:$I$89,5,0)</f>
        <v>4.5224624045658861E-14</v>
      </c>
      <c r="CV180" s="13">
        <f t="shared" si="173"/>
        <v>7.4514601661523691E-13</v>
      </c>
      <c r="CW180" s="20">
        <f t="shared" si="174"/>
        <v>1.3765621991510601E-12</v>
      </c>
      <c r="CX180" s="59">
        <f t="shared" si="122"/>
        <v>290.97362059438495</v>
      </c>
      <c r="CY180" s="59">
        <f ca="1">AVERAGE(OFFSET($CX$3,0,0,'Données projet'!$E$13+1,1))-AVERAGE(OFFSET($H$3,0,0,'Données projet'!$E$13+1,1))</f>
        <v>284.31574332240928</v>
      </c>
      <c r="CZ180" s="59">
        <f t="shared" si="150"/>
        <v>403.96994631683913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82.734009295250459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82.734009295250459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69.356441980286434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190.9519472160006</v>
      </c>
      <c r="DU180" s="59">
        <f t="shared" si="152"/>
        <v>170.61553500287511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17.715286122860764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17.715286122860764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69.356441980286434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>
        <f>EJ180*VLOOKUP('Données projet'!$B$15,Paramètres!$A$1:$I$89,3,0)*VLOOKUP('Données projet'!$B$15,Paramètres!$A$1:$I$89,5,0)</f>
        <v>0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331.94255128154623</v>
      </c>
      <c r="EP180" s="59">
        <f t="shared" si="154"/>
        <v>258.40809812013964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226.34566861139282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226.34566861139282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69.356441980286434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>
        <f>FE180*VLOOKUP('Données projet'!$B$16,Paramètres!$A$1:$I$89,3,0)*VLOOKUP('Données projet'!$B$16,Paramètres!$A$1:$I$89,5,0)</f>
        <v>0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290.72311302449236</v>
      </c>
      <c r="FK180" s="59">
        <f t="shared" si="156"/>
        <v>352.32552988394434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68.094857398164763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68.094857398164763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69.356441980286434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>
        <f>FZ180*VLOOKUP('Données projet'!$B$17,Paramètres!$A$1:$I$89,3,0)*VLOOKUP('Données projet'!$B$17,Paramètres!$A$1:$I$89,5,0)</f>
        <v>0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123.03972959251965</v>
      </c>
      <c r="GF180" s="59">
        <f t="shared" si="158"/>
        <v>178.27657680839445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14.800823517846093</v>
      </c>
      <c r="GM180" s="21">
        <f>EXP(-LN(2)/25)*GM179+(1-EXP(-LN(2)/25))/(LN(2)/25)*Calculateur!GH180*Calculateur!GJ180*VLOOKUP('Données projet'!$B$17,Paramètres!$A$1:$I$89,3,0)*0.475*44/12</f>
        <v>1.7290832679591548</v>
      </c>
      <c r="GN180" s="21">
        <f>EXP(-LN(2)/2)*GN179+(1-EXP(-LN(2)/2))/(LN(2)/2)*GH180*GK180*VLOOKUP('Données projet'!$B$17,Paramètres!$A$1:$I$89,3,0)*0.475*44/12</f>
        <v>8.0245538068032525E-16</v>
      </c>
      <c r="GO180" s="21">
        <f t="shared" si="187"/>
        <v>16.529906785805249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69.356441980286434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-4.5474735088646412E-13</v>
      </c>
      <c r="GV180" s="17">
        <f>GU180*VLOOKUP('Données projet'!$B$18,Paramètres!$A$1:$I$89,3,0)*VLOOKUP('Données projet'!$B$18,Paramètres!$A$1:$I$89,5,0)</f>
        <v>-3.0504452297464016E-13</v>
      </c>
      <c r="GW180" s="13" t="e">
        <f t="shared" si="188"/>
        <v>#NUM!</v>
      </c>
      <c r="GX180" s="20" t="e">
        <f t="shared" si="189"/>
        <v>#NUM!</v>
      </c>
      <c r="GY180" s="59" t="e">
        <f t="shared" si="137"/>
        <v>#NUM!</v>
      </c>
      <c r="GZ180" s="59">
        <f ca="1">AVERAGE(OFFSET($GY$3,0,0,'Données projet'!$E$18+1,1))-AVERAGE(OFFSET($H$3,0,0,'Données projet'!$E$18+1,1))</f>
        <v>542.25674729323623</v>
      </c>
      <c r="HA180" s="59">
        <f t="shared" si="160"/>
        <v>614.73906555680685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91.601007929600442</v>
      </c>
      <c r="HH180" s="21">
        <f>EXP(-LN(2)/25)*HH179+(1-EXP(-LN(2)/25))/(LN(2)/25)*Calculateur!HC180*Calculateur!HE180*VLOOKUP('Données projet'!$B$18,Paramètres!$A$1:$I$89,3,0)*0.475*44/12</f>
        <v>0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91.601007929600442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2.8499999999999996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10.449999999999998</v>
      </c>
      <c r="H181" s="67">
        <f t="shared" si="110"/>
        <v>214.86666666666667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69.367606273148283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-1.0231815394945443E-12</v>
      </c>
      <c r="O181" s="13">
        <f>N181*VLOOKUP('Données projet'!$B$9,Paramètres!$A$1:$I$89,3,0)*VLOOKUP('Données projet'!$B$9,Paramètres!$A$1:$I$89,5,0)</f>
        <v>-8.9385139290243408E-13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686.80970545599644</v>
      </c>
      <c r="T181" s="59">
        <f t="shared" si="142"/>
        <v>636.16485232937737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24.926715252835308</v>
      </c>
      <c r="AA181" s="21">
        <f>EXP(-LN(2)/25)*AA180+(1-EXP(-LN(2)/25))/(LN(2)/25)*Calculateur!V181*Calculateur!X181*VLOOKUP('Données projet'!$B$9,Paramètres!$A$1:$I$89,3,0)*0.475*44/12</f>
        <v>1.5076364584190656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26.434351711254372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69.367606273148283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1.1368683772161603E-13</v>
      </c>
      <c r="AJ181" s="13">
        <f>AI181*VLOOKUP('Données projet'!$B$10,Paramètres!$A$1:$I$89,3,0)*VLOOKUP('Données projet'!$B$10,Paramètres!$A$1:$I$89,5,0)</f>
        <v>1.0286385077051818E-13</v>
      </c>
      <c r="AK181" s="13">
        <f t="shared" si="164"/>
        <v>1.5402366592183556E-12</v>
      </c>
      <c r="AL181" s="20">
        <f t="shared" si="165"/>
        <v>2.8617333882306215E-12</v>
      </c>
      <c r="AM181" s="59">
        <f t="shared" si="113"/>
        <v>291.01455633487984</v>
      </c>
      <c r="AN181" s="59">
        <f ca="1">AVERAGE(OFFSET($AM$3,0,0,'Données projet'!$E$10+1,1))-AVERAGE(OFFSET($H$3,0,0,'Données projet'!$E$10+1,1))</f>
        <v>323.67375363913726</v>
      </c>
      <c r="AO181" s="59">
        <f t="shared" si="144"/>
        <v>266.03902815735029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21.859184369174706</v>
      </c>
      <c r="AV181" s="21">
        <f>EXP(-LN(2)/25)*AV180+(1-EXP(-LN(2)/25))/(LN(2)/25)*Calculateur!AQ181*Calculateur!AS181*VLOOKUP('Données projet'!$B$10,Paramètres!$A$1:$I$89,3,0)*0.475*44/12</f>
        <v>3.480179535881867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25.339363905056572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69.367606273148283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371.46495716091965</v>
      </c>
      <c r="BJ181" s="59">
        <f t="shared" si="146"/>
        <v>579.95059529269417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15.951729520479599</v>
      </c>
      <c r="BQ181" s="21">
        <f>EXP(-LN(2)/25)*BQ180+(1-EXP(-LN(2)/25))/(LN(2)/25)*Calculateur!BL181*Calculateur!BN181*VLOOKUP('Données projet'!$B$11,Paramètres!$A$1:$I$89,3,0)*0.475*44/12</f>
        <v>1.724714694161428</v>
      </c>
      <c r="BR181" s="21">
        <f>EXP(-LN(2)/2)*BR180+(1-EXP(-LN(2)/2))/(LN(2)/2)*BL181*BO181*VLOOKUP('Données projet'!$B$11,Paramètres!$A$1:$I$89,3,0)*0.475*44/12</f>
        <v>3.7212891557921204E-19</v>
      </c>
      <c r="BS181" s="22">
        <f t="shared" si="169"/>
        <v>17.676444214641027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69.367606273148283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180.18752244216969</v>
      </c>
      <c r="CE181" s="59">
        <f t="shared" si="148"/>
        <v>350.12096474554676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19.261895965365369</v>
      </c>
      <c r="CL181" s="21">
        <f>EXP(-LN(2)/25)*CL180+(1-EXP(-LN(2)/25))/(LN(2)/25)*Calculateur!CG181*Calculateur!CI181*VLOOKUP('Données projet'!$B$12,Paramètres!$A$1:$I$89,3,0)*0.475*44/12</f>
        <v>3.0751270701605127</v>
      </c>
      <c r="CM181" s="21">
        <f>EXP(-LN(2)/2)*CM180+(1-EXP(-LN(2)/2))/(LN(2)/2)*CG181*CJ181*VLOOKUP('Données projet'!$B$12,Paramètres!$A$1:$I$89,3,0)*0.475*44/12</f>
        <v>2.8272459617141743E-19</v>
      </c>
      <c r="CN181" s="22">
        <f t="shared" si="172"/>
        <v>22.337023035525881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69.367606273148283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5.6843418860808015E-14</v>
      </c>
      <c r="CU181" s="17">
        <f>CT181*VLOOKUP('Données projet'!$B$13,Paramètres!$A$1:$I$89,3,0)*VLOOKUP('Données projet'!$B$13,Paramètres!$A$1:$I$89,5,0)</f>
        <v>4.5224624045658861E-14</v>
      </c>
      <c r="CV181" s="13">
        <f t="shared" si="173"/>
        <v>7.4514601661523691E-13</v>
      </c>
      <c r="CW181" s="20">
        <f t="shared" si="174"/>
        <v>1.3765621991510601E-12</v>
      </c>
      <c r="CX181" s="59">
        <f t="shared" si="122"/>
        <v>291.01455633487836</v>
      </c>
      <c r="CY181" s="59">
        <f ca="1">AVERAGE(OFFSET($CX$3,0,0,'Données projet'!$E$13+1,1))-AVERAGE(OFFSET($H$3,0,0,'Données projet'!$E$13+1,1))</f>
        <v>284.31574332240928</v>
      </c>
      <c r="CZ181" s="59">
        <f t="shared" si="150"/>
        <v>403.96994631683913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81.111645835733484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81.111645835733484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69.367606273148283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190.9519472160006</v>
      </c>
      <c r="DU181" s="59">
        <f t="shared" si="152"/>
        <v>170.61553500287511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17.367900167249068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17.367900167249068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69.367606273148283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>
        <f>EJ181*VLOOKUP('Données projet'!$B$15,Paramètres!$A$1:$I$89,3,0)*VLOOKUP('Données projet'!$B$15,Paramètres!$A$1:$I$89,5,0)</f>
        <v>0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331.94255128154623</v>
      </c>
      <c r="EP181" s="59">
        <f t="shared" si="154"/>
        <v>258.40809812013964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221.90716810714923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221.90716810714923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69.367606273148283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>
        <f>FE181*VLOOKUP('Données projet'!$B$16,Paramètres!$A$1:$I$89,3,0)*VLOOKUP('Données projet'!$B$16,Paramètres!$A$1:$I$89,5,0)</f>
        <v>0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290.72311302449236</v>
      </c>
      <c r="FK181" s="59">
        <f t="shared" si="156"/>
        <v>352.32552988394434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66.759558778348648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66.759558778348648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69.367606273148283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>
        <f>FZ181*VLOOKUP('Données projet'!$B$17,Paramètres!$A$1:$I$89,3,0)*VLOOKUP('Données projet'!$B$17,Paramètres!$A$1:$I$89,5,0)</f>
        <v>0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123.03972959251965</v>
      </c>
      <c r="GF181" s="59">
        <f t="shared" si="158"/>
        <v>178.27657680839445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14.510588396272073</v>
      </c>
      <c r="GM181" s="21">
        <f>EXP(-LN(2)/25)*GM180+(1-EXP(-LN(2)/25))/(LN(2)/25)*Calculateur!GH181*Calculateur!GJ181*VLOOKUP('Données projet'!$B$17,Paramètres!$A$1:$I$89,3,0)*0.475*44/12</f>
        <v>1.6818013950682744</v>
      </c>
      <c r="GN181" s="21">
        <f>EXP(-LN(2)/2)*GN180+(1-EXP(-LN(2)/2))/(LN(2)/2)*GH181*GK181*VLOOKUP('Données projet'!$B$17,Paramètres!$A$1:$I$89,3,0)*0.475*44/12</f>
        <v>5.6742164127869044E-16</v>
      </c>
      <c r="GO181" s="21">
        <f t="shared" si="187"/>
        <v>16.192389791340347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69.367606273148283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-4.5474735088646412E-13</v>
      </c>
      <c r="GV181" s="17">
        <f>GU181*VLOOKUP('Données projet'!$B$18,Paramètres!$A$1:$I$89,3,0)*VLOOKUP('Données projet'!$B$18,Paramètres!$A$1:$I$89,5,0)</f>
        <v>-3.0504452297464016E-13</v>
      </c>
      <c r="GW181" s="13" t="e">
        <f t="shared" si="188"/>
        <v>#NUM!</v>
      </c>
      <c r="GX181" s="20" t="e">
        <f t="shared" si="189"/>
        <v>#NUM!</v>
      </c>
      <c r="GY181" s="59" t="e">
        <f t="shared" si="137"/>
        <v>#NUM!</v>
      </c>
      <c r="GZ181" s="59">
        <f ca="1">AVERAGE(OFFSET($GY$3,0,0,'Données projet'!$E$18+1,1))-AVERAGE(OFFSET($H$3,0,0,'Données projet'!$E$18+1,1))</f>
        <v>542.25674729323623</v>
      </c>
      <c r="HA181" s="59">
        <f t="shared" si="160"/>
        <v>614.73906555680685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89.804768035199004</v>
      </c>
      <c r="HH181" s="21">
        <f>EXP(-LN(2)/25)*HH180+(1-EXP(-LN(2)/25))/(LN(2)/25)*Calculateur!HC181*Calculateur!HE181*VLOOKUP('Données projet'!$B$18,Paramètres!$A$1:$I$89,3,0)*0.475*44/12</f>
        <v>0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89.804768035199004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2.8499999999999996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10.449999999999998</v>
      </c>
      <c r="H182" s="67">
        <f t="shared" si="110"/>
        <v>214.86666666666667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69.378576890488588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-1.0231815394945443E-12</v>
      </c>
      <c r="O182" s="13">
        <f>N182*VLOOKUP('Données projet'!$B$9,Paramètres!$A$1:$I$89,3,0)*VLOOKUP('Données projet'!$B$9,Paramètres!$A$1:$I$89,5,0)</f>
        <v>-8.9385139290243408E-13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686.80970545599644</v>
      </c>
      <c r="T182" s="59">
        <f t="shared" si="142"/>
        <v>636.16485232937737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24.437917570522263</v>
      </c>
      <c r="AA182" s="21">
        <f>EXP(-LN(2)/25)*AA181+(1-EXP(-LN(2)/25))/(LN(2)/25)*Calculateur!V182*Calculateur!X182*VLOOKUP('Données projet'!$B$9,Paramètres!$A$1:$I$89,3,0)*0.475*44/12</f>
        <v>1.4664100601804406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25.904327630702703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69.378576890488588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1.1368683772161603E-13</v>
      </c>
      <c r="AJ182" s="13">
        <f>AI182*VLOOKUP('Données projet'!$B$10,Paramètres!$A$1:$I$89,3,0)*VLOOKUP('Données projet'!$B$10,Paramètres!$A$1:$I$89,5,0)</f>
        <v>1.0286385077051818E-13</v>
      </c>
      <c r="AK182" s="13">
        <f t="shared" si="164"/>
        <v>1.5402366592183556E-12</v>
      </c>
      <c r="AL182" s="20">
        <f t="shared" si="165"/>
        <v>2.8617333882306215E-12</v>
      </c>
      <c r="AM182" s="59">
        <f t="shared" si="113"/>
        <v>291.05478193179437</v>
      </c>
      <c r="AN182" s="59">
        <f ca="1">AVERAGE(OFFSET($AM$3,0,0,'Données projet'!$E$10+1,1))-AVERAGE(OFFSET($H$3,0,0,'Données projet'!$E$10+1,1))</f>
        <v>323.67375363913726</v>
      </c>
      <c r="AO182" s="59">
        <f t="shared" si="144"/>
        <v>266.03902815735029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21.430539096481152</v>
      </c>
      <c r="AV182" s="21">
        <f>EXP(-LN(2)/25)*AV181+(1-EXP(-LN(2)/25))/(LN(2)/25)*Calculateur!AQ182*Calculateur!AS182*VLOOKUP('Données projet'!$B$10,Paramètres!$A$1:$I$89,3,0)*0.475*44/12</f>
        <v>3.3850138434584895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24.815552939939643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69.378576890488588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371.46495716091965</v>
      </c>
      <c r="BJ182" s="59">
        <f t="shared" si="146"/>
        <v>579.95059529269417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15.638925834177284</v>
      </c>
      <c r="BQ182" s="21">
        <f>EXP(-LN(2)/25)*BQ181+(1-EXP(-LN(2)/25))/(LN(2)/25)*Calculateur!BL182*Calculateur!BN182*VLOOKUP('Données projet'!$B$11,Paramètres!$A$1:$I$89,3,0)*0.475*44/12</f>
        <v>1.6775522801507798</v>
      </c>
      <c r="BR182" s="21">
        <f>EXP(-LN(2)/2)*BR181+(1-EXP(-LN(2)/2))/(LN(2)/2)*BL182*BO182*VLOOKUP('Données projet'!$B$11,Paramètres!$A$1:$I$89,3,0)*0.475*44/12</f>
        <v>2.631348796816571E-19</v>
      </c>
      <c r="BS182" s="22">
        <f t="shared" si="169"/>
        <v>17.316478114328063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69.378576890488588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180.18752244216969</v>
      </c>
      <c r="CE182" s="59">
        <f t="shared" si="148"/>
        <v>350.12096474554676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18.884181934081017</v>
      </c>
      <c r="CL182" s="21">
        <f>EXP(-LN(2)/25)*CL181+(1-EXP(-LN(2)/25))/(LN(2)/25)*Calculateur!CG182*Calculateur!CI182*VLOOKUP('Données projet'!$B$12,Paramètres!$A$1:$I$89,3,0)*0.475*44/12</f>
        <v>2.9910375587130691</v>
      </c>
      <c r="CM182" s="21">
        <f>EXP(-LN(2)/2)*CM181+(1-EXP(-LN(2)/2))/(LN(2)/2)*CG182*CJ182*VLOOKUP('Données projet'!$B$12,Paramètres!$A$1:$I$89,3,0)*0.475*44/12</f>
        <v>1.9991647916103748E-19</v>
      </c>
      <c r="CN182" s="22">
        <f t="shared" si="172"/>
        <v>21.875219492794088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69.378576890488588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5.6843418860808015E-14</v>
      </c>
      <c r="CU182" s="17">
        <f>CT182*VLOOKUP('Données projet'!$B$13,Paramètres!$A$1:$I$89,3,0)*VLOOKUP('Données projet'!$B$13,Paramètres!$A$1:$I$89,5,0)</f>
        <v>4.5224624045658861E-14</v>
      </c>
      <c r="CV182" s="13">
        <f t="shared" si="173"/>
        <v>7.4514601661523691E-13</v>
      </c>
      <c r="CW182" s="20">
        <f t="shared" si="174"/>
        <v>1.3765621991510601E-12</v>
      </c>
      <c r="CX182" s="59">
        <f t="shared" si="122"/>
        <v>291.05478193179289</v>
      </c>
      <c r="CY182" s="59">
        <f ca="1">AVERAGE(OFFSET($CX$3,0,0,'Données projet'!$E$13+1,1))-AVERAGE(OFFSET($H$3,0,0,'Données projet'!$E$13+1,1))</f>
        <v>284.31574332240928</v>
      </c>
      <c r="CZ182" s="59">
        <f t="shared" si="150"/>
        <v>403.96994631683913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79.521095934113632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79.521095934113632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69.378576890488588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190.9519472160006</v>
      </c>
      <c r="DU182" s="59">
        <f t="shared" si="152"/>
        <v>170.61553500287511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17.027326238342408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17.027326238342408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69.378576890488588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>
        <f>EJ182*VLOOKUP('Données projet'!$B$15,Paramètres!$A$1:$I$89,3,0)*VLOOKUP('Données projet'!$B$15,Paramètres!$A$1:$I$89,5,0)</f>
        <v>0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331.94255128154623</v>
      </c>
      <c r="EP182" s="59">
        <f t="shared" si="154"/>
        <v>258.40809812013964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217.55570389057587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217.55570389057587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69.378576890488588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>
        <f>FE182*VLOOKUP('Données projet'!$B$16,Paramètres!$A$1:$I$89,3,0)*VLOOKUP('Données projet'!$B$16,Paramètres!$A$1:$I$89,5,0)</f>
        <v>0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290.72311302449236</v>
      </c>
      <c r="FK182" s="59">
        <f t="shared" si="156"/>
        <v>352.32552988394434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65.450444550015391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65.450444550015391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69.378576890488588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>
        <f>FZ182*VLOOKUP('Données projet'!$B$17,Paramètres!$A$1:$I$89,3,0)*VLOOKUP('Données projet'!$B$17,Paramètres!$A$1:$I$89,5,0)</f>
        <v>0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123.03972959251965</v>
      </c>
      <c r="GF182" s="59">
        <f t="shared" si="158"/>
        <v>178.27657680839445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14.226044608406177</v>
      </c>
      <c r="GM182" s="21">
        <f>EXP(-LN(2)/25)*GM181+(1-EXP(-LN(2)/25))/(LN(2)/25)*Calculateur!GH182*Calculateur!GJ182*VLOOKUP('Données projet'!$B$17,Paramètres!$A$1:$I$89,3,0)*0.475*44/12</f>
        <v>1.6358124474780409</v>
      </c>
      <c r="GN182" s="21">
        <f>EXP(-LN(2)/2)*GN181+(1-EXP(-LN(2)/2))/(LN(2)/2)*GH182*GK182*VLOOKUP('Données projet'!$B$17,Paramètres!$A$1:$I$89,3,0)*0.475*44/12</f>
        <v>4.0122769034016263E-16</v>
      </c>
      <c r="GO182" s="21">
        <f t="shared" si="187"/>
        <v>15.861857055884219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69.378576890488588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-4.5474735088646412E-13</v>
      </c>
      <c r="GV182" s="17">
        <f>GU182*VLOOKUP('Données projet'!$B$18,Paramètres!$A$1:$I$89,3,0)*VLOOKUP('Données projet'!$B$18,Paramètres!$A$1:$I$89,5,0)</f>
        <v>-3.0504452297464016E-13</v>
      </c>
      <c r="GW182" s="13" t="e">
        <f t="shared" si="188"/>
        <v>#NUM!</v>
      </c>
      <c r="GX182" s="20" t="e">
        <f t="shared" si="189"/>
        <v>#NUM!</v>
      </c>
      <c r="GY182" s="59" t="e">
        <f t="shared" si="137"/>
        <v>#NUM!</v>
      </c>
      <c r="GZ182" s="59">
        <f ca="1">AVERAGE(OFFSET($GY$3,0,0,'Données projet'!$E$18+1,1))-AVERAGE(OFFSET($H$3,0,0,'Données projet'!$E$18+1,1))</f>
        <v>542.25674729323623</v>
      </c>
      <c r="HA182" s="59">
        <f t="shared" si="160"/>
        <v>614.73906555680685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88.043751309528616</v>
      </c>
      <c r="HH182" s="21">
        <f>EXP(-LN(2)/25)*HH181+(1-EXP(-LN(2)/25))/(LN(2)/25)*Calculateur!HC182*Calculateur!HE182*VLOOKUP('Données projet'!$B$18,Paramètres!$A$1:$I$89,3,0)*0.475*44/12</f>
        <v>0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88.043751309528616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2.8499999999999996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10.449999999999998</v>
      </c>
      <c r="H183" s="67">
        <f t="shared" si="110"/>
        <v>214.86666666666667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69.389357192144672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-1.0231815394945443E-12</v>
      </c>
      <c r="O183" s="13">
        <f>N183*VLOOKUP('Données projet'!$B$9,Paramètres!$A$1:$I$89,3,0)*VLOOKUP('Données projet'!$B$9,Paramètres!$A$1:$I$89,5,0)</f>
        <v>-8.9385139290243408E-13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686.80970545599644</v>
      </c>
      <c r="T183" s="59">
        <f t="shared" si="142"/>
        <v>636.16485232937737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23.958704912622228</v>
      </c>
      <c r="AA183" s="21">
        <f>EXP(-LN(2)/25)*AA182+(1-EXP(-LN(2)/25))/(LN(2)/25)*Calculateur!V183*Calculateur!X183*VLOOKUP('Données projet'!$B$9,Paramètres!$A$1:$I$89,3,0)*0.475*44/12</f>
        <v>1.4263109999696528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25.385015912591882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69.389357192144672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1.1368683772161603E-13</v>
      </c>
      <c r="AJ183" s="13">
        <f>AI183*VLOOKUP('Données projet'!$B$10,Paramètres!$A$1:$I$89,3,0)*VLOOKUP('Données projet'!$B$10,Paramètres!$A$1:$I$89,5,0)</f>
        <v>1.0286385077051818E-13</v>
      </c>
      <c r="AK183" s="13">
        <f t="shared" si="164"/>
        <v>1.5402366592183556E-12</v>
      </c>
      <c r="AL183" s="20">
        <f t="shared" si="165"/>
        <v>2.8617333882306215E-12</v>
      </c>
      <c r="AM183" s="59">
        <f t="shared" si="113"/>
        <v>291.09430970453332</v>
      </c>
      <c r="AN183" s="59">
        <f ca="1">AVERAGE(OFFSET($AM$3,0,0,'Données projet'!$E$10+1,1))-AVERAGE(OFFSET($H$3,0,0,'Données projet'!$E$10+1,1))</f>
        <v>323.67375363913726</v>
      </c>
      <c r="AO183" s="59">
        <f t="shared" si="144"/>
        <v>266.03902815735029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21.010299296137319</v>
      </c>
      <c r="AV183" s="21">
        <f>EXP(-LN(2)/25)*AV182+(1-EXP(-LN(2)/25))/(LN(2)/25)*Calculateur!AQ183*Calculateur!AS183*VLOOKUP('Données projet'!$B$10,Paramètres!$A$1:$I$89,3,0)*0.475*44/12</f>
        <v>3.2924504618989756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24.302749758036295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69.389357192144672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371.46495716091965</v>
      </c>
      <c r="BJ183" s="59">
        <f t="shared" si="146"/>
        <v>579.95059529269417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15.332256037371948</v>
      </c>
      <c r="BQ183" s="21">
        <f>EXP(-LN(2)/25)*BQ182+(1-EXP(-LN(2)/25))/(LN(2)/25)*Calculateur!BL183*Calculateur!BN183*VLOOKUP('Données projet'!$B$11,Paramètres!$A$1:$I$89,3,0)*0.475*44/12</f>
        <v>1.6316795248314164</v>
      </c>
      <c r="BR183" s="21">
        <f>EXP(-LN(2)/2)*BR182+(1-EXP(-LN(2)/2))/(LN(2)/2)*BL183*BO183*VLOOKUP('Données projet'!$B$11,Paramètres!$A$1:$I$89,3,0)*0.475*44/12</f>
        <v>1.8606445778960602E-19</v>
      </c>
      <c r="BS183" s="22">
        <f t="shared" si="169"/>
        <v>16.963935562203364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69.389357192144672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180.18752244216969</v>
      </c>
      <c r="CE183" s="59">
        <f t="shared" si="148"/>
        <v>350.12096474554676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18.513874644567338</v>
      </c>
      <c r="CL183" s="21">
        <f>EXP(-LN(2)/25)*CL182+(1-EXP(-LN(2)/25))/(LN(2)/25)*Calculateur!CG183*Calculateur!CI183*VLOOKUP('Données projet'!$B$12,Paramètres!$A$1:$I$89,3,0)*0.475*44/12</f>
        <v>2.909247479378231</v>
      </c>
      <c r="CM183" s="21">
        <f>EXP(-LN(2)/2)*CM182+(1-EXP(-LN(2)/2))/(LN(2)/2)*CG183*CJ183*VLOOKUP('Données projet'!$B$12,Paramètres!$A$1:$I$89,3,0)*0.475*44/12</f>
        <v>1.4136229808570872E-19</v>
      </c>
      <c r="CN183" s="22">
        <f t="shared" si="172"/>
        <v>21.423122123945568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69.389357192144672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5.6843418860808015E-14</v>
      </c>
      <c r="CU183" s="17">
        <f>CT183*VLOOKUP('Données projet'!$B$13,Paramètres!$A$1:$I$89,3,0)*VLOOKUP('Données projet'!$B$13,Paramètres!$A$1:$I$89,5,0)</f>
        <v>4.5224624045658861E-14</v>
      </c>
      <c r="CV183" s="13">
        <f t="shared" si="173"/>
        <v>7.4514601661523691E-13</v>
      </c>
      <c r="CW183" s="20">
        <f t="shared" si="174"/>
        <v>1.3765621991510601E-12</v>
      </c>
      <c r="CX183" s="59">
        <f t="shared" si="122"/>
        <v>291.09430970453184</v>
      </c>
      <c r="CY183" s="59">
        <f ca="1">AVERAGE(OFFSET($CX$3,0,0,'Données projet'!$E$13+1,1))-AVERAGE(OFFSET($H$3,0,0,'Données projet'!$E$13+1,1))</f>
        <v>284.31574332240928</v>
      </c>
      <c r="CZ183" s="59">
        <f t="shared" si="150"/>
        <v>403.96994631683913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77.961735745924898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77.961735745924898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69.389357192144672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190.9519472160006</v>
      </c>
      <c r="DU183" s="59">
        <f t="shared" si="152"/>
        <v>170.61553500287511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16.69343075645202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16.69343075645202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69.389357192144672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>
        <f>EJ183*VLOOKUP('Données projet'!$B$15,Paramètres!$A$1:$I$89,3,0)*VLOOKUP('Données projet'!$B$15,Paramètres!$A$1:$I$89,5,0)</f>
        <v>0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331.94255128154623</v>
      </c>
      <c r="EP183" s="59">
        <f t="shared" si="154"/>
        <v>258.40809812013964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213.28956923315843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213.28956923315843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69.389357192144672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>
        <f>FE183*VLOOKUP('Données projet'!$B$16,Paramètres!$A$1:$I$89,3,0)*VLOOKUP('Données projet'!$B$16,Paramètres!$A$1:$I$89,5,0)</f>
        <v>0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290.72311302449236</v>
      </c>
      <c r="FK183" s="59">
        <f t="shared" si="156"/>
        <v>352.32552988394434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64.167001253218913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64.167001253218913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69.389357192144672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>
        <f>FZ183*VLOOKUP('Données projet'!$B$17,Paramètres!$A$1:$I$89,3,0)*VLOOKUP('Données projet'!$B$17,Paramètres!$A$1:$I$89,5,0)</f>
        <v>0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123.03972959251965</v>
      </c>
      <c r="GF183" s="59">
        <f t="shared" si="158"/>
        <v>178.27657680839445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13.947080550665758</v>
      </c>
      <c r="GM183" s="21">
        <f>EXP(-LN(2)/25)*GM182+(1-EXP(-LN(2)/25))/(LN(2)/25)*Calculateur!GH183*Calculateur!GJ183*VLOOKUP('Données projet'!$B$17,Paramètres!$A$1:$I$89,3,0)*0.475*44/12</f>
        <v>1.5910810700781159</v>
      </c>
      <c r="GN183" s="21">
        <f>EXP(-LN(2)/2)*GN182+(1-EXP(-LN(2)/2))/(LN(2)/2)*GH183*GK183*VLOOKUP('Données projet'!$B$17,Paramètres!$A$1:$I$89,3,0)*0.475*44/12</f>
        <v>2.8371082063934522E-16</v>
      </c>
      <c r="GO183" s="21">
        <f t="shared" si="187"/>
        <v>15.538161620743875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69.389357192144672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-4.5474735088646412E-13</v>
      </c>
      <c r="GV183" s="17">
        <f>GU183*VLOOKUP('Données projet'!$B$18,Paramètres!$A$1:$I$89,3,0)*VLOOKUP('Données projet'!$B$18,Paramètres!$A$1:$I$89,5,0)</f>
        <v>-3.0504452297464016E-13</v>
      </c>
      <c r="GW183" s="13" t="e">
        <f t="shared" si="188"/>
        <v>#NUM!</v>
      </c>
      <c r="GX183" s="20" t="e">
        <f t="shared" si="189"/>
        <v>#NUM!</v>
      </c>
      <c r="GY183" s="59" t="e">
        <f t="shared" si="137"/>
        <v>#NUM!</v>
      </c>
      <c r="GZ183" s="59">
        <f ca="1">AVERAGE(OFFSET($GY$3,0,0,'Données projet'!$E$18+1,1))-AVERAGE(OFFSET($H$3,0,0,'Données projet'!$E$18+1,1))</f>
        <v>542.25674729323623</v>
      </c>
      <c r="HA183" s="59">
        <f t="shared" si="160"/>
        <v>614.73906555680685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86.317267047734489</v>
      </c>
      <c r="HH183" s="21">
        <f>EXP(-LN(2)/25)*HH182+(1-EXP(-LN(2)/25))/(LN(2)/25)*Calculateur!HC183*Calculateur!HE183*VLOOKUP('Données projet'!$B$18,Paramètres!$A$1:$I$89,3,0)*0.475*44/12</f>
        <v>0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86.317267047734489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2.8499999999999996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10.449999999999998</v>
      </c>
      <c r="H184" s="67">
        <f t="shared" si="110"/>
        <v>214.86666666666667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69.399950479668163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-1.0231815394945443E-12</v>
      </c>
      <c r="O184" s="13">
        <f>N184*VLOOKUP('Données projet'!$B$9,Paramètres!$A$1:$I$89,3,0)*VLOOKUP('Données projet'!$B$9,Paramètres!$A$1:$I$89,5,0)</f>
        <v>-8.9385139290243408E-13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686.80970545599644</v>
      </c>
      <c r="T184" s="59">
        <f t="shared" si="142"/>
        <v>636.16485232937737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23.488889322652753</v>
      </c>
      <c r="AA184" s="21">
        <f>EXP(-LN(2)/25)*AA183+(1-EXP(-LN(2)/25))/(LN(2)/25)*Calculateur!V184*Calculateur!X184*VLOOKUP('Données projet'!$B$9,Paramètres!$A$1:$I$89,3,0)*0.475*44/12</f>
        <v>1.387308450669047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24.876197773321799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69.399950479668163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1.1368683772161603E-13</v>
      </c>
      <c r="AJ184" s="13">
        <f>AI184*VLOOKUP('Données projet'!$B$10,Paramètres!$A$1:$I$89,3,0)*VLOOKUP('Données projet'!$B$10,Paramètres!$A$1:$I$89,5,0)</f>
        <v>1.0286385077051818E-13</v>
      </c>
      <c r="AK184" s="13">
        <f t="shared" si="164"/>
        <v>1.5402366592183556E-12</v>
      </c>
      <c r="AL184" s="20">
        <f t="shared" si="165"/>
        <v>2.8617333882306215E-12</v>
      </c>
      <c r="AM184" s="59">
        <f t="shared" si="113"/>
        <v>291.13315175878614</v>
      </c>
      <c r="AN184" s="59">
        <f ca="1">AVERAGE(OFFSET($AM$3,0,0,'Données projet'!$E$10+1,1))-AVERAGE(OFFSET($H$3,0,0,'Données projet'!$E$10+1,1))</f>
        <v>323.67375363913726</v>
      </c>
      <c r="AO184" s="59">
        <f t="shared" si="144"/>
        <v>266.03902815735029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20.59830014195726</v>
      </c>
      <c r="AV184" s="21">
        <f>EXP(-LN(2)/25)*AV183+(1-EXP(-LN(2)/25))/(LN(2)/25)*Calculateur!AQ184*Calculateur!AS184*VLOOKUP('Données projet'!$B$10,Paramètres!$A$1:$I$89,3,0)*0.475*44/12</f>
        <v>3.2024182308759035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23.800718372833163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69.399950479668163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371.46495716091965</v>
      </c>
      <c r="BJ184" s="59">
        <f t="shared" si="146"/>
        <v>579.95059529269417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15.031599848231858</v>
      </c>
      <c r="BQ184" s="21">
        <f>EXP(-LN(2)/25)*BQ183+(1-EXP(-LN(2)/25))/(LN(2)/25)*Calculateur!BL184*Calculateur!BN184*VLOOKUP('Données projet'!$B$11,Paramètres!$A$1:$I$89,3,0)*0.475*44/12</f>
        <v>1.5870611624186044</v>
      </c>
      <c r="BR184" s="21">
        <f>EXP(-LN(2)/2)*BR183+(1-EXP(-LN(2)/2))/(LN(2)/2)*BL184*BO184*VLOOKUP('Données projet'!$B$11,Paramètres!$A$1:$I$89,3,0)*0.475*44/12</f>
        <v>1.3156743984082855E-19</v>
      </c>
      <c r="BS184" s="22">
        <f t="shared" si="169"/>
        <v>16.618661010650463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69.399950479668163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180.18752244216969</v>
      </c>
      <c r="CE184" s="59">
        <f t="shared" si="148"/>
        <v>350.12096474554676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18.150828855135877</v>
      </c>
      <c r="CL184" s="21">
        <f>EXP(-LN(2)/25)*CL183+(1-EXP(-LN(2)/25))/(LN(2)/25)*Calculateur!CG184*Calculateur!CI184*VLOOKUP('Données projet'!$B$12,Paramètres!$A$1:$I$89,3,0)*0.475*44/12</f>
        <v>2.8296939540639574</v>
      </c>
      <c r="CM184" s="21">
        <f>EXP(-LN(2)/2)*CM183+(1-EXP(-LN(2)/2))/(LN(2)/2)*CG184*CJ184*VLOOKUP('Données projet'!$B$12,Paramètres!$A$1:$I$89,3,0)*0.475*44/12</f>
        <v>9.9958239580518741E-20</v>
      </c>
      <c r="CN184" s="22">
        <f t="shared" si="172"/>
        <v>20.980522809199833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69.399950479668163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5.6843418860808015E-14</v>
      </c>
      <c r="CU184" s="17">
        <f>CT184*VLOOKUP('Données projet'!$B$13,Paramètres!$A$1:$I$89,3,0)*VLOOKUP('Données projet'!$B$13,Paramètres!$A$1:$I$89,5,0)</f>
        <v>4.5224624045658861E-14</v>
      </c>
      <c r="CV184" s="13">
        <f t="shared" si="173"/>
        <v>7.4514601661523691E-13</v>
      </c>
      <c r="CW184" s="20">
        <f t="shared" si="174"/>
        <v>1.3765621991510601E-12</v>
      </c>
      <c r="CX184" s="59">
        <f t="shared" si="122"/>
        <v>291.13315175878466</v>
      </c>
      <c r="CY184" s="59">
        <f ca="1">AVERAGE(OFFSET($CX$3,0,0,'Données projet'!$E$13+1,1))-AVERAGE(OFFSET($H$3,0,0,'Données projet'!$E$13+1,1))</f>
        <v>284.31574332240928</v>
      </c>
      <c r="CZ184" s="59">
        <f t="shared" si="150"/>
        <v>403.96994631683913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76.432953659910751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76.432953659910751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69.399950479668163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190.9519472160006</v>
      </c>
      <c r="DU184" s="59">
        <f t="shared" si="152"/>
        <v>170.61553500287511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16.366082761305371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16.366082761305371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69.399950479668163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>
        <f>EJ184*VLOOKUP('Données projet'!$B$15,Paramètres!$A$1:$I$89,3,0)*VLOOKUP('Données projet'!$B$15,Paramètres!$A$1:$I$89,5,0)</f>
        <v>0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331.94255128154623</v>
      </c>
      <c r="EP184" s="59">
        <f t="shared" si="154"/>
        <v>258.40809812013964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209.10709087428774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209.10709087428774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69.399950479668163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>
        <f>FE184*VLOOKUP('Données projet'!$B$16,Paramètres!$A$1:$I$89,3,0)*VLOOKUP('Données projet'!$B$16,Paramètres!$A$1:$I$89,5,0)</f>
        <v>0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290.72311302449236</v>
      </c>
      <c r="FK184" s="59">
        <f t="shared" si="156"/>
        <v>352.32552988394434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62.908725496649495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62.908725496649495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69.399950479668163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>
        <f>FZ184*VLOOKUP('Données projet'!$B$17,Paramètres!$A$1:$I$89,3,0)*VLOOKUP('Données projet'!$B$17,Paramètres!$A$1:$I$89,5,0)</f>
        <v>0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123.03972959251965</v>
      </c>
      <c r="GF184" s="59">
        <f t="shared" si="158"/>
        <v>178.27657680839445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13.673586807946354</v>
      </c>
      <c r="GM184" s="21">
        <f>EXP(-LN(2)/25)*GM183+(1-EXP(-LN(2)/25))/(LN(2)/25)*Calculateur!GH184*Calculateur!GJ184*VLOOKUP('Données projet'!$B$17,Paramètres!$A$1:$I$89,3,0)*0.475*44/12</f>
        <v>1.5475728745455128</v>
      </c>
      <c r="GN184" s="21">
        <f>EXP(-LN(2)/2)*GN183+(1-EXP(-LN(2)/2))/(LN(2)/2)*GH184*GK184*VLOOKUP('Données projet'!$B$17,Paramètres!$A$1:$I$89,3,0)*0.475*44/12</f>
        <v>2.0061384517008131E-16</v>
      </c>
      <c r="GO184" s="21">
        <f t="shared" si="187"/>
        <v>15.221159682491866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69.399950479668163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-4.5474735088646412E-13</v>
      </c>
      <c r="GV184" s="17">
        <f>GU184*VLOOKUP('Données projet'!$B$18,Paramètres!$A$1:$I$89,3,0)*VLOOKUP('Données projet'!$B$18,Paramètres!$A$1:$I$89,5,0)</f>
        <v>-3.0504452297464016E-13</v>
      </c>
      <c r="GW184" s="13" t="e">
        <f t="shared" si="188"/>
        <v>#NUM!</v>
      </c>
      <c r="GX184" s="20" t="e">
        <f t="shared" si="189"/>
        <v>#NUM!</v>
      </c>
      <c r="GY184" s="59" t="e">
        <f t="shared" si="137"/>
        <v>#NUM!</v>
      </c>
      <c r="GZ184" s="59">
        <f ca="1">AVERAGE(OFFSET($GY$3,0,0,'Données projet'!$E$18+1,1))-AVERAGE(OFFSET($H$3,0,0,'Données projet'!$E$18+1,1))</f>
        <v>542.25674729323623</v>
      </c>
      <c r="HA184" s="59">
        <f t="shared" si="160"/>
        <v>614.73906555680685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84.624638089262717</v>
      </c>
      <c r="HH184" s="21">
        <f>EXP(-LN(2)/25)*HH183+(1-EXP(-LN(2)/25))/(LN(2)/25)*Calculateur!HC184*Calculateur!HE184*VLOOKUP('Données projet'!$B$18,Paramètres!$A$1:$I$89,3,0)*0.475*44/12</f>
        <v>0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84.624638089262717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2.8499999999999996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10.449999999999998</v>
      </c>
      <c r="H185" s="67">
        <f t="shared" si="110"/>
        <v>214.86666666666667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69.410359997336172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-1.0231815394945443E-12</v>
      </c>
      <c r="O185" s="13">
        <f>N185*VLOOKUP('Données projet'!$B$9,Paramètres!$A$1:$I$89,3,0)*VLOOKUP('Données projet'!$B$9,Paramètres!$A$1:$I$89,5,0)</f>
        <v>-8.9385139290243408E-13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686.80970545599644</v>
      </c>
      <c r="T185" s="59">
        <f t="shared" si="142"/>
        <v>636.16485232937737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23.028286529843363</v>
      </c>
      <c r="AA185" s="21">
        <f>EXP(-LN(2)/25)*AA184+(1-EXP(-LN(2)/25))/(LN(2)/25)*Calculateur!V185*Calculateur!X185*VLOOKUP('Données projet'!$B$9,Paramètres!$A$1:$I$89,3,0)*0.475*44/12</f>
        <v>1.3493724281301211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24.377658957973484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69.410359997336172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1.1368683772161603E-13</v>
      </c>
      <c r="AJ185" s="13">
        <f>AI185*VLOOKUP('Données projet'!$B$10,Paramètres!$A$1:$I$89,3,0)*VLOOKUP('Données projet'!$B$10,Paramètres!$A$1:$I$89,5,0)</f>
        <v>1.0286385077051818E-13</v>
      </c>
      <c r="AK185" s="13">
        <f t="shared" si="164"/>
        <v>1.5402366592183556E-12</v>
      </c>
      <c r="AL185" s="20">
        <f t="shared" si="165"/>
        <v>2.8617333882306215E-12</v>
      </c>
      <c r="AM185" s="59">
        <f t="shared" si="113"/>
        <v>291.17131999023547</v>
      </c>
      <c r="AN185" s="59">
        <f ca="1">AVERAGE(OFFSET($AM$3,0,0,'Données projet'!$E$10+1,1))-AVERAGE(OFFSET($H$3,0,0,'Données projet'!$E$10+1,1))</f>
        <v>323.67375363913726</v>
      </c>
      <c r="AO185" s="59">
        <f t="shared" si="144"/>
        <v>266.03902815735029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20.194380039896</v>
      </c>
      <c r="AV185" s="21">
        <f>EXP(-LN(2)/25)*AV184+(1-EXP(-LN(2)/25))/(LN(2)/25)*Calculateur!AQ185*Calculateur!AS185*VLOOKUP('Données projet'!$B$10,Paramètres!$A$1:$I$89,3,0)*0.475*44/12</f>
        <v>3.1148479359447463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23.309227975840745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69.410359997336172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371.46495716091965</v>
      </c>
      <c r="BJ185" s="59">
        <f t="shared" si="146"/>
        <v>579.95059529269417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14.736839343578637</v>
      </c>
      <c r="BQ185" s="21">
        <f>EXP(-LN(2)/25)*BQ184+(1-EXP(-LN(2)/25))/(LN(2)/25)*Calculateur!BL185*Calculateur!BN185*VLOOKUP('Données projet'!$B$11,Paramètres!$A$1:$I$89,3,0)*0.475*44/12</f>
        <v>1.5436628914723485</v>
      </c>
      <c r="BR185" s="21">
        <f>EXP(-LN(2)/2)*BR184+(1-EXP(-LN(2)/2))/(LN(2)/2)*BL185*BO185*VLOOKUP('Données projet'!$B$11,Paramètres!$A$1:$I$89,3,0)*0.475*44/12</f>
        <v>9.303222889480301E-20</v>
      </c>
      <c r="BS185" s="22">
        <f t="shared" si="169"/>
        <v>16.280502235050985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69.410359997336172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180.18752244216969</v>
      </c>
      <c r="CE185" s="59">
        <f t="shared" si="148"/>
        <v>350.12096474554676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17.794902172199102</v>
      </c>
      <c r="CL185" s="21">
        <f>EXP(-LN(2)/25)*CL184+(1-EXP(-LN(2)/25))/(LN(2)/25)*Calculateur!CG185*Calculateur!CI185*VLOOKUP('Données projet'!$B$12,Paramètres!$A$1:$I$89,3,0)*0.475*44/12</f>
        <v>2.7523158240829408</v>
      </c>
      <c r="CM185" s="21">
        <f>EXP(-LN(2)/2)*CM184+(1-EXP(-LN(2)/2))/(LN(2)/2)*CG185*CJ185*VLOOKUP('Données projet'!$B$12,Paramètres!$A$1:$I$89,3,0)*0.475*44/12</f>
        <v>7.0681149042854359E-20</v>
      </c>
      <c r="CN185" s="22">
        <f t="shared" si="172"/>
        <v>20.547217996282043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69.410359997336172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5.6843418860808015E-14</v>
      </c>
      <c r="CU185" s="17">
        <f>CT185*VLOOKUP('Données projet'!$B$13,Paramètres!$A$1:$I$89,3,0)*VLOOKUP('Données projet'!$B$13,Paramètres!$A$1:$I$89,5,0)</f>
        <v>4.5224624045658861E-14</v>
      </c>
      <c r="CV185" s="13">
        <f t="shared" si="173"/>
        <v>7.4514601661523691E-13</v>
      </c>
      <c r="CW185" s="20">
        <f t="shared" si="174"/>
        <v>1.3765621991510601E-12</v>
      </c>
      <c r="CX185" s="59">
        <f t="shared" si="122"/>
        <v>291.171319990234</v>
      </c>
      <c r="CY185" s="59">
        <f ca="1">AVERAGE(OFFSET($CX$3,0,0,'Données projet'!$E$13+1,1))-AVERAGE(OFFSET($H$3,0,0,'Données projet'!$E$13+1,1))</f>
        <v>284.31574332240928</v>
      </c>
      <c r="CZ185" s="59">
        <f t="shared" si="150"/>
        <v>403.96994631683913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74.934150058138343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74.934150058138343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69.410359997336172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190.9519472160006</v>
      </c>
      <c r="DU185" s="59">
        <f t="shared" si="152"/>
        <v>170.61553500287511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16.045153860680983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16.045153860680983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69.410359997336172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>
        <f>EJ185*VLOOKUP('Données projet'!$B$15,Paramètres!$A$1:$I$89,3,0)*VLOOKUP('Données projet'!$B$15,Paramètres!$A$1:$I$89,5,0)</f>
        <v>0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331.94255128154623</v>
      </c>
      <c r="EP185" s="59">
        <f t="shared" si="154"/>
        <v>258.40809812013964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205.00662836497457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205.00662836497457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69.410359997336172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>
        <f>FE185*VLOOKUP('Données projet'!$B$16,Paramètres!$A$1:$I$89,3,0)*VLOOKUP('Données projet'!$B$16,Paramètres!$A$1:$I$89,5,0)</f>
        <v>0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290.72311302449236</v>
      </c>
      <c r="FK185" s="59">
        <f t="shared" si="156"/>
        <v>352.32552988394434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61.675123760193976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61.675123760193976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69.410359997336172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>
        <f>FZ185*VLOOKUP('Données projet'!$B$17,Paramètres!$A$1:$I$89,3,0)*VLOOKUP('Données projet'!$B$17,Paramètres!$A$1:$I$89,5,0)</f>
        <v>0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123.03972959251965</v>
      </c>
      <c r="GF185" s="59">
        <f t="shared" si="158"/>
        <v>178.27657680839445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13.405456110706966</v>
      </c>
      <c r="GM185" s="21">
        <f>EXP(-LN(2)/25)*GM184+(1-EXP(-LN(2)/25))/(LN(2)/25)*Calculateur!GH185*Calculateur!GJ185*VLOOKUP('Données projet'!$B$17,Paramètres!$A$1:$I$89,3,0)*0.475*44/12</f>
        <v>1.5052544129077454</v>
      </c>
      <c r="GN185" s="21">
        <f>EXP(-LN(2)/2)*GN184+(1-EXP(-LN(2)/2))/(LN(2)/2)*GH185*GK185*VLOOKUP('Données projet'!$B$17,Paramètres!$A$1:$I$89,3,0)*0.475*44/12</f>
        <v>1.4185541031967261E-16</v>
      </c>
      <c r="GO185" s="21">
        <f t="shared" si="187"/>
        <v>14.910710523614712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69.410359997336172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-4.5474735088646412E-13</v>
      </c>
      <c r="GV185" s="17">
        <f>GU185*VLOOKUP('Données projet'!$B$18,Paramètres!$A$1:$I$89,3,0)*VLOOKUP('Données projet'!$B$18,Paramètres!$A$1:$I$89,5,0)</f>
        <v>-3.0504452297464016E-13</v>
      </c>
      <c r="GW185" s="13" t="e">
        <f t="shared" si="188"/>
        <v>#NUM!</v>
      </c>
      <c r="GX185" s="20" t="e">
        <f t="shared" si="189"/>
        <v>#NUM!</v>
      </c>
      <c r="GY185" s="59" t="e">
        <f t="shared" si="137"/>
        <v>#NUM!</v>
      </c>
      <c r="GZ185" s="59">
        <f ca="1">AVERAGE(OFFSET($GY$3,0,0,'Données projet'!$E$18+1,1))-AVERAGE(OFFSET($H$3,0,0,'Données projet'!$E$18+1,1))</f>
        <v>542.25674729323623</v>
      </c>
      <c r="HA185" s="59">
        <f t="shared" si="160"/>
        <v>614.73906555680685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82.965200552264861</v>
      </c>
      <c r="HH185" s="21">
        <f>EXP(-LN(2)/25)*HH184+(1-EXP(-LN(2)/25))/(LN(2)/25)*Calculateur!HC185*Calculateur!HE185*VLOOKUP('Données projet'!$B$18,Paramètres!$A$1:$I$89,3,0)*0.475*44/12</f>
        <v>0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82.965200552264861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2.8499999999999996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10.449999999999998</v>
      </c>
      <c r="H186" s="67">
        <f t="shared" si="110"/>
        <v>214.86666666666667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69.420588933144828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-1.0231815394945443E-12</v>
      </c>
      <c r="O186" s="13">
        <f>N186*VLOOKUP('Données projet'!$B$9,Paramètres!$A$1:$I$89,3,0)*VLOOKUP('Données projet'!$B$9,Paramètres!$A$1:$I$89,5,0)</f>
        <v>-8.9385139290243408E-13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686.80970545599644</v>
      </c>
      <c r="T186" s="59">
        <f t="shared" si="142"/>
        <v>636.16485232937737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22.576715876861005</v>
      </c>
      <c r="AA186" s="21">
        <f>EXP(-LN(2)/25)*AA185+(1-EXP(-LN(2)/25))/(LN(2)/25)*Calculateur!V186*Calculateur!X186*VLOOKUP('Données projet'!$B$9,Paramètres!$A$1:$I$89,3,0)*0.475*44/12</f>
        <v>1.3124737681224909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23.889189644983496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69.420588933144828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1.1368683772161603E-13</v>
      </c>
      <c r="AJ186" s="13">
        <f>AI186*VLOOKUP('Données projet'!$B$10,Paramètres!$A$1:$I$89,3,0)*VLOOKUP('Données projet'!$B$10,Paramètres!$A$1:$I$89,5,0)</f>
        <v>1.0286385077051818E-13</v>
      </c>
      <c r="AK186" s="13">
        <f t="shared" si="164"/>
        <v>1.5402366592183556E-12</v>
      </c>
      <c r="AL186" s="20">
        <f t="shared" si="165"/>
        <v>2.8617333882306215E-12</v>
      </c>
      <c r="AM186" s="59">
        <f t="shared" si="113"/>
        <v>291.20882608820051</v>
      </c>
      <c r="AN186" s="59">
        <f ca="1">AVERAGE(OFFSET($AM$3,0,0,'Données projet'!$E$10+1,1))-AVERAGE(OFFSET($H$3,0,0,'Données projet'!$E$10+1,1))</f>
        <v>323.67375363913726</v>
      </c>
      <c r="AO186" s="59">
        <f t="shared" si="144"/>
        <v>266.03902815735029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19.798380564669227</v>
      </c>
      <c r="AV186" s="21">
        <f>EXP(-LN(2)/25)*AV185+(1-EXP(-LN(2)/25))/(LN(2)/25)*Calculateur!AQ186*Calculateur!AS186*VLOOKUP('Données projet'!$B$10,Paramètres!$A$1:$I$89,3,0)*0.475*44/12</f>
        <v>3.0296722553336033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22.828052820002831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69.420588933144828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371.46495716091965</v>
      </c>
      <c r="BJ186" s="59">
        <f t="shared" si="146"/>
        <v>579.95059529269417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14.44785891263551</v>
      </c>
      <c r="BQ186" s="21">
        <f>EXP(-LN(2)/25)*BQ185+(1-EXP(-LN(2)/25))/(LN(2)/25)*Calculateur!BL186*Calculateur!BN186*VLOOKUP('Données projet'!$B$11,Paramètres!$A$1:$I$89,3,0)*0.475*44/12</f>
        <v>1.5014513485273338</v>
      </c>
      <c r="BR186" s="21">
        <f>EXP(-LN(2)/2)*BR185+(1-EXP(-LN(2)/2))/(LN(2)/2)*BL186*BO186*VLOOKUP('Données projet'!$B$11,Paramètres!$A$1:$I$89,3,0)*0.475*44/12</f>
        <v>6.5783719920414275E-20</v>
      </c>
      <c r="BS186" s="22">
        <f t="shared" si="169"/>
        <v>15.949310261162845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69.420588933144828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180.18752244216969</v>
      </c>
      <c r="CE186" s="59">
        <f t="shared" si="148"/>
        <v>350.12096474554676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17.445954994420877</v>
      </c>
      <c r="CL186" s="21">
        <f>EXP(-LN(2)/25)*CL185+(1-EXP(-LN(2)/25))/(LN(2)/25)*Calculateur!CG186*Calculateur!CI186*VLOOKUP('Données projet'!$B$12,Paramètres!$A$1:$I$89,3,0)*0.475*44/12</f>
        <v>2.677053603135394</v>
      </c>
      <c r="CM186" s="21">
        <f>EXP(-LN(2)/2)*CM185+(1-EXP(-LN(2)/2))/(LN(2)/2)*CG186*CJ186*VLOOKUP('Données projet'!$B$12,Paramètres!$A$1:$I$89,3,0)*0.475*44/12</f>
        <v>4.997911979025937E-20</v>
      </c>
      <c r="CN186" s="22">
        <f t="shared" si="172"/>
        <v>20.123008597556272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69.420588933144828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5.6843418860808015E-14</v>
      </c>
      <c r="CU186" s="17">
        <f>CT186*VLOOKUP('Données projet'!$B$13,Paramètres!$A$1:$I$89,3,0)*VLOOKUP('Données projet'!$B$13,Paramètres!$A$1:$I$89,5,0)</f>
        <v>4.5224624045658861E-14</v>
      </c>
      <c r="CV186" s="13">
        <f t="shared" si="173"/>
        <v>7.4514601661523691E-13</v>
      </c>
      <c r="CW186" s="20">
        <f t="shared" si="174"/>
        <v>1.3765621991510601E-12</v>
      </c>
      <c r="CX186" s="59">
        <f t="shared" si="122"/>
        <v>291.20882608819903</v>
      </c>
      <c r="CY186" s="59">
        <f ca="1">AVERAGE(OFFSET($CX$3,0,0,'Données projet'!$E$13+1,1))-AVERAGE(OFFSET($H$3,0,0,'Données projet'!$E$13+1,1))</f>
        <v>284.31574332240928</v>
      </c>
      <c r="CZ186" s="59">
        <f t="shared" si="150"/>
        <v>403.96994631683913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73.464737080816761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73.464737080816761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69.420588933144828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190.9519472160006</v>
      </c>
      <c r="DU186" s="59">
        <f t="shared" si="152"/>
        <v>170.61553500287511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15.73051818005054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15.73051818005054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69.420588933144828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>
        <f>EJ186*VLOOKUP('Données projet'!$B$15,Paramètres!$A$1:$I$89,3,0)*VLOOKUP('Données projet'!$B$15,Paramètres!$A$1:$I$89,5,0)</f>
        <v>0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331.94255128154623</v>
      </c>
      <c r="EP186" s="59">
        <f t="shared" si="154"/>
        <v>258.40809812013964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200.98657342443389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200.98657342443389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69.420588933144828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>
        <f>FE186*VLOOKUP('Données projet'!$B$16,Paramètres!$A$1:$I$89,3,0)*VLOOKUP('Données projet'!$B$16,Paramètres!$A$1:$I$89,5,0)</f>
        <v>0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290.72311302449236</v>
      </c>
      <c r="FK186" s="59">
        <f t="shared" si="156"/>
        <v>352.32552988394434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60.465712201367587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60.465712201367587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69.420588933144828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>
        <f>FZ186*VLOOKUP('Données projet'!$B$17,Paramètres!$A$1:$I$89,3,0)*VLOOKUP('Données projet'!$B$17,Paramètres!$A$1:$I$89,5,0)</f>
        <v>0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123.03972959251965</v>
      </c>
      <c r="GF186" s="59">
        <f t="shared" si="158"/>
        <v>178.27657680839445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13.142583292896866</v>
      </c>
      <c r="GM186" s="21">
        <f>EXP(-LN(2)/25)*GM185+(1-EXP(-LN(2)/25))/(LN(2)/25)*Calculateur!GH186*Calculateur!GJ186*VLOOKUP('Données projet'!$B$17,Paramètres!$A$1:$I$89,3,0)*0.475*44/12</f>
        <v>1.4640931518288938</v>
      </c>
      <c r="GN186" s="21">
        <f>EXP(-LN(2)/2)*GN185+(1-EXP(-LN(2)/2))/(LN(2)/2)*GH186*GK186*VLOOKUP('Données projet'!$B$17,Paramètres!$A$1:$I$89,3,0)*0.475*44/12</f>
        <v>1.0030692258504066E-16</v>
      </c>
      <c r="GO186" s="21">
        <f t="shared" si="187"/>
        <v>14.60667644472576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69.420588933144828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-4.5474735088646412E-13</v>
      </c>
      <c r="GV186" s="17">
        <f>GU186*VLOOKUP('Données projet'!$B$18,Paramètres!$A$1:$I$89,3,0)*VLOOKUP('Données projet'!$B$18,Paramètres!$A$1:$I$89,5,0)</f>
        <v>-3.0504452297464016E-13</v>
      </c>
      <c r="GW186" s="13" t="e">
        <f t="shared" si="188"/>
        <v>#NUM!</v>
      </c>
      <c r="GX186" s="20" t="e">
        <f t="shared" si="189"/>
        <v>#NUM!</v>
      </c>
      <c r="GY186" s="59" t="e">
        <f t="shared" si="137"/>
        <v>#NUM!</v>
      </c>
      <c r="GZ186" s="59">
        <f ca="1">AVERAGE(OFFSET($GY$3,0,0,'Données projet'!$E$18+1,1))-AVERAGE(OFFSET($H$3,0,0,'Données projet'!$E$18+1,1))</f>
        <v>542.25674729323623</v>
      </c>
      <c r="HA186" s="59">
        <f t="shared" si="160"/>
        <v>614.73906555680685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81.338303573210581</v>
      </c>
      <c r="HH186" s="21">
        <f>EXP(-LN(2)/25)*HH185+(1-EXP(-LN(2)/25))/(LN(2)/25)*Calculateur!HC186*Calculateur!HE186*VLOOKUP('Données projet'!$B$18,Paramètres!$A$1:$I$89,3,0)*0.475*44/12</f>
        <v>0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81.338303573210581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2.8499999999999996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10.449999999999998</v>
      </c>
      <c r="H187" s="67">
        <f t="shared" si="110"/>
        <v>214.86666666666667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69.430640419785675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-1.0231815394945443E-12</v>
      </c>
      <c r="O187" s="13">
        <f>N187*VLOOKUP('Données projet'!$B$9,Paramètres!$A$1:$I$89,3,0)*VLOOKUP('Données projet'!$B$9,Paramètres!$A$1:$I$89,5,0)</f>
        <v>-8.9385139290243408E-13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686.80970545599644</v>
      </c>
      <c r="T187" s="59">
        <f t="shared" si="142"/>
        <v>636.16485232937737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22.134000248952727</v>
      </c>
      <c r="AA187" s="21">
        <f>EXP(-LN(2)/25)*AA186+(1-EXP(-LN(2)/25))/(LN(2)/25)*Calculateur!V187*Calculateur!X187*VLOOKUP('Données projet'!$B$9,Paramètres!$A$1:$I$89,3,0)*0.475*44/12</f>
        <v>1.2765841039131858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23.410584352865914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69.430640419785675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1.1368683772161603E-13</v>
      </c>
      <c r="AJ187" s="13">
        <f>AI187*VLOOKUP('Données projet'!$B$10,Paramètres!$A$1:$I$89,3,0)*VLOOKUP('Données projet'!$B$10,Paramètres!$A$1:$I$89,5,0)</f>
        <v>1.0286385077051818E-13</v>
      </c>
      <c r="AK187" s="13">
        <f t="shared" si="164"/>
        <v>1.5402366592183556E-12</v>
      </c>
      <c r="AL187" s="20">
        <f t="shared" si="165"/>
        <v>2.8617333882306215E-12</v>
      </c>
      <c r="AM187" s="59">
        <f t="shared" si="113"/>
        <v>291.24568153921695</v>
      </c>
      <c r="AN187" s="59">
        <f ca="1">AVERAGE(OFFSET($AM$3,0,0,'Données projet'!$E$10+1,1))-AVERAGE(OFFSET($H$3,0,0,'Données projet'!$E$10+1,1))</f>
        <v>323.67375363913726</v>
      </c>
      <c r="AO187" s="59">
        <f t="shared" si="144"/>
        <v>266.03902815735029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19.410146397615819</v>
      </c>
      <c r="AV187" s="21">
        <f>EXP(-LN(2)/25)*AV186+(1-EXP(-LN(2)/25))/(LN(2)/25)*Calculateur!AQ187*Calculateur!AS187*VLOOKUP('Données projet'!$B$10,Paramètres!$A$1:$I$89,3,0)*0.475*44/12</f>
        <v>2.9468257081879665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22.356972105803784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69.430640419785675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371.46495716091965</v>
      </c>
      <c r="BJ187" s="59">
        <f t="shared" si="146"/>
        <v>579.95059529269417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14.164545211682521</v>
      </c>
      <c r="BQ187" s="21">
        <f>EXP(-LN(2)/25)*BQ186+(1-EXP(-LN(2)/25))/(LN(2)/25)*Calculateur!BL187*Calculateur!BN187*VLOOKUP('Données projet'!$B$11,Paramètres!$A$1:$I$89,3,0)*0.475*44/12</f>
        <v>1.460394082443959</v>
      </c>
      <c r="BR187" s="21">
        <f>EXP(-LN(2)/2)*BR186+(1-EXP(-LN(2)/2))/(LN(2)/2)*BL187*BO187*VLOOKUP('Données projet'!$B$11,Paramètres!$A$1:$I$89,3,0)*0.475*44/12</f>
        <v>4.6516114447401505E-20</v>
      </c>
      <c r="BS187" s="22">
        <f t="shared" si="169"/>
        <v>15.624939294126479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69.430640419785675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180.18752244216969</v>
      </c>
      <c r="CE187" s="59">
        <f t="shared" si="148"/>
        <v>350.12096474554676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17.103850457962121</v>
      </c>
      <c r="CL187" s="21">
        <f>EXP(-LN(2)/25)*CL186+(1-EXP(-LN(2)/25))/(LN(2)/25)*Calculateur!CG187*Calculateur!CI187*VLOOKUP('Données projet'!$B$12,Paramètres!$A$1:$I$89,3,0)*0.475*44/12</f>
        <v>2.603849431577526</v>
      </c>
      <c r="CM187" s="21">
        <f>EXP(-LN(2)/2)*CM186+(1-EXP(-LN(2)/2))/(LN(2)/2)*CG187*CJ187*VLOOKUP('Données projet'!$B$12,Paramètres!$A$1:$I$89,3,0)*0.475*44/12</f>
        <v>3.5340574521427179E-20</v>
      </c>
      <c r="CN187" s="22">
        <f t="shared" si="172"/>
        <v>19.707699889539647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69.430640419785675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5.6843418860808015E-14</v>
      </c>
      <c r="CU187" s="17">
        <f>CT187*VLOOKUP('Données projet'!$B$13,Paramètres!$A$1:$I$89,3,0)*VLOOKUP('Données projet'!$B$13,Paramètres!$A$1:$I$89,5,0)</f>
        <v>4.5224624045658861E-14</v>
      </c>
      <c r="CV187" s="13">
        <f t="shared" si="173"/>
        <v>7.4514601661523691E-13</v>
      </c>
      <c r="CW187" s="20">
        <f t="shared" si="174"/>
        <v>1.3765621991510601E-12</v>
      </c>
      <c r="CX187" s="59">
        <f t="shared" si="122"/>
        <v>291.24568153921547</v>
      </c>
      <c r="CY187" s="59">
        <f ca="1">AVERAGE(OFFSET($CX$3,0,0,'Données projet'!$E$13+1,1))-AVERAGE(OFFSET($H$3,0,0,'Données projet'!$E$13+1,1))</f>
        <v>284.31574332240928</v>
      </c>
      <c r="CZ187" s="59">
        <f t="shared" si="150"/>
        <v>403.96994631683913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72.024138395727036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72.024138395727036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69.430640419785675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190.9519472160006</v>
      </c>
      <c r="DU187" s="59">
        <f t="shared" si="152"/>
        <v>170.61553500287511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15.422052313208443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15.422052313208443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69.430640419785675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>
        <f>EJ187*VLOOKUP('Données projet'!$B$15,Paramètres!$A$1:$I$89,3,0)*VLOOKUP('Données projet'!$B$15,Paramètres!$A$1:$I$89,5,0)</f>
        <v>0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331.94255128154623</v>
      </c>
      <c r="EP187" s="59">
        <f t="shared" si="154"/>
        <v>258.40809812013964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197.0453493092858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197.0453493092858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69.430640419785675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>
        <f>FE187*VLOOKUP('Données projet'!$B$16,Paramètres!$A$1:$I$89,3,0)*VLOOKUP('Données projet'!$B$16,Paramètres!$A$1:$I$89,5,0)</f>
        <v>0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290.72311302449236</v>
      </c>
      <c r="FK187" s="59">
        <f t="shared" si="156"/>
        <v>352.32552988394434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59.280016465541571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59.280016465541571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69.430640419785675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>
        <f>FZ187*VLOOKUP('Données projet'!$B$17,Paramètres!$A$1:$I$89,3,0)*VLOOKUP('Données projet'!$B$17,Paramètres!$A$1:$I$89,5,0)</f>
        <v>0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123.03972959251965</v>
      </c>
      <c r="GF187" s="59">
        <f t="shared" si="158"/>
        <v>178.27657680839445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12.884865250707435</v>
      </c>
      <c r="GM187" s="21">
        <f>EXP(-LN(2)/25)*GM186+(1-EXP(-LN(2)/25))/(LN(2)/25)*Calculateur!GH187*Calculateur!GJ187*VLOOKUP('Données projet'!$B$17,Paramètres!$A$1:$I$89,3,0)*0.475*44/12</f>
        <v>1.4240574475988201</v>
      </c>
      <c r="GN187" s="21">
        <f>EXP(-LN(2)/2)*GN186+(1-EXP(-LN(2)/2))/(LN(2)/2)*GH187*GK187*VLOOKUP('Données projet'!$B$17,Paramètres!$A$1:$I$89,3,0)*0.475*44/12</f>
        <v>7.0927705159836305E-17</v>
      </c>
      <c r="GO187" s="21">
        <f t="shared" si="187"/>
        <v>14.308922698306255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69.430640419785675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-4.5474735088646412E-13</v>
      </c>
      <c r="GV187" s="17">
        <f>GU187*VLOOKUP('Données projet'!$B$18,Paramètres!$A$1:$I$89,3,0)*VLOOKUP('Données projet'!$B$18,Paramètres!$A$1:$I$89,5,0)</f>
        <v>-3.0504452297464016E-13</v>
      </c>
      <c r="GW187" s="13" t="e">
        <f t="shared" si="188"/>
        <v>#NUM!</v>
      </c>
      <c r="GX187" s="20" t="e">
        <f t="shared" si="189"/>
        <v>#NUM!</v>
      </c>
      <c r="GY187" s="59" t="e">
        <f t="shared" si="137"/>
        <v>#NUM!</v>
      </c>
      <c r="GZ187" s="59">
        <f ca="1">AVERAGE(OFFSET($GY$3,0,0,'Données projet'!$E$18+1,1))-AVERAGE(OFFSET($H$3,0,0,'Données projet'!$E$18+1,1))</f>
        <v>542.25674729323623</v>
      </c>
      <c r="HA187" s="59">
        <f t="shared" si="160"/>
        <v>614.73906555680685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79.743309051606374</v>
      </c>
      <c r="HH187" s="21">
        <f>EXP(-LN(2)/25)*HH186+(1-EXP(-LN(2)/25))/(LN(2)/25)*Calculateur!HC187*Calculateur!HE187*VLOOKUP('Données projet'!$B$18,Paramètres!$A$1:$I$89,3,0)*0.475*44/12</f>
        <v>0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79.743309051606374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2.8499999999999996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10.449999999999998</v>
      </c>
      <c r="H188" s="67">
        <f t="shared" si="110"/>
        <v>214.86666666666667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69.440517535605068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-1.0231815394945443E-12</v>
      </c>
      <c r="O188" s="13">
        <f>N188*VLOOKUP('Données projet'!$B$9,Paramètres!$A$1:$I$89,3,0)*VLOOKUP('Données projet'!$B$9,Paramètres!$A$1:$I$89,5,0)</f>
        <v>-8.9385139290243408E-13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686.80970545599644</v>
      </c>
      <c r="T188" s="59">
        <f t="shared" si="142"/>
        <v>636.16485232937737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21.699966004477862</v>
      </c>
      <c r="AA188" s="21">
        <f>EXP(-LN(2)/25)*AA187+(1-EXP(-LN(2)/25))/(LN(2)/25)*Calculateur!V188*Calculateur!X188*VLOOKUP('Données projet'!$B$9,Paramètres!$A$1:$I$89,3,0)*0.475*44/12</f>
        <v>1.2416758444590394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22.9416418489369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69.440517535605068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1.1368683772161603E-13</v>
      </c>
      <c r="AJ188" s="13">
        <f>AI188*VLOOKUP('Données projet'!$B$10,Paramètres!$A$1:$I$89,3,0)*VLOOKUP('Données projet'!$B$10,Paramètres!$A$1:$I$89,5,0)</f>
        <v>1.0286385077051818E-13</v>
      </c>
      <c r="AK188" s="13">
        <f t="shared" si="164"/>
        <v>1.5402366592183556E-12</v>
      </c>
      <c r="AL188" s="20">
        <f t="shared" si="165"/>
        <v>2.8617333882306215E-12</v>
      </c>
      <c r="AM188" s="59">
        <f t="shared" si="113"/>
        <v>291.28189763055474</v>
      </c>
      <c r="AN188" s="59">
        <f ca="1">AVERAGE(OFFSET($AM$3,0,0,'Données projet'!$E$10+1,1))-AVERAGE(OFFSET($H$3,0,0,'Données projet'!$E$10+1,1))</f>
        <v>323.67375363913726</v>
      </c>
      <c r="AO188" s="59">
        <f t="shared" si="144"/>
        <v>266.03902815735029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19.029525265778869</v>
      </c>
      <c r="AV188" s="21">
        <f>EXP(-LN(2)/25)*AV187+(1-EXP(-LN(2)/25))/(LN(2)/25)*Calculateur!AQ188*Calculateur!AS188*VLOOKUP('Données projet'!$B$10,Paramètres!$A$1:$I$89,3,0)*0.475*44/12</f>
        <v>2.8662446042307375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21.895769870009605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69.440517535605068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371.46495716091965</v>
      </c>
      <c r="BJ188" s="59">
        <f t="shared" si="146"/>
        <v>579.95059529269417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13.886787119600925</v>
      </c>
      <c r="BQ188" s="21">
        <f>EXP(-LN(2)/25)*BQ187+(1-EXP(-LN(2)/25))/(LN(2)/25)*Calculateur!BL188*Calculateur!BN188*VLOOKUP('Données projet'!$B$11,Paramètres!$A$1:$I$89,3,0)*0.475*44/12</f>
        <v>1.4204595294607418</v>
      </c>
      <c r="BR188" s="21">
        <f>EXP(-LN(2)/2)*BR187+(1-EXP(-LN(2)/2))/(LN(2)/2)*BL188*BO188*VLOOKUP('Données projet'!$B$11,Paramètres!$A$1:$I$89,3,0)*0.475*44/12</f>
        <v>3.2891859960207137E-20</v>
      </c>
      <c r="BS188" s="22">
        <f t="shared" si="169"/>
        <v>15.307246649061666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69.440517535605068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180.18752244216969</v>
      </c>
      <c r="CE188" s="59">
        <f t="shared" si="148"/>
        <v>350.12096474554676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16.768454382800158</v>
      </c>
      <c r="CL188" s="21">
        <f>EXP(-LN(2)/25)*CL187+(1-EXP(-LN(2)/25))/(LN(2)/25)*Calculateur!CG188*Calculateur!CI188*VLOOKUP('Données projet'!$B$12,Paramètres!$A$1:$I$89,3,0)*0.475*44/12</f>
        <v>2.5326470319405483</v>
      </c>
      <c r="CM188" s="21">
        <f>EXP(-LN(2)/2)*CM187+(1-EXP(-LN(2)/2))/(LN(2)/2)*CG188*CJ188*VLOOKUP('Données projet'!$B$12,Paramètres!$A$1:$I$89,3,0)*0.475*44/12</f>
        <v>2.4989559895129685E-20</v>
      </c>
      <c r="CN188" s="22">
        <f t="shared" si="172"/>
        <v>19.301101414740707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69.440517535605068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5.6843418860808015E-14</v>
      </c>
      <c r="CU188" s="17">
        <f>CT188*VLOOKUP('Données projet'!$B$13,Paramètres!$A$1:$I$89,3,0)*VLOOKUP('Données projet'!$B$13,Paramètres!$A$1:$I$89,5,0)</f>
        <v>4.5224624045658861E-14</v>
      </c>
      <c r="CV188" s="13">
        <f t="shared" si="173"/>
        <v>7.4514601661523691E-13</v>
      </c>
      <c r="CW188" s="20">
        <f t="shared" si="174"/>
        <v>1.3765621991510601E-12</v>
      </c>
      <c r="CX188" s="59">
        <f t="shared" si="122"/>
        <v>291.28189763055326</v>
      </c>
      <c r="CY188" s="59">
        <f ca="1">AVERAGE(OFFSET($CX$3,0,0,'Données projet'!$E$13+1,1))-AVERAGE(OFFSET($H$3,0,0,'Données projet'!$E$13+1,1))</f>
        <v>284.31574332240928</v>
      </c>
      <c r="CZ188" s="59">
        <f t="shared" si="150"/>
        <v>403.96994631683913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70.611788972173485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70.611788972173485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69.440517535605068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190.9519472160006</v>
      </c>
      <c r="DU188" s="59">
        <f t="shared" si="152"/>
        <v>170.61553500287511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15.11963527386952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15.11963527386952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69.440517535605068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>
        <f>EJ188*VLOOKUP('Données projet'!$B$15,Paramètres!$A$1:$I$89,3,0)*VLOOKUP('Données projet'!$B$15,Paramètres!$A$1:$I$89,5,0)</f>
        <v>0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331.94255128154623</v>
      </c>
      <c r="EP188" s="59">
        <f t="shared" si="154"/>
        <v>258.40809812013964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193.18141019512643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193.18141019512643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69.440517535605068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>
        <f>FE188*VLOOKUP('Données projet'!$B$16,Paramètres!$A$1:$I$89,3,0)*VLOOKUP('Données projet'!$B$16,Paramètres!$A$1:$I$89,5,0)</f>
        <v>0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290.72311302449236</v>
      </c>
      <c r="FK188" s="59">
        <f t="shared" si="156"/>
        <v>352.32552988394434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58.117571499892115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58.117571499892115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69.440517535605068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>
        <f>FZ188*VLOOKUP('Données projet'!$B$17,Paramètres!$A$1:$I$89,3,0)*VLOOKUP('Données projet'!$B$17,Paramètres!$A$1:$I$89,5,0)</f>
        <v>0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123.03972959251965</v>
      </c>
      <c r="GF188" s="59">
        <f t="shared" si="158"/>
        <v>178.27657680839445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12.632200902132855</v>
      </c>
      <c r="GM188" s="21">
        <f>EXP(-LN(2)/25)*GM187+(1-EXP(-LN(2)/25))/(LN(2)/25)*Calculateur!GH188*Calculateur!GJ188*VLOOKUP('Données projet'!$B$17,Paramètres!$A$1:$I$89,3,0)*0.475*44/12</f>
        <v>1.385116521806304</v>
      </c>
      <c r="GN188" s="21">
        <f>EXP(-LN(2)/2)*GN187+(1-EXP(-LN(2)/2))/(LN(2)/2)*GH188*GK188*VLOOKUP('Données projet'!$B$17,Paramètres!$A$1:$I$89,3,0)*0.475*44/12</f>
        <v>5.0153461292520328E-17</v>
      </c>
      <c r="GO188" s="21">
        <f t="shared" si="187"/>
        <v>14.017317423939158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69.440517535605068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-4.5474735088646412E-13</v>
      </c>
      <c r="GV188" s="17">
        <f>GU188*VLOOKUP('Données projet'!$B$18,Paramètres!$A$1:$I$89,3,0)*VLOOKUP('Données projet'!$B$18,Paramètres!$A$1:$I$89,5,0)</f>
        <v>-3.0504452297464016E-13</v>
      </c>
      <c r="GW188" s="13" t="e">
        <f t="shared" si="188"/>
        <v>#NUM!</v>
      </c>
      <c r="GX188" s="20" t="e">
        <f t="shared" si="189"/>
        <v>#NUM!</v>
      </c>
      <c r="GY188" s="59" t="e">
        <f t="shared" si="137"/>
        <v>#NUM!</v>
      </c>
      <c r="GZ188" s="59">
        <f ca="1">AVERAGE(OFFSET($GY$3,0,0,'Données projet'!$E$18+1,1))-AVERAGE(OFFSET($H$3,0,0,'Données projet'!$E$18+1,1))</f>
        <v>542.25674729323623</v>
      </c>
      <c r="HA188" s="59">
        <f t="shared" si="160"/>
        <v>614.73906555680685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78.179591399720223</v>
      </c>
      <c r="HH188" s="21">
        <f>EXP(-LN(2)/25)*HH187+(1-EXP(-LN(2)/25))/(LN(2)/25)*Calculateur!HC188*Calculateur!HE188*VLOOKUP('Données projet'!$B$18,Paramètres!$A$1:$I$89,3,0)*0.475*44/12</f>
        <v>0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78.179591399720223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2.8499999999999996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10.449999999999998</v>
      </c>
      <c r="H189" s="67">
        <f t="shared" si="110"/>
        <v>214.86666666666667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69.450223305546913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-1.0231815394945443E-12</v>
      </c>
      <c r="O189" s="13">
        <f>N189*VLOOKUP('Données projet'!$B$9,Paramètres!$A$1:$I$89,3,0)*VLOOKUP('Données projet'!$B$9,Paramètres!$A$1:$I$89,5,0)</f>
        <v>-8.9385139290243408E-13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686.80970545599644</v>
      </c>
      <c r="T189" s="59">
        <f t="shared" si="142"/>
        <v>636.16485232937737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21.274442906802399</v>
      </c>
      <c r="AA189" s="21">
        <f>EXP(-LN(2)/25)*AA188+(1-EXP(-LN(2)/25))/(LN(2)/25)*Calculateur!V189*Calculateur!X189*VLOOKUP('Données projet'!$B$9,Paramètres!$A$1:$I$89,3,0)*0.475*44/12</f>
        <v>1.2077221531954123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22.482165059997811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69.450223305546913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1.1368683772161603E-13</v>
      </c>
      <c r="AJ189" s="13">
        <f>AI189*VLOOKUP('Données projet'!$B$10,Paramètres!$A$1:$I$89,3,0)*VLOOKUP('Données projet'!$B$10,Paramètres!$A$1:$I$89,5,0)</f>
        <v>1.0286385077051818E-13</v>
      </c>
      <c r="AK189" s="13">
        <f t="shared" si="164"/>
        <v>1.5402366592183556E-12</v>
      </c>
      <c r="AL189" s="20">
        <f t="shared" si="165"/>
        <v>2.8617333882306215E-12</v>
      </c>
      <c r="AM189" s="59">
        <f t="shared" si="113"/>
        <v>291.31748545367486</v>
      </c>
      <c r="AN189" s="59">
        <f ca="1">AVERAGE(OFFSET($AM$3,0,0,'Données projet'!$E$10+1,1))-AVERAGE(OFFSET($H$3,0,0,'Données projet'!$E$10+1,1))</f>
        <v>323.67375363913726</v>
      </c>
      <c r="AO189" s="59">
        <f t="shared" si="144"/>
        <v>266.03902815735029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18.656367882181275</v>
      </c>
      <c r="AV189" s="21">
        <f>EXP(-LN(2)/25)*AV188+(1-EXP(-LN(2)/25))/(LN(2)/25)*Calculateur!AQ189*Calculateur!AS189*VLOOKUP('Données projet'!$B$10,Paramètres!$A$1:$I$89,3,0)*0.475*44/12</f>
        <v>2.7878669947987951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21.444234876980069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69.450223305546913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371.46495716091965</v>
      </c>
      <c r="BJ189" s="59">
        <f t="shared" si="146"/>
        <v>579.95059529269417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13.614475694289339</v>
      </c>
      <c r="BQ189" s="21">
        <f>EXP(-LN(2)/25)*BQ188+(1-EXP(-LN(2)/25))/(LN(2)/25)*Calculateur!BL189*Calculateur!BN189*VLOOKUP('Données projet'!$B$11,Paramètres!$A$1:$I$89,3,0)*0.475*44/12</f>
        <v>1.3816169889289176</v>
      </c>
      <c r="BR189" s="21">
        <f>EXP(-LN(2)/2)*BR188+(1-EXP(-LN(2)/2))/(LN(2)/2)*BL189*BO189*VLOOKUP('Données projet'!$B$11,Paramètres!$A$1:$I$89,3,0)*0.475*44/12</f>
        <v>2.3258057223700752E-20</v>
      </c>
      <c r="BS189" s="22">
        <f t="shared" si="169"/>
        <v>14.996092683218258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69.450223305546913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180.18752244216969</v>
      </c>
      <c r="CE189" s="59">
        <f t="shared" si="148"/>
        <v>350.12096474554676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16.439635220100715</v>
      </c>
      <c r="CL189" s="21">
        <f>EXP(-LN(2)/25)*CL188+(1-EXP(-LN(2)/25))/(LN(2)/25)*Calculateur!CG189*Calculateur!CI189*VLOOKUP('Données projet'!$B$12,Paramètres!$A$1:$I$89,3,0)*0.475*44/12</f>
        <v>2.4633916656660149</v>
      </c>
      <c r="CM189" s="21">
        <f>EXP(-LN(2)/2)*CM188+(1-EXP(-LN(2)/2))/(LN(2)/2)*CG189*CJ189*VLOOKUP('Données projet'!$B$12,Paramètres!$A$1:$I$89,3,0)*0.475*44/12</f>
        <v>1.767028726071359E-20</v>
      </c>
      <c r="CN189" s="22">
        <f t="shared" si="172"/>
        <v>18.903026885766732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69.450223305546913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5.6843418860808015E-14</v>
      </c>
      <c r="CU189" s="17">
        <f>CT189*VLOOKUP('Données projet'!$B$13,Paramètres!$A$1:$I$89,3,0)*VLOOKUP('Données projet'!$B$13,Paramètres!$A$1:$I$89,5,0)</f>
        <v>4.5224624045658861E-14</v>
      </c>
      <c r="CV189" s="13">
        <f t="shared" si="173"/>
        <v>7.4514601661523691E-13</v>
      </c>
      <c r="CW189" s="20">
        <f t="shared" si="174"/>
        <v>1.3765621991510601E-12</v>
      </c>
      <c r="CX189" s="59">
        <f t="shared" si="122"/>
        <v>291.31748545367338</v>
      </c>
      <c r="CY189" s="59">
        <f ca="1">AVERAGE(OFFSET($CX$3,0,0,'Données projet'!$E$13+1,1))-AVERAGE(OFFSET($H$3,0,0,'Données projet'!$E$13+1,1))</f>
        <v>284.31574332240928</v>
      </c>
      <c r="CZ189" s="59">
        <f t="shared" si="150"/>
        <v>403.96994631683913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69.227134859367737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69.227134859367737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69.450223305546913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190.9519472160006</v>
      </c>
      <c r="DU189" s="59">
        <f t="shared" si="152"/>
        <v>170.61553500287511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14.823148448215852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14.823148448215852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69.450223305546913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>
        <f>EJ189*VLOOKUP('Données projet'!$B$15,Paramètres!$A$1:$I$89,3,0)*VLOOKUP('Données projet'!$B$15,Paramètres!$A$1:$I$89,5,0)</f>
        <v>0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331.94255128154623</v>
      </c>
      <c r="EP189" s="59">
        <f t="shared" si="154"/>
        <v>258.40809812013964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189.39324057022557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189.39324057022557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69.450223305546913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>
        <f>FE189*VLOOKUP('Données projet'!$B$16,Paramètres!$A$1:$I$89,3,0)*VLOOKUP('Données projet'!$B$16,Paramètres!$A$1:$I$89,5,0)</f>
        <v>0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290.72311302449236</v>
      </c>
      <c r="FK189" s="59">
        <f t="shared" si="156"/>
        <v>352.32552988394434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56.977921370997628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56.977921370997628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69.450223305546913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>
        <f>FZ189*VLOOKUP('Données projet'!$B$17,Paramètres!$A$1:$I$89,3,0)*VLOOKUP('Données projet'!$B$17,Paramètres!$A$1:$I$89,5,0)</f>
        <v>0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123.03972959251965</v>
      </c>
      <c r="GF189" s="59">
        <f t="shared" si="158"/>
        <v>178.27657680839445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12.384491147323786</v>
      </c>
      <c r="GM189" s="21">
        <f>EXP(-LN(2)/25)*GM188+(1-EXP(-LN(2)/25))/(LN(2)/25)*Calculateur!GH189*Calculateur!GJ189*VLOOKUP('Données projet'!$B$17,Paramètres!$A$1:$I$89,3,0)*0.475*44/12</f>
        <v>1.3472404376773983</v>
      </c>
      <c r="GN189" s="21">
        <f>EXP(-LN(2)/2)*GN188+(1-EXP(-LN(2)/2))/(LN(2)/2)*GH189*GK189*VLOOKUP('Données projet'!$B$17,Paramètres!$A$1:$I$89,3,0)*0.475*44/12</f>
        <v>3.5463852579918152E-17</v>
      </c>
      <c r="GO189" s="21">
        <f t="shared" si="187"/>
        <v>13.731731585001183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69.450223305546913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-4.5474735088646412E-13</v>
      </c>
      <c r="GV189" s="17">
        <f>GU189*VLOOKUP('Données projet'!$B$18,Paramètres!$A$1:$I$89,3,0)*VLOOKUP('Données projet'!$B$18,Paramètres!$A$1:$I$89,5,0)</f>
        <v>-3.0504452297464016E-13</v>
      </c>
      <c r="GW189" s="13" t="e">
        <f t="shared" si="188"/>
        <v>#NUM!</v>
      </c>
      <c r="GX189" s="20" t="e">
        <f t="shared" si="189"/>
        <v>#NUM!</v>
      </c>
      <c r="GY189" s="59" t="e">
        <f t="shared" si="137"/>
        <v>#NUM!</v>
      </c>
      <c r="GZ189" s="59">
        <f ca="1">AVERAGE(OFFSET($GY$3,0,0,'Données projet'!$E$18+1,1))-AVERAGE(OFFSET($H$3,0,0,'Données projet'!$E$18+1,1))</f>
        <v>542.25674729323623</v>
      </c>
      <c r="HA189" s="59">
        <f t="shared" si="160"/>
        <v>614.73906555680685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76.646537297213982</v>
      </c>
      <c r="HH189" s="21">
        <f>EXP(-LN(2)/25)*HH188+(1-EXP(-LN(2)/25))/(LN(2)/25)*Calculateur!HC189*Calculateur!HE189*VLOOKUP('Données projet'!$B$18,Paramètres!$A$1:$I$89,3,0)*0.475*44/12</f>
        <v>0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76.646537297213982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2.8499999999999996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10.449999999999998</v>
      </c>
      <c r="H190" s="67">
        <f t="shared" si="110"/>
        <v>214.86666666666667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69.459760702079123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-1.0231815394945443E-12</v>
      </c>
      <c r="O190" s="13">
        <f>N190*VLOOKUP('Données projet'!$B$9,Paramètres!$A$1:$I$89,3,0)*VLOOKUP('Données projet'!$B$9,Paramètres!$A$1:$I$89,5,0)</f>
        <v>-8.9385139290243408E-13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686.80970545599644</v>
      </c>
      <c r="T190" s="59">
        <f t="shared" si="142"/>
        <v>636.16485232937737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20.857264057528891</v>
      </c>
      <c r="AA190" s="21">
        <f>EXP(-LN(2)/25)*AA189+(1-EXP(-LN(2)/25))/(LN(2)/25)*Calculateur!V190*Calculateur!X190*VLOOKUP('Données projet'!$B$9,Paramètres!$A$1:$I$89,3,0)*0.475*44/12</f>
        <v>1.1746969274049359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22.031960984933825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69.459760702079123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1.1368683772161603E-13</v>
      </c>
      <c r="AJ190" s="13">
        <f>AI190*VLOOKUP('Données projet'!$B$10,Paramètres!$A$1:$I$89,3,0)*VLOOKUP('Données projet'!$B$10,Paramètres!$A$1:$I$89,5,0)</f>
        <v>1.0286385077051818E-13</v>
      </c>
      <c r="AK190" s="13">
        <f t="shared" si="164"/>
        <v>1.5402366592183556E-12</v>
      </c>
      <c r="AL190" s="20">
        <f t="shared" si="165"/>
        <v>2.8617333882306215E-12</v>
      </c>
      <c r="AM190" s="59">
        <f t="shared" si="113"/>
        <v>291.35245590762628</v>
      </c>
      <c r="AN190" s="59">
        <f ca="1">AVERAGE(OFFSET($AM$3,0,0,'Données projet'!$E$10+1,1))-AVERAGE(OFFSET($H$3,0,0,'Données projet'!$E$10+1,1))</f>
        <v>323.67375363913726</v>
      </c>
      <c r="AO190" s="59">
        <f t="shared" si="144"/>
        <v>266.03902815735029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18.2905278872725</v>
      </c>
      <c r="AV190" s="21">
        <f>EXP(-LN(2)/25)*AV189+(1-EXP(-LN(2)/25))/(LN(2)/25)*Calculateur!AQ190*Calculateur!AS190*VLOOKUP('Données projet'!$B$10,Paramètres!$A$1:$I$89,3,0)*0.475*44/12</f>
        <v>2.7116326252184684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21.002160512490967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69.459760702079123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371.46495716091965</v>
      </c>
      <c r="BJ190" s="59">
        <f t="shared" si="146"/>
        <v>579.95059529269417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13.347504129934546</v>
      </c>
      <c r="BQ190" s="21">
        <f>EXP(-LN(2)/25)*BQ189+(1-EXP(-LN(2)/25))/(LN(2)/25)*Calculateur!BL190*Calculateur!BN190*VLOOKUP('Données projet'!$B$11,Paramètres!$A$1:$I$89,3,0)*0.475*44/12</f>
        <v>1.3438365997105766</v>
      </c>
      <c r="BR190" s="21">
        <f>EXP(-LN(2)/2)*BR189+(1-EXP(-LN(2)/2))/(LN(2)/2)*BL190*BO190*VLOOKUP('Données projet'!$B$11,Paramètres!$A$1:$I$89,3,0)*0.475*44/12</f>
        <v>1.6445929980103569E-20</v>
      </c>
      <c r="BS190" s="22">
        <f t="shared" si="169"/>
        <v>14.691340729645121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69.459760702079123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180.18752244216969</v>
      </c>
      <c r="CE190" s="59">
        <f t="shared" si="148"/>
        <v>350.12096474554676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16.117264000621923</v>
      </c>
      <c r="CL190" s="21">
        <f>EXP(-LN(2)/25)*CL189+(1-EXP(-LN(2)/25))/(LN(2)/25)*Calculateur!CG190*Calculateur!CI190*VLOOKUP('Données projet'!$B$12,Paramètres!$A$1:$I$89,3,0)*0.475*44/12</f>
        <v>2.3960300910242402</v>
      </c>
      <c r="CM190" s="21">
        <f>EXP(-LN(2)/2)*CM189+(1-EXP(-LN(2)/2))/(LN(2)/2)*CG190*CJ190*VLOOKUP('Données projet'!$B$12,Paramètres!$A$1:$I$89,3,0)*0.475*44/12</f>
        <v>1.2494779947564843E-20</v>
      </c>
      <c r="CN190" s="22">
        <f t="shared" si="172"/>
        <v>18.513294091646163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69.459760702079123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5.6843418860808015E-14</v>
      </c>
      <c r="CU190" s="17">
        <f>CT190*VLOOKUP('Données projet'!$B$13,Paramètres!$A$1:$I$89,3,0)*VLOOKUP('Données projet'!$B$13,Paramètres!$A$1:$I$89,5,0)</f>
        <v>4.5224624045658861E-14</v>
      </c>
      <c r="CV190" s="13">
        <f t="shared" si="173"/>
        <v>7.4514601661523691E-13</v>
      </c>
      <c r="CW190" s="20">
        <f t="shared" si="174"/>
        <v>1.3765621991510601E-12</v>
      </c>
      <c r="CX190" s="59">
        <f t="shared" si="122"/>
        <v>291.3524559076248</v>
      </c>
      <c r="CY190" s="59">
        <f ca="1">AVERAGE(OFFSET($CX$3,0,0,'Données projet'!$E$13+1,1))-AVERAGE(OFFSET($H$3,0,0,'Données projet'!$E$13+1,1))</f>
        <v>284.31574332240928</v>
      </c>
      <c r="CZ190" s="59">
        <f t="shared" si="150"/>
        <v>403.96994631683913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67.869632969158488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67.869632969158488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69.459760702079123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190.9519472160006</v>
      </c>
      <c r="DU190" s="59">
        <f t="shared" si="152"/>
        <v>170.61553500287511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14.532475548374146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14.532475548374146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69.459760702079123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>
        <f>EJ190*VLOOKUP('Données projet'!$B$15,Paramètres!$A$1:$I$89,3,0)*VLOOKUP('Données projet'!$B$15,Paramètres!$A$1:$I$89,5,0)</f>
        <v>0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331.94255128154623</v>
      </c>
      <c r="EP190" s="59">
        <f t="shared" si="154"/>
        <v>258.40809812013964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185.67935464111369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185.67935464111369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69.459760702079123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>
        <f>FE190*VLOOKUP('Données projet'!$B$16,Paramètres!$A$1:$I$89,3,0)*VLOOKUP('Données projet'!$B$16,Paramètres!$A$1:$I$89,5,0)</f>
        <v>0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290.72311302449236</v>
      </c>
      <c r="FK190" s="59">
        <f t="shared" si="156"/>
        <v>352.32552988394434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55.860619086012818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55.860619086012818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69.459760702079123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>
        <f>FZ190*VLOOKUP('Données projet'!$B$17,Paramètres!$A$1:$I$89,3,0)*VLOOKUP('Données projet'!$B$17,Paramètres!$A$1:$I$89,5,0)</f>
        <v>0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123.03972959251965</v>
      </c>
      <c r="GF190" s="59">
        <f t="shared" si="158"/>
        <v>178.27657680839445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12.141638829718492</v>
      </c>
      <c r="GM190" s="21">
        <f>EXP(-LN(2)/25)*GM189+(1-EXP(-LN(2)/25))/(LN(2)/25)*Calculateur!GH190*Calculateur!GJ190*VLOOKUP('Données projet'!$B$17,Paramètres!$A$1:$I$89,3,0)*0.475*44/12</f>
        <v>1.3104000770608144</v>
      </c>
      <c r="GN190" s="21">
        <f>EXP(-LN(2)/2)*GN189+(1-EXP(-LN(2)/2))/(LN(2)/2)*GH190*GK190*VLOOKUP('Données projet'!$B$17,Paramètres!$A$1:$I$89,3,0)*0.475*44/12</f>
        <v>2.5076730646260164E-17</v>
      </c>
      <c r="GO190" s="21">
        <f t="shared" si="187"/>
        <v>13.452038906779306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69.459760702079123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-4.5474735088646412E-13</v>
      </c>
      <c r="GV190" s="17">
        <f>GU190*VLOOKUP('Données projet'!$B$18,Paramètres!$A$1:$I$89,3,0)*VLOOKUP('Données projet'!$B$18,Paramètres!$A$1:$I$89,5,0)</f>
        <v>-3.0504452297464016E-13</v>
      </c>
      <c r="GW190" s="13" t="e">
        <f t="shared" si="188"/>
        <v>#NUM!</v>
      </c>
      <c r="GX190" s="20" t="e">
        <f t="shared" si="189"/>
        <v>#NUM!</v>
      </c>
      <c r="GY190" s="59" t="e">
        <f t="shared" si="137"/>
        <v>#NUM!</v>
      </c>
      <c r="GZ190" s="59">
        <f ca="1">AVERAGE(OFFSET($GY$3,0,0,'Données projet'!$E$18+1,1))-AVERAGE(OFFSET($H$3,0,0,'Données projet'!$E$18+1,1))</f>
        <v>542.25674729323623</v>
      </c>
      <c r="HA190" s="59">
        <f t="shared" si="160"/>
        <v>614.73906555680685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75.143545450587212</v>
      </c>
      <c r="HH190" s="21">
        <f>EXP(-LN(2)/25)*HH189+(1-EXP(-LN(2)/25))/(LN(2)/25)*Calculateur!HC190*Calculateur!HE190*VLOOKUP('Données projet'!$B$18,Paramètres!$A$1:$I$89,3,0)*0.475*44/12</f>
        <v>0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75.143545450587212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2.8499999999999996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10.449999999999998</v>
      </c>
      <c r="H191" s="67">
        <f t="shared" si="110"/>
        <v>214.86666666666667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69.469132646103915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-1.0231815394945443E-12</v>
      </c>
      <c r="O191" s="13">
        <f>N191*VLOOKUP('Données projet'!$B$9,Paramètres!$A$1:$I$89,3,0)*VLOOKUP('Données projet'!$B$9,Paramètres!$A$1:$I$89,5,0)</f>
        <v>-8.9385139290243408E-13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686.80970545599644</v>
      </c>
      <c r="T191" s="59">
        <f t="shared" si="142"/>
        <v>636.16485232937737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20.448265831035663</v>
      </c>
      <c r="AA191" s="21">
        <f>EXP(-LN(2)/25)*AA190+(1-EXP(-LN(2)/25))/(LN(2)/25)*Calculateur!V191*Calculateur!X191*VLOOKUP('Données projet'!$B$9,Paramètres!$A$1:$I$89,3,0)*0.475*44/12</f>
        <v>1.1425747781504214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21.590840609186085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69.469132646103915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1.1368683772161603E-13</v>
      </c>
      <c r="AJ191" s="13">
        <f>AI191*VLOOKUP('Données projet'!$B$10,Paramètres!$A$1:$I$89,3,0)*VLOOKUP('Données projet'!$B$10,Paramètres!$A$1:$I$89,5,0)</f>
        <v>1.0286385077051818E-13</v>
      </c>
      <c r="AK191" s="13">
        <f t="shared" si="164"/>
        <v>1.5402366592183556E-12</v>
      </c>
      <c r="AL191" s="20">
        <f t="shared" si="165"/>
        <v>2.8617333882306215E-12</v>
      </c>
      <c r="AM191" s="59">
        <f t="shared" si="113"/>
        <v>291.38681970238389</v>
      </c>
      <c r="AN191" s="59">
        <f ca="1">AVERAGE(OFFSET($AM$3,0,0,'Données projet'!$E$10+1,1))-AVERAGE(OFFSET($H$3,0,0,'Données projet'!$E$10+1,1))</f>
        <v>323.67375363913726</v>
      </c>
      <c r="AO191" s="59">
        <f t="shared" si="144"/>
        <v>266.03902815735029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17.931861791523524</v>
      </c>
      <c r="AV191" s="21">
        <f>EXP(-LN(2)/25)*AV190+(1-EXP(-LN(2)/25))/(LN(2)/25)*Calculateur!AQ191*Calculateur!AS191*VLOOKUP('Données projet'!$B$10,Paramètres!$A$1:$I$89,3,0)*0.475*44/12</f>
        <v>2.6374828884833073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20.569344680006832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69.469132646103915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371.46495716091965</v>
      </c>
      <c r="BJ191" s="59">
        <f t="shared" si="146"/>
        <v>579.95059529269417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13.085767715120173</v>
      </c>
      <c r="BQ191" s="21">
        <f>EXP(-LN(2)/25)*BQ190+(1-EXP(-LN(2)/25))/(LN(2)/25)*Calculateur!BL191*Calculateur!BN191*VLOOKUP('Données projet'!$B$11,Paramètres!$A$1:$I$89,3,0)*0.475*44/12</f>
        <v>1.3070893172221953</v>
      </c>
      <c r="BR191" s="21">
        <f>EXP(-LN(2)/2)*BR190+(1-EXP(-LN(2)/2))/(LN(2)/2)*BL191*BO191*VLOOKUP('Données projet'!$B$11,Paramètres!$A$1:$I$89,3,0)*0.475*44/12</f>
        <v>1.1629028611850376E-20</v>
      </c>
      <c r="BS191" s="22">
        <f t="shared" si="169"/>
        <v>14.392857032342368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69.469132646103915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180.18752244216969</v>
      </c>
      <c r="CE191" s="59">
        <f t="shared" si="148"/>
        <v>350.12096474554676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15.801214284130079</v>
      </c>
      <c r="CL191" s="21">
        <f>EXP(-LN(2)/25)*CL190+(1-EXP(-LN(2)/25))/(LN(2)/25)*Calculateur!CG191*Calculateur!CI191*VLOOKUP('Données projet'!$B$12,Paramètres!$A$1:$I$89,3,0)*0.475*44/12</f>
        <v>2.3305105221834359</v>
      </c>
      <c r="CM191" s="21">
        <f>EXP(-LN(2)/2)*CM190+(1-EXP(-LN(2)/2))/(LN(2)/2)*CG191*CJ191*VLOOKUP('Données projet'!$B$12,Paramètres!$A$1:$I$89,3,0)*0.475*44/12</f>
        <v>8.8351436303567948E-21</v>
      </c>
      <c r="CN191" s="22">
        <f t="shared" si="172"/>
        <v>18.131724806313514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69.469132646103915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5.6843418860808015E-14</v>
      </c>
      <c r="CU191" s="17">
        <f>CT191*VLOOKUP('Données projet'!$B$13,Paramètres!$A$1:$I$89,3,0)*VLOOKUP('Données projet'!$B$13,Paramètres!$A$1:$I$89,5,0)</f>
        <v>4.5224624045658861E-14</v>
      </c>
      <c r="CV191" s="13">
        <f t="shared" si="173"/>
        <v>7.4514601661523691E-13</v>
      </c>
      <c r="CW191" s="20">
        <f t="shared" si="174"/>
        <v>1.3765621991510601E-12</v>
      </c>
      <c r="CX191" s="59">
        <f t="shared" si="122"/>
        <v>291.38681970238241</v>
      </c>
      <c r="CY191" s="59">
        <f ca="1">AVERAGE(OFFSET($CX$3,0,0,'Données projet'!$E$13+1,1))-AVERAGE(OFFSET($H$3,0,0,'Données projet'!$E$13+1,1))</f>
        <v>284.31574332240928</v>
      </c>
      <c r="CZ191" s="59">
        <f t="shared" si="150"/>
        <v>403.96994631683913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66.538750863021846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66.538750863021846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69.469132646103915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190.9519472160006</v>
      </c>
      <c r="DU191" s="59">
        <f t="shared" si="152"/>
        <v>170.61553500287511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14.247502566805373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14.247502566805373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69.469132646103915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>
        <f>EJ191*VLOOKUP('Données projet'!$B$15,Paramètres!$A$1:$I$89,3,0)*VLOOKUP('Données projet'!$B$15,Paramètres!$A$1:$I$89,5,0)</f>
        <v>0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331.94255128154623</v>
      </c>
      <c r="EP191" s="59">
        <f t="shared" si="154"/>
        <v>258.40809812013964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182.03829574982495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182.03829574982495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69.469132646103915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>
        <f>FE191*VLOOKUP('Données projet'!$B$16,Paramètres!$A$1:$I$89,3,0)*VLOOKUP('Données projet'!$B$16,Paramètres!$A$1:$I$89,5,0)</f>
        <v>0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290.72311302449236</v>
      </c>
      <c r="FK191" s="59">
        <f t="shared" si="156"/>
        <v>352.32552988394434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54.76522641734946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54.76522641734946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69.469132646103915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>
        <f>FZ191*VLOOKUP('Données projet'!$B$17,Paramètres!$A$1:$I$89,3,0)*VLOOKUP('Données projet'!$B$17,Paramètres!$A$1:$I$89,5,0)</f>
        <v>0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123.03972959251965</v>
      </c>
      <c r="GF191" s="59">
        <f t="shared" si="158"/>
        <v>178.27657680839445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11.903548697936149</v>
      </c>
      <c r="GM191" s="21">
        <f>EXP(-LN(2)/25)*GM190+(1-EXP(-LN(2)/25))/(LN(2)/25)*Calculateur!GH191*Calculateur!GJ191*VLOOKUP('Données projet'!$B$17,Paramètres!$A$1:$I$89,3,0)*0.475*44/12</f>
        <v>1.2745671180426414</v>
      </c>
      <c r="GN191" s="21">
        <f>EXP(-LN(2)/2)*GN190+(1-EXP(-LN(2)/2))/(LN(2)/2)*GH191*GK191*VLOOKUP('Données projet'!$B$17,Paramètres!$A$1:$I$89,3,0)*0.475*44/12</f>
        <v>1.7731926289959076E-17</v>
      </c>
      <c r="GO191" s="21">
        <f t="shared" si="187"/>
        <v>13.17811581597879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69.469132646103915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-4.5474735088646412E-13</v>
      </c>
      <c r="GV191" s="17">
        <f>GU191*VLOOKUP('Données projet'!$B$18,Paramètres!$A$1:$I$89,3,0)*VLOOKUP('Données projet'!$B$18,Paramètres!$A$1:$I$89,5,0)</f>
        <v>-3.0504452297464016E-13</v>
      </c>
      <c r="GW191" s="13" t="e">
        <f t="shared" si="188"/>
        <v>#NUM!</v>
      </c>
      <c r="GX191" s="20" t="e">
        <f t="shared" si="189"/>
        <v>#NUM!</v>
      </c>
      <c r="GY191" s="59" t="e">
        <f t="shared" si="137"/>
        <v>#NUM!</v>
      </c>
      <c r="GZ191" s="59">
        <f ca="1">AVERAGE(OFFSET($GY$3,0,0,'Données projet'!$E$18+1,1))-AVERAGE(OFFSET($H$3,0,0,'Données projet'!$E$18+1,1))</f>
        <v>542.25674729323623</v>
      </c>
      <c r="HA191" s="59">
        <f t="shared" si="160"/>
        <v>614.73906555680685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73.670026357338287</v>
      </c>
      <c r="HH191" s="21">
        <f>EXP(-LN(2)/25)*HH190+(1-EXP(-LN(2)/25))/(LN(2)/25)*Calculateur!HC191*Calculateur!HE191*VLOOKUP('Données projet'!$B$18,Paramètres!$A$1:$I$89,3,0)*0.475*44/12</f>
        <v>0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73.670026357338287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2.8499999999999996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10.449999999999998</v>
      </c>
      <c r="H192" s="67">
        <f t="shared" si="110"/>
        <v>214.86666666666667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69.478342007852419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-1.0231815394945443E-12</v>
      </c>
      <c r="O192" s="13">
        <f>N192*VLOOKUP('Données projet'!$B$9,Paramètres!$A$1:$I$89,3,0)*VLOOKUP('Données projet'!$B$9,Paramètres!$A$1:$I$89,5,0)</f>
        <v>-8.9385139290243408E-13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686.80970545599644</v>
      </c>
      <c r="T192" s="59">
        <f t="shared" si="142"/>
        <v>636.16485232937737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20.047287810299682</v>
      </c>
      <c r="AA192" s="21">
        <f>EXP(-LN(2)/25)*AA191+(1-EXP(-LN(2)/25))/(LN(2)/25)*Calculateur!V192*Calculateur!X192*VLOOKUP('Données projet'!$B$9,Paramètres!$A$1:$I$89,3,0)*0.475*44/12</f>
        <v>1.111331010756502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21.158618821056184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69.478342007852419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1.1368683772161603E-13</v>
      </c>
      <c r="AJ192" s="13">
        <f>AI192*VLOOKUP('Données projet'!$B$10,Paramètres!$A$1:$I$89,3,0)*VLOOKUP('Données projet'!$B$10,Paramètres!$A$1:$I$89,5,0)</f>
        <v>1.0286385077051818E-13</v>
      </c>
      <c r="AK192" s="13">
        <f t="shared" si="164"/>
        <v>1.5402366592183556E-12</v>
      </c>
      <c r="AL192" s="20">
        <f t="shared" si="165"/>
        <v>2.8617333882306215E-12</v>
      </c>
      <c r="AM192" s="59">
        <f t="shared" si="113"/>
        <v>291.4205873621284</v>
      </c>
      <c r="AN192" s="59">
        <f ca="1">AVERAGE(OFFSET($AM$3,0,0,'Données projet'!$E$10+1,1))-AVERAGE(OFFSET($H$3,0,0,'Données projet'!$E$10+1,1))</f>
        <v>323.67375363913726</v>
      </c>
      <c r="AO192" s="59">
        <f t="shared" si="144"/>
        <v>266.03902815735029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17.580228919147466</v>
      </c>
      <c r="AV192" s="21">
        <f>EXP(-LN(2)/25)*AV191+(1-EXP(-LN(2)/25))/(LN(2)/25)*Calculateur!AQ192*Calculateur!AS192*VLOOKUP('Données projet'!$B$10,Paramètres!$A$1:$I$89,3,0)*0.475*44/12</f>
        <v>2.5653607801985343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20.145589699346001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69.478342007852419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371.46495716091965</v>
      </c>
      <c r="BJ192" s="59">
        <f t="shared" si="146"/>
        <v>579.95059529269417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12.829163791756862</v>
      </c>
      <c r="BQ192" s="21">
        <f>EXP(-LN(2)/25)*BQ191+(1-EXP(-LN(2)/25))/(LN(2)/25)*Calculateur!BL192*Calculateur!BN192*VLOOKUP('Données projet'!$B$11,Paramètres!$A$1:$I$89,3,0)*0.475*44/12</f>
        <v>1.2713468911059147</v>
      </c>
      <c r="BR192" s="21">
        <f>EXP(-LN(2)/2)*BR191+(1-EXP(-LN(2)/2))/(LN(2)/2)*BL192*BO192*VLOOKUP('Données projet'!$B$11,Paramètres!$A$1:$I$89,3,0)*0.475*44/12</f>
        <v>8.2229649900517843E-21</v>
      </c>
      <c r="BS192" s="22">
        <f t="shared" si="169"/>
        <v>14.100510682862776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69.478342007852419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180.18752244216969</v>
      </c>
      <c r="CE192" s="59">
        <f t="shared" si="148"/>
        <v>350.12096474554676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15.49136210980735</v>
      </c>
      <c r="CL192" s="21">
        <f>EXP(-LN(2)/25)*CL191+(1-EXP(-LN(2)/25))/(LN(2)/25)*Calculateur!CG192*Calculateur!CI192*VLOOKUP('Données projet'!$B$12,Paramètres!$A$1:$I$89,3,0)*0.475*44/12</f>
        <v>2.2667825893981077</v>
      </c>
      <c r="CM192" s="21">
        <f>EXP(-LN(2)/2)*CM191+(1-EXP(-LN(2)/2))/(LN(2)/2)*CG192*CJ192*VLOOKUP('Données projet'!$B$12,Paramètres!$A$1:$I$89,3,0)*0.475*44/12</f>
        <v>6.2473899737824213E-21</v>
      </c>
      <c r="CN192" s="22">
        <f t="shared" si="172"/>
        <v>17.758144699205456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69.478342007852419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5.6843418860808015E-14</v>
      </c>
      <c r="CU192" s="17">
        <f>CT192*VLOOKUP('Données projet'!$B$13,Paramètres!$A$1:$I$89,3,0)*VLOOKUP('Données projet'!$B$13,Paramètres!$A$1:$I$89,5,0)</f>
        <v>4.5224624045658861E-14</v>
      </c>
      <c r="CV192" s="13">
        <f t="shared" si="173"/>
        <v>7.4514601661523691E-13</v>
      </c>
      <c r="CW192" s="20">
        <f t="shared" si="174"/>
        <v>1.3765621991510601E-12</v>
      </c>
      <c r="CX192" s="59">
        <f t="shared" si="122"/>
        <v>291.42058736212692</v>
      </c>
      <c r="CY192" s="59">
        <f ca="1">AVERAGE(OFFSET($CX$3,0,0,'Données projet'!$E$13+1,1))-AVERAGE(OFFSET($H$3,0,0,'Données projet'!$E$13+1,1))</f>
        <v>284.31574332240928</v>
      </c>
      <c r="CZ192" s="59">
        <f t="shared" si="150"/>
        <v>403.96994631683913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65.233966543228618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65.233966543228618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69.478342007852419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190.9519472160006</v>
      </c>
      <c r="DU192" s="59">
        <f t="shared" si="152"/>
        <v>170.61553500287511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13.968117731588807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13.968117731588807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69.478342007852419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>
        <f>EJ192*VLOOKUP('Données projet'!$B$15,Paramètres!$A$1:$I$89,3,0)*VLOOKUP('Données projet'!$B$15,Paramètres!$A$1:$I$89,5,0)</f>
        <v>0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331.94255128154623</v>
      </c>
      <c r="EP192" s="59">
        <f t="shared" si="154"/>
        <v>258.40809812013964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178.46863580256775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178.46863580256775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69.478342007852419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>
        <f>FE192*VLOOKUP('Données projet'!$B$16,Paramètres!$A$1:$I$89,3,0)*VLOOKUP('Données projet'!$B$16,Paramètres!$A$1:$I$89,5,0)</f>
        <v>0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290.72311302449236</v>
      </c>
      <c r="FK192" s="59">
        <f t="shared" si="156"/>
        <v>352.32552988394434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53.691313730795031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53.691313730795031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69.478342007852419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>
        <f>FZ192*VLOOKUP('Données projet'!$B$17,Paramètres!$A$1:$I$89,3,0)*VLOOKUP('Données projet'!$B$17,Paramètres!$A$1:$I$89,5,0)</f>
        <v>0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123.03972959251965</v>
      </c>
      <c r="GF192" s="59">
        <f t="shared" si="158"/>
        <v>178.27657680839445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11.670127368417416</v>
      </c>
      <c r="GM192" s="21">
        <f>EXP(-LN(2)/25)*GM191+(1-EXP(-LN(2)/25))/(LN(2)/25)*Calculateur!GH192*Calculateur!GJ192*VLOOKUP('Données projet'!$B$17,Paramètres!$A$1:$I$89,3,0)*0.475*44/12</f>
        <v>1.2397140131731936</v>
      </c>
      <c r="GN192" s="21">
        <f>EXP(-LN(2)/2)*GN191+(1-EXP(-LN(2)/2))/(LN(2)/2)*GH192*GK192*VLOOKUP('Données projet'!$B$17,Paramètres!$A$1:$I$89,3,0)*0.475*44/12</f>
        <v>1.2538365323130082E-17</v>
      </c>
      <c r="GO192" s="21">
        <f t="shared" si="187"/>
        <v>12.90984138159061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69.478342007852419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-4.5474735088646412E-13</v>
      </c>
      <c r="GV192" s="17">
        <f>GU192*VLOOKUP('Données projet'!$B$18,Paramètres!$A$1:$I$89,3,0)*VLOOKUP('Données projet'!$B$18,Paramètres!$A$1:$I$89,5,0)</f>
        <v>-3.0504452297464016E-13</v>
      </c>
      <c r="GW192" s="13" t="e">
        <f t="shared" si="188"/>
        <v>#NUM!</v>
      </c>
      <c r="GX192" s="20" t="e">
        <f t="shared" si="189"/>
        <v>#NUM!</v>
      </c>
      <c r="GY192" s="59" t="e">
        <f t="shared" si="137"/>
        <v>#NUM!</v>
      </c>
      <c r="GZ192" s="59">
        <f ca="1">AVERAGE(OFFSET($GY$3,0,0,'Données projet'!$E$18+1,1))-AVERAGE(OFFSET($H$3,0,0,'Données projet'!$E$18+1,1))</f>
        <v>542.25674729323623</v>
      </c>
      <c r="HA192" s="59">
        <f t="shared" si="160"/>
        <v>614.73906555680685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72.225402074750065</v>
      </c>
      <c r="HH192" s="21">
        <f>EXP(-LN(2)/25)*HH191+(1-EXP(-LN(2)/25))/(LN(2)/25)*Calculateur!HC192*Calculateur!HE192*VLOOKUP('Données projet'!$B$18,Paramètres!$A$1:$I$89,3,0)*0.475*44/12</f>
        <v>0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72.225402074750065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2.8499999999999996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10.449999999999998</v>
      </c>
      <c r="H193" s="67">
        <f t="shared" si="110"/>
        <v>214.86666666666667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69.487391607763627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-1.0231815394945443E-12</v>
      </c>
      <c r="O193" s="13">
        <f>N193*VLOOKUP('Données projet'!$B$9,Paramètres!$A$1:$I$89,3,0)*VLOOKUP('Données projet'!$B$9,Paramètres!$A$1:$I$89,5,0)</f>
        <v>-8.9385139290243408E-13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686.80970545599644</v>
      </c>
      <c r="T193" s="59">
        <f t="shared" si="142"/>
        <v>636.16485232937737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19.65417272397789</v>
      </c>
      <c r="AA193" s="21">
        <f>EXP(-LN(2)/25)*AA192+(1-EXP(-LN(2)/25))/(LN(2)/25)*Calculateur!V193*Calculateur!X193*VLOOKUP('Données projet'!$B$9,Paramètres!$A$1:$I$89,3,0)*0.475*44/12</f>
        <v>1.0809416058250076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20.735114329802897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69.487391607763627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1.1368683772161603E-13</v>
      </c>
      <c r="AJ193" s="13">
        <f>AI193*VLOOKUP('Données projet'!$B$10,Paramètres!$A$1:$I$89,3,0)*VLOOKUP('Données projet'!$B$10,Paramètres!$A$1:$I$89,5,0)</f>
        <v>1.0286385077051818E-13</v>
      </c>
      <c r="AK193" s="13">
        <f t="shared" si="164"/>
        <v>1.5402366592183556E-12</v>
      </c>
      <c r="AL193" s="20">
        <f t="shared" si="165"/>
        <v>2.8617333882306215E-12</v>
      </c>
      <c r="AM193" s="59">
        <f t="shared" si="113"/>
        <v>291.45376922846947</v>
      </c>
      <c r="AN193" s="59">
        <f ca="1">AVERAGE(OFFSET($AM$3,0,0,'Données projet'!$E$10+1,1))-AVERAGE(OFFSET($H$3,0,0,'Données projet'!$E$10+1,1))</f>
        <v>323.67375363913726</v>
      </c>
      <c r="AO193" s="59">
        <f t="shared" si="144"/>
        <v>266.03902815735029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17.235491352923827</v>
      </c>
      <c r="AV193" s="21">
        <f>EXP(-LN(2)/25)*AV192+(1-EXP(-LN(2)/25))/(LN(2)/25)*Calculateur!AQ193*Calculateur!AS193*VLOOKUP('Données projet'!$B$10,Paramètres!$A$1:$I$89,3,0)*0.475*44/12</f>
        <v>2.4952108547575453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19.730702207681372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69.487391607763627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371.46495716091965</v>
      </c>
      <c r="BJ193" s="59">
        <f t="shared" si="146"/>
        <v>579.95059529269417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12.577591714817768</v>
      </c>
      <c r="BQ193" s="21">
        <f>EXP(-LN(2)/25)*BQ192+(1-EXP(-LN(2)/25))/(LN(2)/25)*Calculateur!BL193*Calculateur!BN193*VLOOKUP('Données projet'!$B$11,Paramètres!$A$1:$I$89,3,0)*0.475*44/12</f>
        <v>1.2365818435113962</v>
      </c>
      <c r="BR193" s="21">
        <f>EXP(-LN(2)/2)*BR192+(1-EXP(-LN(2)/2))/(LN(2)/2)*BL193*BO193*VLOOKUP('Données projet'!$B$11,Paramètres!$A$1:$I$89,3,0)*0.475*44/12</f>
        <v>5.8145143059251881E-21</v>
      </c>
      <c r="BS193" s="22">
        <f t="shared" si="169"/>
        <v>13.814173558329164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69.487391607763627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180.18752244216969</v>
      </c>
      <c r="CE193" s="59">
        <f t="shared" si="148"/>
        <v>350.12096474554676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15.187585947631923</v>
      </c>
      <c r="CL193" s="21">
        <f>EXP(-LN(2)/25)*CL192+(1-EXP(-LN(2)/25))/(LN(2)/25)*Calculateur!CG193*Calculateur!CI193*VLOOKUP('Données projet'!$B$12,Paramètres!$A$1:$I$89,3,0)*0.475*44/12</f>
        <v>2.204797300286101</v>
      </c>
      <c r="CM193" s="21">
        <f>EXP(-LN(2)/2)*CM192+(1-EXP(-LN(2)/2))/(LN(2)/2)*CG193*CJ193*VLOOKUP('Données projet'!$B$12,Paramètres!$A$1:$I$89,3,0)*0.475*44/12</f>
        <v>4.4175718151783974E-21</v>
      </c>
      <c r="CN193" s="22">
        <f t="shared" si="172"/>
        <v>17.392383247918026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69.487391607763627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5.6843418860808015E-14</v>
      </c>
      <c r="CU193" s="17">
        <f>CT193*VLOOKUP('Données projet'!$B$13,Paramètres!$A$1:$I$89,3,0)*VLOOKUP('Données projet'!$B$13,Paramètres!$A$1:$I$89,5,0)</f>
        <v>4.5224624045658861E-14</v>
      </c>
      <c r="CV193" s="13">
        <f t="shared" si="173"/>
        <v>7.4514601661523691E-13</v>
      </c>
      <c r="CW193" s="20">
        <f t="shared" si="174"/>
        <v>1.3765621991510601E-12</v>
      </c>
      <c r="CX193" s="59">
        <f t="shared" si="122"/>
        <v>291.45376922846799</v>
      </c>
      <c r="CY193" s="59">
        <f ca="1">AVERAGE(OFFSET($CX$3,0,0,'Données projet'!$E$13+1,1))-AVERAGE(OFFSET($H$3,0,0,'Données projet'!$E$13+1,1))</f>
        <v>284.31574332240928</v>
      </c>
      <c r="CZ193" s="59">
        <f t="shared" si="150"/>
        <v>403.96994631683913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63.954768248106681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63.954768248106681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69.487391607763627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190.9519472160006</v>
      </c>
      <c r="DU193" s="59">
        <f t="shared" si="152"/>
        <v>170.61553500287511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13.694211462582915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13.694211462582915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69.487391607763627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>
        <f>EJ193*VLOOKUP('Données projet'!$B$15,Paramètres!$A$1:$I$89,3,0)*VLOOKUP('Données projet'!$B$15,Paramètres!$A$1:$I$89,5,0)</f>
        <v>0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331.94255128154623</v>
      </c>
      <c r="EP193" s="59">
        <f t="shared" si="154"/>
        <v>258.40809812013964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174.96897470959868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174.96897470959868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69.487391607763627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>
        <f>FE193*VLOOKUP('Données projet'!$B$16,Paramètres!$A$1:$I$89,3,0)*VLOOKUP('Données projet'!$B$16,Paramètres!$A$1:$I$89,5,0)</f>
        <v>0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290.72311302449236</v>
      </c>
      <c r="FK193" s="59">
        <f t="shared" si="156"/>
        <v>352.32552988394434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52.638459817001873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52.638459817001873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69.487391607763627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>
        <f>FZ193*VLOOKUP('Données projet'!$B$17,Paramètres!$A$1:$I$89,3,0)*VLOOKUP('Données projet'!$B$17,Paramètres!$A$1:$I$89,5,0)</f>
        <v>0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123.03972959251965</v>
      </c>
      <c r="GF193" s="59">
        <f t="shared" si="158"/>
        <v>178.27657680839445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11.441283288797594</v>
      </c>
      <c r="GM193" s="21">
        <f>EXP(-LN(2)/25)*GM192+(1-EXP(-LN(2)/25))/(LN(2)/25)*Calculateur!GH193*Calculateur!GJ193*VLOOKUP('Données projet'!$B$17,Paramètres!$A$1:$I$89,3,0)*0.475*44/12</f>
        <v>1.2058139682892461</v>
      </c>
      <c r="GN193" s="21">
        <f>EXP(-LN(2)/2)*GN192+(1-EXP(-LN(2)/2))/(LN(2)/2)*GH193*GK193*VLOOKUP('Données projet'!$B$17,Paramètres!$A$1:$I$89,3,0)*0.475*44/12</f>
        <v>8.8659631449795381E-18</v>
      </c>
      <c r="GO193" s="21">
        <f t="shared" si="187"/>
        <v>12.647097257086841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69.487391607763627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-4.5474735088646412E-13</v>
      </c>
      <c r="GV193" s="17">
        <f>GU193*VLOOKUP('Données projet'!$B$18,Paramètres!$A$1:$I$89,3,0)*VLOOKUP('Données projet'!$B$18,Paramètres!$A$1:$I$89,5,0)</f>
        <v>-3.0504452297464016E-13</v>
      </c>
      <c r="GW193" s="13" t="e">
        <f t="shared" si="188"/>
        <v>#NUM!</v>
      </c>
      <c r="GX193" s="20" t="e">
        <f t="shared" si="189"/>
        <v>#NUM!</v>
      </c>
      <c r="GY193" s="59" t="e">
        <f t="shared" si="137"/>
        <v>#NUM!</v>
      </c>
      <c r="GZ193" s="59">
        <f ca="1">AVERAGE(OFFSET($GY$3,0,0,'Données projet'!$E$18+1,1))-AVERAGE(OFFSET($H$3,0,0,'Données projet'!$E$18+1,1))</f>
        <v>542.25674729323623</v>
      </c>
      <c r="HA193" s="59">
        <f t="shared" si="160"/>
        <v>614.73906555680685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70.809105993209599</v>
      </c>
      <c r="HH193" s="21">
        <f>EXP(-LN(2)/25)*HH192+(1-EXP(-LN(2)/25))/(LN(2)/25)*Calculateur!HC193*Calculateur!HE193*VLOOKUP('Données projet'!$B$18,Paramètres!$A$1:$I$89,3,0)*0.475*44/12</f>
        <v>0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70.809105993209599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2.8499999999999996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10.449999999999998</v>
      </c>
      <c r="H194" s="67">
        <f t="shared" si="110"/>
        <v>214.86666666666667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69.496284217348247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-1.0231815394945443E-12</v>
      </c>
      <c r="O194" s="13">
        <f>N194*VLOOKUP('Données projet'!$B$9,Paramètres!$A$1:$I$89,3,0)*VLOOKUP('Données projet'!$B$9,Paramètres!$A$1:$I$89,5,0)</f>
        <v>-8.9385139290243408E-13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686.80970545599644</v>
      </c>
      <c r="T194" s="59">
        <f t="shared" si="142"/>
        <v>636.16485232937737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19.26876638472234</v>
      </c>
      <c r="AA194" s="21">
        <f>EXP(-LN(2)/25)*AA193+(1-EXP(-LN(2)/25))/(LN(2)/25)*Calculateur!V194*Calculateur!X194*VLOOKUP('Données projet'!$B$9,Paramètres!$A$1:$I$89,3,0)*0.475*44/12</f>
        <v>1.0513832007694743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20.320149585491816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69.496284217348247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1.1368683772161603E-13</v>
      </c>
      <c r="AJ194" s="13">
        <f>AI194*VLOOKUP('Données projet'!$B$10,Paramètres!$A$1:$I$89,3,0)*VLOOKUP('Données projet'!$B$10,Paramètres!$A$1:$I$89,5,0)</f>
        <v>1.0286385077051818E-13</v>
      </c>
      <c r="AK194" s="13">
        <f t="shared" si="164"/>
        <v>1.5402366592183556E-12</v>
      </c>
      <c r="AL194" s="20">
        <f t="shared" si="165"/>
        <v>2.8617333882306215E-12</v>
      </c>
      <c r="AM194" s="59">
        <f t="shared" si="113"/>
        <v>291.48637546361311</v>
      </c>
      <c r="AN194" s="59">
        <f ca="1">AVERAGE(OFFSET($AM$3,0,0,'Données projet'!$E$10+1,1))-AVERAGE(OFFSET($H$3,0,0,'Données projet'!$E$10+1,1))</f>
        <v>323.67375363913726</v>
      </c>
      <c r="AO194" s="59">
        <f t="shared" si="144"/>
        <v>266.03902815735029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16.897513880104682</v>
      </c>
      <c r="AV194" s="21">
        <f>EXP(-LN(2)/25)*AV193+(1-EXP(-LN(2)/25))/(LN(2)/25)*Calculateur!AQ194*Calculateur!AS194*VLOOKUP('Données projet'!$B$10,Paramètres!$A$1:$I$89,3,0)*0.475*44/12</f>
        <v>2.4269791827167642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19.324493062821446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69.496284217348247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371.46495716091965</v>
      </c>
      <c r="BJ194" s="59">
        <f t="shared" si="146"/>
        <v>579.95059529269417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12.330952812863632</v>
      </c>
      <c r="BQ194" s="21">
        <f>EXP(-LN(2)/25)*BQ193+(1-EXP(-LN(2)/25))/(LN(2)/25)*Calculateur!BL194*Calculateur!BN194*VLOOKUP('Données projet'!$B$11,Paramètres!$A$1:$I$89,3,0)*0.475*44/12</f>
        <v>1.2027674479715642</v>
      </c>
      <c r="BR194" s="21">
        <f>EXP(-LN(2)/2)*BR193+(1-EXP(-LN(2)/2))/(LN(2)/2)*BL194*BO194*VLOOKUP('Données projet'!$B$11,Paramètres!$A$1:$I$89,3,0)*0.475*44/12</f>
        <v>4.1114824950258922E-21</v>
      </c>
      <c r="BS194" s="22">
        <f t="shared" si="169"/>
        <v>13.533720260835196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69.496284217348247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180.18752244216969</v>
      </c>
      <c r="CE194" s="59">
        <f t="shared" si="148"/>
        <v>350.12096474554676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14.889766650711593</v>
      </c>
      <c r="CL194" s="21">
        <f>EXP(-LN(2)/25)*CL193+(1-EXP(-LN(2)/25))/(LN(2)/25)*Calculateur!CG194*Calculateur!CI194*VLOOKUP('Données projet'!$B$12,Paramètres!$A$1:$I$89,3,0)*0.475*44/12</f>
        <v>2.1445070021645267</v>
      </c>
      <c r="CM194" s="21">
        <f>EXP(-LN(2)/2)*CM193+(1-EXP(-LN(2)/2))/(LN(2)/2)*CG194*CJ194*VLOOKUP('Données projet'!$B$12,Paramètres!$A$1:$I$89,3,0)*0.475*44/12</f>
        <v>3.1236949868912107E-21</v>
      </c>
      <c r="CN194" s="22">
        <f t="shared" si="172"/>
        <v>17.03427365287612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69.496284217348247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5.6843418860808015E-14</v>
      </c>
      <c r="CU194" s="17">
        <f>CT194*VLOOKUP('Données projet'!$B$13,Paramètres!$A$1:$I$89,3,0)*VLOOKUP('Données projet'!$B$13,Paramètres!$A$1:$I$89,5,0)</f>
        <v>4.5224624045658861E-14</v>
      </c>
      <c r="CV194" s="13">
        <f t="shared" si="173"/>
        <v>7.4514601661523691E-13</v>
      </c>
      <c r="CW194" s="20">
        <f t="shared" si="174"/>
        <v>1.3765621991510601E-12</v>
      </c>
      <c r="CX194" s="59">
        <f t="shared" si="122"/>
        <v>291.48637546361164</v>
      </c>
      <c r="CY194" s="59">
        <f ca="1">AVERAGE(OFFSET($CX$3,0,0,'Données projet'!$E$13+1,1))-AVERAGE(OFFSET($H$3,0,0,'Données projet'!$E$13+1,1))</f>
        <v>284.31574332240928</v>
      </c>
      <c r="CZ194" s="59">
        <f t="shared" si="150"/>
        <v>403.96994631683913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62.700654251318163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62.700654251318163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69.496284217348247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190.9519472160006</v>
      </c>
      <c r="DU194" s="59">
        <f t="shared" si="152"/>
        <v>170.61553500287511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13.425676328445901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13.425676328445901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69.496284217348247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>
        <f>EJ194*VLOOKUP('Données projet'!$B$15,Paramètres!$A$1:$I$89,3,0)*VLOOKUP('Données projet'!$B$15,Paramètres!$A$1:$I$89,5,0)</f>
        <v>0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331.94255128154623</v>
      </c>
      <c r="EP194" s="59">
        <f t="shared" si="154"/>
        <v>258.40809812013964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171.53793983608026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171.53793983608026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69.496284217348247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>
        <f>FE194*VLOOKUP('Données projet'!$B$16,Paramètres!$A$1:$I$89,3,0)*VLOOKUP('Données projet'!$B$16,Paramètres!$A$1:$I$89,5,0)</f>
        <v>0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290.72311302449236</v>
      </c>
      <c r="FK194" s="59">
        <f t="shared" si="156"/>
        <v>352.32552988394434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51.606251726280725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51.606251726280725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69.496284217348247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>
        <f>FZ194*VLOOKUP('Données projet'!$B$17,Paramètres!$A$1:$I$89,3,0)*VLOOKUP('Données projet'!$B$17,Paramètres!$A$1:$I$89,5,0)</f>
        <v>0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123.03972959251965</v>
      </c>
      <c r="GF194" s="59">
        <f t="shared" si="158"/>
        <v>178.27657680839445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11.216926701998011</v>
      </c>
      <c r="GM194" s="21">
        <f>EXP(-LN(2)/25)*GM193+(1-EXP(-LN(2)/25))/(LN(2)/25)*Calculateur!GH194*Calculateur!GJ194*VLOOKUP('Données projet'!$B$17,Paramètres!$A$1:$I$89,3,0)*0.475*44/12</f>
        <v>1.1728409219153761</v>
      </c>
      <c r="GN194" s="21">
        <f>EXP(-LN(2)/2)*GN193+(1-EXP(-LN(2)/2))/(LN(2)/2)*GH194*GK194*VLOOKUP('Données projet'!$B$17,Paramètres!$A$1:$I$89,3,0)*0.475*44/12</f>
        <v>6.269182661565041E-18</v>
      </c>
      <c r="GO194" s="21">
        <f t="shared" si="187"/>
        <v>12.389767623913388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69.496284217348247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-4.5474735088646412E-13</v>
      </c>
      <c r="GV194" s="17">
        <f>GU194*VLOOKUP('Données projet'!$B$18,Paramètres!$A$1:$I$89,3,0)*VLOOKUP('Données projet'!$B$18,Paramètres!$A$1:$I$89,5,0)</f>
        <v>-3.0504452297464016E-13</v>
      </c>
      <c r="GW194" s="13" t="e">
        <f t="shared" si="188"/>
        <v>#NUM!</v>
      </c>
      <c r="GX194" s="20" t="e">
        <f t="shared" si="189"/>
        <v>#NUM!</v>
      </c>
      <c r="GY194" s="59" t="e">
        <f t="shared" si="137"/>
        <v>#NUM!</v>
      </c>
      <c r="GZ194" s="59">
        <f ca="1">AVERAGE(OFFSET($GY$3,0,0,'Données projet'!$E$18+1,1))-AVERAGE(OFFSET($H$3,0,0,'Données projet'!$E$18+1,1))</f>
        <v>542.25674729323623</v>
      </c>
      <c r="HA194" s="59">
        <f t="shared" si="160"/>
        <v>614.73906555680685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69.420582613972826</v>
      </c>
      <c r="HH194" s="21">
        <f>EXP(-LN(2)/25)*HH193+(1-EXP(-LN(2)/25))/(LN(2)/25)*Calculateur!HC194*Calculateur!HE194*VLOOKUP('Données projet'!$B$18,Paramètres!$A$1:$I$89,3,0)*0.475*44/12</f>
        <v>0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69.420582613972826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2.8499999999999996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10.449999999999998</v>
      </c>
      <c r="H195" s="67">
        <f t="shared" si="110"/>
        <v>214.86666666666667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69.505022560037474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-1.0231815394945443E-12</v>
      </c>
      <c r="O195" s="13">
        <f>N195*VLOOKUP('Données projet'!$B$9,Paramètres!$A$1:$I$89,3,0)*VLOOKUP('Données projet'!$B$9,Paramètres!$A$1:$I$89,5,0)</f>
        <v>-8.9385139290243408E-13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686.80970545599644</v>
      </c>
      <c r="T195" s="59">
        <f t="shared" si="142"/>
        <v>636.16485232937737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18.890917628704941</v>
      </c>
      <c r="AA195" s="21">
        <f>EXP(-LN(2)/25)*AA194+(1-EXP(-LN(2)/25))/(LN(2)/25)*Calculateur!V195*Calculateur!X195*VLOOKUP('Données projet'!$B$9,Paramètres!$A$1:$I$89,3,0)*0.475*44/12</f>
        <v>1.0226330718545935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19.913550700559533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69.505022560037474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1.1368683772161603E-13</v>
      </c>
      <c r="AJ195" s="13">
        <f>AI195*VLOOKUP('Données projet'!$B$10,Paramètres!$A$1:$I$89,3,0)*VLOOKUP('Données projet'!$B$10,Paramètres!$A$1:$I$89,5,0)</f>
        <v>1.0286385077051818E-13</v>
      </c>
      <c r="AK195" s="13">
        <f t="shared" si="164"/>
        <v>1.5402366592183556E-12</v>
      </c>
      <c r="AL195" s="20">
        <f t="shared" si="165"/>
        <v>2.8617333882306215E-12</v>
      </c>
      <c r="AM195" s="59">
        <f t="shared" si="113"/>
        <v>291.51841605347357</v>
      </c>
      <c r="AN195" s="59">
        <f ca="1">AVERAGE(OFFSET($AM$3,0,0,'Données projet'!$E$10+1,1))-AVERAGE(OFFSET($H$3,0,0,'Données projet'!$E$10+1,1))</f>
        <v>323.67375363913726</v>
      </c>
      <c r="AO195" s="59">
        <f t="shared" si="144"/>
        <v>266.03902815735029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16.566163939381617</v>
      </c>
      <c r="AV195" s="21">
        <f>EXP(-LN(2)/25)*AV194+(1-EXP(-LN(2)/25))/(LN(2)/25)*Calculateur!AQ195*Calculateur!AS195*VLOOKUP('Données projet'!$B$10,Paramètres!$A$1:$I$89,3,0)*0.475*44/12</f>
        <v>2.3606133093360859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18.926777248717702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69.505022560037474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371.46495716091965</v>
      </c>
      <c r="BJ195" s="59">
        <f t="shared" si="146"/>
        <v>579.95059529269417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12.089150349341942</v>
      </c>
      <c r="BQ195" s="21">
        <f>EXP(-LN(2)/25)*BQ194+(1-EXP(-LN(2)/25))/(LN(2)/25)*Calculateur!BL195*Calculateur!BN195*VLOOKUP('Données projet'!$B$11,Paramètres!$A$1:$I$89,3,0)*0.475*44/12</f>
        <v>1.1698777088559906</v>
      </c>
      <c r="BR195" s="21">
        <f>EXP(-LN(2)/2)*BR194+(1-EXP(-LN(2)/2))/(LN(2)/2)*BL195*BO195*VLOOKUP('Données projet'!$B$11,Paramètres!$A$1:$I$89,3,0)*0.475*44/12</f>
        <v>2.9072571529625941E-21</v>
      </c>
      <c r="BS195" s="22">
        <f t="shared" si="169"/>
        <v>13.259028058197933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69.505022560037474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180.18752244216969</v>
      </c>
      <c r="CE195" s="59">
        <f t="shared" si="148"/>
        <v>350.12096474554676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14.597787408552037</v>
      </c>
      <c r="CL195" s="21">
        <f>EXP(-LN(2)/25)*CL194+(1-EXP(-LN(2)/25))/(LN(2)/25)*Calculateur!CG195*Calculateur!CI195*VLOOKUP('Données projet'!$B$12,Paramètres!$A$1:$I$89,3,0)*0.475*44/12</f>
        <v>2.0858653454156157</v>
      </c>
      <c r="CM195" s="21">
        <f>EXP(-LN(2)/2)*CM194+(1-EXP(-LN(2)/2))/(LN(2)/2)*CG195*CJ195*VLOOKUP('Données projet'!$B$12,Paramètres!$A$1:$I$89,3,0)*0.475*44/12</f>
        <v>2.2087859075891987E-21</v>
      </c>
      <c r="CN195" s="22">
        <f t="shared" si="172"/>
        <v>16.683652753967653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69.505022560037474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5.6843418860808015E-14</v>
      </c>
      <c r="CU195" s="17">
        <f>CT195*VLOOKUP('Données projet'!$B$13,Paramètres!$A$1:$I$89,3,0)*VLOOKUP('Données projet'!$B$13,Paramètres!$A$1:$I$89,5,0)</f>
        <v>4.5224624045658861E-14</v>
      </c>
      <c r="CV195" s="13">
        <f t="shared" si="173"/>
        <v>7.4514601661523691E-13</v>
      </c>
      <c r="CW195" s="20">
        <f t="shared" si="174"/>
        <v>1.3765621991510601E-12</v>
      </c>
      <c r="CX195" s="59">
        <f t="shared" si="122"/>
        <v>291.51841605347209</v>
      </c>
      <c r="CY195" s="59">
        <f ca="1">AVERAGE(OFFSET($CX$3,0,0,'Données projet'!$E$13+1,1))-AVERAGE(OFFSET($H$3,0,0,'Données projet'!$E$13+1,1))</f>
        <v>284.31574332240928</v>
      </c>
      <c r="CZ195" s="59">
        <f t="shared" si="150"/>
        <v>403.96994631683913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61.471132665072666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61.471132665072666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69.505022560037474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190.9519472160006</v>
      </c>
      <c r="DU195" s="59">
        <f t="shared" si="152"/>
        <v>170.61553500287511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13.162407004499055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13.162407004499055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69.505022560037474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>
        <f>EJ195*VLOOKUP('Données projet'!$B$15,Paramètres!$A$1:$I$89,3,0)*VLOOKUP('Données projet'!$B$15,Paramètres!$A$1:$I$89,5,0)</f>
        <v>0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331.94255128154623</v>
      </c>
      <c r="EP195" s="59">
        <f t="shared" si="154"/>
        <v>258.40809812013964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168.17418546370689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168.17418546370689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69.505022560037474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>
        <f>FE195*VLOOKUP('Données projet'!$B$16,Paramètres!$A$1:$I$89,3,0)*VLOOKUP('Données projet'!$B$16,Paramètres!$A$1:$I$89,5,0)</f>
        <v>0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290.72311302449236</v>
      </c>
      <c r="FK195" s="59">
        <f t="shared" si="156"/>
        <v>352.32552988394434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50.594284606633849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50.594284606633849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69.505022560037474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>
        <f>FZ195*VLOOKUP('Données projet'!$B$17,Paramètres!$A$1:$I$89,3,0)*VLOOKUP('Données projet'!$B$17,Paramètres!$A$1:$I$89,5,0)</f>
        <v>0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123.03972959251965</v>
      </c>
      <c r="GF195" s="59">
        <f t="shared" si="158"/>
        <v>178.27657680839445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10.99696961102156</v>
      </c>
      <c r="GM195" s="21">
        <f>EXP(-LN(2)/25)*GM194+(1-EXP(-LN(2)/25))/(LN(2)/25)*Calculateur!GH195*Calculateur!GJ195*VLOOKUP('Données projet'!$B$17,Paramètres!$A$1:$I$89,3,0)*0.475*44/12</f>
        <v>1.1407695252285768</v>
      </c>
      <c r="GN195" s="21">
        <f>EXP(-LN(2)/2)*GN194+(1-EXP(-LN(2)/2))/(LN(2)/2)*GH195*GK195*VLOOKUP('Données projet'!$B$17,Paramètres!$A$1:$I$89,3,0)*0.475*44/12</f>
        <v>4.432981572489769E-18</v>
      </c>
      <c r="GO195" s="21">
        <f t="shared" si="187"/>
        <v>12.137739136250136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69.505022560037474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-4.5474735088646412E-13</v>
      </c>
      <c r="GV195" s="17">
        <f>GU195*VLOOKUP('Données projet'!$B$18,Paramètres!$A$1:$I$89,3,0)*VLOOKUP('Données projet'!$B$18,Paramètres!$A$1:$I$89,5,0)</f>
        <v>-3.0504452297464016E-13</v>
      </c>
      <c r="GW195" s="13" t="e">
        <f t="shared" si="188"/>
        <v>#NUM!</v>
      </c>
      <c r="GX195" s="20" t="e">
        <f t="shared" si="189"/>
        <v>#NUM!</v>
      </c>
      <c r="GY195" s="59" t="e">
        <f t="shared" si="137"/>
        <v>#NUM!</v>
      </c>
      <c r="GZ195" s="59">
        <f ca="1">AVERAGE(OFFSET($GY$3,0,0,'Données projet'!$E$18+1,1))-AVERAGE(OFFSET($H$3,0,0,'Données projet'!$E$18+1,1))</f>
        <v>542.25674729323623</v>
      </c>
      <c r="HA195" s="59">
        <f t="shared" si="160"/>
        <v>614.73906555680685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68.059287331287251</v>
      </c>
      <c r="HH195" s="21">
        <f>EXP(-LN(2)/25)*HH194+(1-EXP(-LN(2)/25))/(LN(2)/25)*Calculateur!HC195*Calculateur!HE195*VLOOKUP('Données projet'!$B$18,Paramètres!$A$1:$I$89,3,0)*0.475*44/12</f>
        <v>0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68.059287331287251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2.8499999999999996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10.449999999999998</v>
      </c>
      <c r="H196" s="67">
        <f t="shared" ref="H196:H203" si="192">(B196+E196+F196)*44/12+(C196+D196)*0.475*44/12</f>
        <v>214.86666666666667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69.513609312017039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-1.0231815394945443E-12</v>
      </c>
      <c r="O196" s="13">
        <f>N196*VLOOKUP('Données projet'!$B$9,Paramètres!$A$1:$I$89,3,0)*VLOOKUP('Données projet'!$B$9,Paramètres!$A$1:$I$89,5,0)</f>
        <v>-8.9385139290243408E-13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686.80970545599644</v>
      </c>
      <c r="T196" s="59">
        <f t="shared" si="142"/>
        <v>636.16485232937737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18.520478256328055</v>
      </c>
      <c r="AA196" s="21">
        <f>EXP(-LN(2)/25)*AA195+(1-EXP(-LN(2)/25))/(LN(2)/25)*Calculateur!V196*Calculateur!X196*VLOOKUP('Données projet'!$B$9,Paramètres!$A$1:$I$89,3,0)*0.475*44/12</f>
        <v>0.9946691167267937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19.515147373054848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69.513609312017039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1.1368683772161603E-13</v>
      </c>
      <c r="AJ196" s="13">
        <f>AI196*VLOOKUP('Données projet'!$B$10,Paramètres!$A$1:$I$89,3,0)*VLOOKUP('Données projet'!$B$10,Paramètres!$A$1:$I$89,5,0)</f>
        <v>1.0286385077051818E-13</v>
      </c>
      <c r="AK196" s="13">
        <f t="shared" si="164"/>
        <v>1.5402366592183556E-12</v>
      </c>
      <c r="AL196" s="20">
        <f t="shared" si="165"/>
        <v>2.8617333882306215E-12</v>
      </c>
      <c r="AM196" s="59">
        <f t="shared" ref="AM196:AM203" si="193">AL196+(AD196+AE196)*44/12</f>
        <v>291.54990081073197</v>
      </c>
      <c r="AN196" s="59">
        <f ca="1">AVERAGE(OFFSET($AM$3,0,0,'Données projet'!$E$10+1,1))-AVERAGE(OFFSET($H$3,0,0,'Données projet'!$E$10+1,1))</f>
        <v>323.67375363913726</v>
      </c>
      <c r="AO196" s="59">
        <f t="shared" si="144"/>
        <v>266.03902815735029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16.241311568892623</v>
      </c>
      <c r="AV196" s="21">
        <f>EXP(-LN(2)/25)*AV195+(1-EXP(-LN(2)/25))/(LN(2)/25)*Calculateur!AQ196*Calculateur!AS196*VLOOKUP('Données projet'!$B$10,Paramètres!$A$1:$I$89,3,0)*0.475*44/12</f>
        <v>2.2960622142530318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18.537373783145654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69.513609312017039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371.46495716091965</v>
      </c>
      <c r="BJ196" s="59">
        <f t="shared" si="146"/>
        <v>579.95059529269417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11.852089484644972</v>
      </c>
      <c r="BQ196" s="21">
        <f>EXP(-LN(2)/25)*BQ195+(1-EXP(-LN(2)/25))/(LN(2)/25)*Calculateur!BL196*Calculateur!BN196*VLOOKUP('Données projet'!$B$11,Paramètres!$A$1:$I$89,3,0)*0.475*44/12</f>
        <v>1.1378873413861286</v>
      </c>
      <c r="BR196" s="21">
        <f>EXP(-LN(2)/2)*BR195+(1-EXP(-LN(2)/2))/(LN(2)/2)*BL196*BO196*VLOOKUP('Données projet'!$B$11,Paramètres!$A$1:$I$89,3,0)*0.475*44/12</f>
        <v>2.0557412475129461E-21</v>
      </c>
      <c r="BS196" s="22">
        <f t="shared" si="169"/>
        <v>12.989976826031102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69.513609312017039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180.18752244216969</v>
      </c>
      <c r="CE196" s="59">
        <f t="shared" si="148"/>
        <v>350.12096474554676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14.311533701241476</v>
      </c>
      <c r="CL196" s="21">
        <f>EXP(-LN(2)/25)*CL195+(1-EXP(-LN(2)/25))/(LN(2)/25)*Calculateur!CG196*Calculateur!CI196*VLOOKUP('Données projet'!$B$12,Paramètres!$A$1:$I$89,3,0)*0.475*44/12</f>
        <v>2.0288272478543345</v>
      </c>
      <c r="CM196" s="21">
        <f>EXP(-LN(2)/2)*CM195+(1-EXP(-LN(2)/2))/(LN(2)/2)*CG196*CJ196*VLOOKUP('Données projet'!$B$12,Paramètres!$A$1:$I$89,3,0)*0.475*44/12</f>
        <v>1.5618474934456053E-21</v>
      </c>
      <c r="CN196" s="22">
        <f t="shared" si="172"/>
        <v>16.34036094909581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69.513609312017039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5.6843418860808015E-14</v>
      </c>
      <c r="CU196" s="17">
        <f>CT196*VLOOKUP('Données projet'!$B$13,Paramètres!$A$1:$I$89,3,0)*VLOOKUP('Données projet'!$B$13,Paramètres!$A$1:$I$89,5,0)</f>
        <v>4.5224624045658861E-14</v>
      </c>
      <c r="CV196" s="13">
        <f t="shared" si="173"/>
        <v>7.4514601661523691E-13</v>
      </c>
      <c r="CW196" s="20">
        <f t="shared" si="174"/>
        <v>1.3765621991510601E-12</v>
      </c>
      <c r="CX196" s="59">
        <f t="shared" ref="CX196:CX203" si="196">CW196+(CO196+CP196)*44/12</f>
        <v>291.54990081073049</v>
      </c>
      <c r="CY196" s="59">
        <f ca="1">AVERAGE(OFFSET($CX$3,0,0,'Données projet'!$E$13+1,1))-AVERAGE(OFFSET($H$3,0,0,'Données projet'!$E$13+1,1))</f>
        <v>284.31574332240928</v>
      </c>
      <c r="CZ196" s="59">
        <f t="shared" si="150"/>
        <v>403.96994631683913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60.265721247199323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60.265721247199323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69.513609312017039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190.9519472160006</v>
      </c>
      <c r="DU196" s="59">
        <f t="shared" si="152"/>
        <v>170.61553500287511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12.904300231416375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12.904300231416375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69.513609312017039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>
        <f>EJ196*VLOOKUP('Données projet'!$B$15,Paramètres!$A$1:$I$89,3,0)*VLOOKUP('Données projet'!$B$15,Paramètres!$A$1:$I$89,5,0)</f>
        <v>0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331.94255128154623</v>
      </c>
      <c r="EP196" s="59">
        <f t="shared" si="154"/>
        <v>258.40809812013964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164.87639226288817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164.87639226288817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69.513609312017039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>
        <f>FE196*VLOOKUP('Données projet'!$B$16,Paramètres!$A$1:$I$89,3,0)*VLOOKUP('Données projet'!$B$16,Paramètres!$A$1:$I$89,5,0)</f>
        <v>0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290.72311302449236</v>
      </c>
      <c r="FK196" s="59">
        <f t="shared" si="156"/>
        <v>352.32552988394434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49.602161544964247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49.602161544964247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69.513609312017039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>
        <f>FZ196*VLOOKUP('Données projet'!$B$17,Paramètres!$A$1:$I$89,3,0)*VLOOKUP('Données projet'!$B$17,Paramètres!$A$1:$I$89,5,0)</f>
        <v>0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123.03972959251965</v>
      </c>
      <c r="GF196" s="59">
        <f t="shared" si="158"/>
        <v>178.27657680839445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10.781325744438581</v>
      </c>
      <c r="GM196" s="21">
        <f>EXP(-LN(2)/25)*GM195+(1-EXP(-LN(2)/25))/(LN(2)/25)*Calculateur!GH196*Calculateur!GJ196*VLOOKUP('Données projet'!$B$17,Paramètres!$A$1:$I$89,3,0)*0.475*44/12</f>
        <v>1.1095751225707393</v>
      </c>
      <c r="GN196" s="21">
        <f>EXP(-LN(2)/2)*GN195+(1-EXP(-LN(2)/2))/(LN(2)/2)*GH196*GK196*VLOOKUP('Données projet'!$B$17,Paramètres!$A$1:$I$89,3,0)*0.475*44/12</f>
        <v>3.1345913307825205E-18</v>
      </c>
      <c r="GO196" s="21">
        <f t="shared" si="187"/>
        <v>11.89090086700932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69.513609312017039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-4.5474735088646412E-13</v>
      </c>
      <c r="GV196" s="17">
        <f>GU196*VLOOKUP('Données projet'!$B$18,Paramètres!$A$1:$I$89,3,0)*VLOOKUP('Données projet'!$B$18,Paramètres!$A$1:$I$89,5,0)</f>
        <v>-3.0504452297464016E-13</v>
      </c>
      <c r="GW196" s="13" t="e">
        <f t="shared" si="188"/>
        <v>#NUM!</v>
      </c>
      <c r="GX196" s="20" t="e">
        <f t="shared" si="189"/>
        <v>#NUM!</v>
      </c>
      <c r="GY196" s="59" t="e">
        <f t="shared" ref="GY196:GY203" si="201">GX196+(GP196+GQ196)*44/12</f>
        <v>#NUM!</v>
      </c>
      <c r="GZ196" s="59">
        <f ca="1">AVERAGE(OFFSET($GY$3,0,0,'Données projet'!$E$18+1,1))-AVERAGE(OFFSET($H$3,0,0,'Données projet'!$E$18+1,1))</f>
        <v>542.25674729323623</v>
      </c>
      <c r="HA196" s="59">
        <f t="shared" si="160"/>
        <v>614.73906555680685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66.724686218786999</v>
      </c>
      <c r="HH196" s="21">
        <f>EXP(-LN(2)/25)*HH195+(1-EXP(-LN(2)/25))/(LN(2)/25)*Calculateur!HC196*Calculateur!HE196*VLOOKUP('Données projet'!$B$18,Paramètres!$A$1:$I$89,3,0)*0.475*44/12</f>
        <v>0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66.724686218786999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2.8499999999999996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10.449999999999998</v>
      </c>
      <c r="H197" s="67">
        <f t="shared" si="192"/>
        <v>214.86666666666667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69.522047103046873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-1.0231815394945443E-12</v>
      </c>
      <c r="O197" s="13">
        <f>N197*VLOOKUP('Données projet'!$B$9,Paramètres!$A$1:$I$89,3,0)*VLOOKUP('Données projet'!$B$9,Paramètres!$A$1:$I$89,5,0)</f>
        <v>-8.9385139290243408E-13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686.80970545599644</v>
      </c>
      <c r="T197" s="59">
        <f t="shared" ref="T197:T203" si="204">$T$3</f>
        <v>636.16485232937737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18.157302974097774</v>
      </c>
      <c r="AA197" s="21">
        <f>EXP(-LN(2)/25)*AA196+(1-EXP(-LN(2)/25))/(LN(2)/25)*Calculateur!V197*Calculateur!X197*VLOOKUP('Données projet'!$B$9,Paramètres!$A$1:$I$89,3,0)*0.475*44/12</f>
        <v>0.96746983742252401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19.124772811520298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69.522047103046873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1.1368683772161603E-13</v>
      </c>
      <c r="AJ197" s="13">
        <f>AI197*VLOOKUP('Données projet'!$B$10,Paramètres!$A$1:$I$89,3,0)*VLOOKUP('Données projet'!$B$10,Paramètres!$A$1:$I$89,5,0)</f>
        <v>1.0286385077051818E-13</v>
      </c>
      <c r="AK197" s="13">
        <f t="shared" si="164"/>
        <v>1.5402366592183556E-12</v>
      </c>
      <c r="AL197" s="20">
        <f t="shared" si="165"/>
        <v>2.8617333882306215E-12</v>
      </c>
      <c r="AM197" s="59">
        <f t="shared" si="193"/>
        <v>291.58083937784141</v>
      </c>
      <c r="AN197" s="59">
        <f ca="1">AVERAGE(OFFSET($AM$3,0,0,'Données projet'!$E$10+1,1))-AVERAGE(OFFSET($H$3,0,0,'Données projet'!$E$10+1,1))</f>
        <v>323.67375363913726</v>
      </c>
      <c r="AO197" s="59">
        <f t="shared" ref="AO197:AO203" si="205">$AO$3</f>
        <v>266.03902815735029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15.922829355248538</v>
      </c>
      <c r="AV197" s="21">
        <f>EXP(-LN(2)/25)*AV196+(1-EXP(-LN(2)/25))/(LN(2)/25)*Calculateur!AQ197*Calculateur!AS197*VLOOKUP('Données projet'!$B$10,Paramètres!$A$1:$I$89,3,0)*0.475*44/12</f>
        <v>2.2332762722596184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18.156105627508158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69.522047103046873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371.46495716091965</v>
      </c>
      <c r="BJ197" s="59">
        <f t="shared" ref="BJ197:BJ203" si="206">$BJ$3</f>
        <v>579.95059529269417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11.61967723891186</v>
      </c>
      <c r="BQ197" s="21">
        <f>EXP(-LN(2)/25)*BQ196+(1-EXP(-LN(2)/25))/(LN(2)/25)*Calculateur!BL197*Calculateur!BN197*VLOOKUP('Données projet'!$B$11,Paramètres!$A$1:$I$89,3,0)*0.475*44/12</f>
        <v>1.1067717521970302</v>
      </c>
      <c r="BR197" s="21">
        <f>EXP(-LN(2)/2)*BR196+(1-EXP(-LN(2)/2))/(LN(2)/2)*BL197*BO197*VLOOKUP('Données projet'!$B$11,Paramètres!$A$1:$I$89,3,0)*0.475*44/12</f>
        <v>1.453628576481297E-21</v>
      </c>
      <c r="BS197" s="22">
        <f t="shared" si="169"/>
        <v>12.72644899110889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69.522047103046873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180.18752244216969</v>
      </c>
      <c r="CE197" s="59">
        <f t="shared" ref="CE197:CE203" si="207">$CE$3</f>
        <v>350.12096474554676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14.030893254533755</v>
      </c>
      <c r="CL197" s="21">
        <f>EXP(-LN(2)/25)*CL196+(1-EXP(-LN(2)/25))/(LN(2)/25)*Calculateur!CG197*Calculateur!CI197*VLOOKUP('Données projet'!$B$12,Paramètres!$A$1:$I$89,3,0)*0.475*44/12</f>
        <v>1.9733488600703697</v>
      </c>
      <c r="CM197" s="21">
        <f>EXP(-LN(2)/2)*CM196+(1-EXP(-LN(2)/2))/(LN(2)/2)*CG197*CJ197*VLOOKUP('Données projet'!$B$12,Paramètres!$A$1:$I$89,3,0)*0.475*44/12</f>
        <v>1.1043929537945994E-21</v>
      </c>
      <c r="CN197" s="22">
        <f t="shared" si="172"/>
        <v>16.004242114604125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69.522047103046873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5.6843418860808015E-14</v>
      </c>
      <c r="CU197" s="17">
        <f>CT197*VLOOKUP('Données projet'!$B$13,Paramètres!$A$1:$I$89,3,0)*VLOOKUP('Données projet'!$B$13,Paramètres!$A$1:$I$89,5,0)</f>
        <v>4.5224624045658861E-14</v>
      </c>
      <c r="CV197" s="13">
        <f t="shared" si="173"/>
        <v>7.4514601661523691E-13</v>
      </c>
      <c r="CW197" s="20">
        <f t="shared" si="174"/>
        <v>1.3765621991510601E-12</v>
      </c>
      <c r="CX197" s="59">
        <f t="shared" si="196"/>
        <v>291.58083937783994</v>
      </c>
      <c r="CY197" s="59">
        <f ca="1">AVERAGE(OFFSET($CX$3,0,0,'Données projet'!$E$13+1,1))-AVERAGE(OFFSET($H$3,0,0,'Données projet'!$E$13+1,1))</f>
        <v>284.31574332240928</v>
      </c>
      <c r="CZ197" s="59">
        <f t="shared" ref="CZ197:CZ203" si="208">$CZ$3</f>
        <v>403.96994631683913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59.083947212002109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59.083947212002109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69.522047103046873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190.9519472160006</v>
      </c>
      <c r="DU197" s="59">
        <f t="shared" ref="DU197:DU203" si="209">$DU$3</f>
        <v>170.61553500287511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12.65125477472426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12.65125477472426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69.522047103046873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>
        <f>EJ197*VLOOKUP('Données projet'!$B$15,Paramètres!$A$1:$I$89,3,0)*VLOOKUP('Données projet'!$B$15,Paramètres!$A$1:$I$89,5,0)</f>
        <v>0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331.94255128154623</v>
      </c>
      <c r="EP197" s="59">
        <f t="shared" ref="EP197:EP203" si="210">$EP$3</f>
        <v>258.40809812013964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161.64326677528229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161.64326677528229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69.522047103046873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>
        <f>FE197*VLOOKUP('Données projet'!$B$16,Paramètres!$A$1:$I$89,3,0)*VLOOKUP('Données projet'!$B$16,Paramètres!$A$1:$I$89,5,0)</f>
        <v>0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290.72311302449236</v>
      </c>
      <c r="FK197" s="59">
        <f t="shared" ref="FK197:FK203" si="211">$FK$3</f>
        <v>352.32552988394434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48.62949341139867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48.62949341139867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69.522047103046873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>
        <f>FZ197*VLOOKUP('Données projet'!$B$17,Paramètres!$A$1:$I$89,3,0)*VLOOKUP('Données projet'!$B$17,Paramètres!$A$1:$I$89,5,0)</f>
        <v>0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123.03972959251965</v>
      </c>
      <c r="GF197" s="59">
        <f t="shared" ref="GF197:GF203" si="212">$GF$3</f>
        <v>178.27657680839445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10.569910522549522</v>
      </c>
      <c r="GM197" s="21">
        <f>EXP(-LN(2)/25)*GM196+(1-EXP(-LN(2)/25))/(LN(2)/25)*Calculateur!GH197*Calculateur!GJ197*VLOOKUP('Données projet'!$B$17,Paramètres!$A$1:$I$89,3,0)*0.475*44/12</f>
        <v>1.0792337324940227</v>
      </c>
      <c r="GN197" s="21">
        <f>EXP(-LN(2)/2)*GN196+(1-EXP(-LN(2)/2))/(LN(2)/2)*GH197*GK197*VLOOKUP('Données projet'!$B$17,Paramètres!$A$1:$I$89,3,0)*0.475*44/12</f>
        <v>2.2164907862448845E-18</v>
      </c>
      <c r="GO197" s="21">
        <f t="shared" si="187"/>
        <v>11.649144255043545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69.522047103046873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-4.5474735088646412E-13</v>
      </c>
      <c r="GV197" s="17">
        <f>GU197*VLOOKUP('Données projet'!$B$18,Paramètres!$A$1:$I$89,3,0)*VLOOKUP('Données projet'!$B$18,Paramètres!$A$1:$I$89,5,0)</f>
        <v>-3.0504452297464016E-13</v>
      </c>
      <c r="GW197" s="13" t="e">
        <f t="shared" si="188"/>
        <v>#NUM!</v>
      </c>
      <c r="GX197" s="20" t="e">
        <f t="shared" si="189"/>
        <v>#NUM!</v>
      </c>
      <c r="GY197" s="59" t="e">
        <f t="shared" si="201"/>
        <v>#NUM!</v>
      </c>
      <c r="GZ197" s="59">
        <f ca="1">AVERAGE(OFFSET($GY$3,0,0,'Données projet'!$E$18+1,1))-AVERAGE(OFFSET($H$3,0,0,'Données projet'!$E$18+1,1))</f>
        <v>542.25674729323623</v>
      </c>
      <c r="HA197" s="59">
        <f t="shared" ref="HA197:HA203" si="213">$HA$3</f>
        <v>614.73906555680685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65.416255820076586</v>
      </c>
      <c r="HH197" s="21">
        <f>EXP(-LN(2)/25)*HH196+(1-EXP(-LN(2)/25))/(LN(2)/25)*Calculateur!HC197*Calculateur!HE197*VLOOKUP('Données projet'!$B$18,Paramètres!$A$1:$I$89,3,0)*0.475*44/12</f>
        <v>0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65.416255820076586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2.8499999999999996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10.449999999999998</v>
      </c>
      <c r="H198" s="67">
        <f t="shared" si="192"/>
        <v>214.86666666666667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69.530338517266415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-1.0231815394945443E-12</v>
      </c>
      <c r="O198" s="13">
        <f>N198*VLOOKUP('Données projet'!$B$9,Paramètres!$A$1:$I$89,3,0)*VLOOKUP('Données projet'!$B$9,Paramètres!$A$1:$I$89,5,0)</f>
        <v>-8.9385139290243408E-13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686.80970545599644</v>
      </c>
      <c r="T198" s="59">
        <f t="shared" si="204"/>
        <v>636.16485232937737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17.801249337636978</v>
      </c>
      <c r="AA198" s="21">
        <f>EXP(-LN(2)/25)*AA197+(1-EXP(-LN(2)/25))/(LN(2)/25)*Calculateur!V198*Calculateur!X198*VLOOKUP('Données projet'!$B$9,Paramètres!$A$1:$I$89,3,0)*0.475*44/12</f>
        <v>0.94101432384117756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18.742263661478155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69.530338517266415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1.1368683772161603E-13</v>
      </c>
      <c r="AJ198" s="13">
        <f>AI198*VLOOKUP('Données projet'!$B$10,Paramètres!$A$1:$I$89,3,0)*VLOOKUP('Données projet'!$B$10,Paramètres!$A$1:$I$89,5,0)</f>
        <v>1.0286385077051818E-13</v>
      </c>
      <c r="AK198" s="13">
        <f t="shared" si="164"/>
        <v>1.5402366592183556E-12</v>
      </c>
      <c r="AL198" s="20">
        <f t="shared" si="165"/>
        <v>2.8617333882306215E-12</v>
      </c>
      <c r="AM198" s="59">
        <f t="shared" si="193"/>
        <v>291.61124122997973</v>
      </c>
      <c r="AN198" s="59">
        <f ca="1">AVERAGE(OFFSET($AM$3,0,0,'Données projet'!$E$10+1,1))-AVERAGE(OFFSET($H$3,0,0,'Données projet'!$E$10+1,1))</f>
        <v>323.67375363913726</v>
      </c>
      <c r="AO198" s="59">
        <f t="shared" si="205"/>
        <v>266.03902815735029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15.610592383559045</v>
      </c>
      <c r="AV198" s="21">
        <f>EXP(-LN(2)/25)*AV197+(1-EXP(-LN(2)/25))/(LN(2)/25)*Calculateur!AQ198*Calculateur!AS198*VLOOKUP('Données projet'!$B$10,Paramètres!$A$1:$I$89,3,0)*0.475*44/12</f>
        <v>2.1722072151517842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17.782799598710827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69.530338517266415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371.46495716091965</v>
      </c>
      <c r="BJ198" s="59">
        <f t="shared" si="206"/>
        <v>579.95059529269417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11.391822455560101</v>
      </c>
      <c r="BQ198" s="21">
        <f>EXP(-LN(2)/25)*BQ197+(1-EXP(-LN(2)/25))/(LN(2)/25)*Calculateur!BL198*Calculateur!BN198*VLOOKUP('Données projet'!$B$11,Paramètres!$A$1:$I$89,3,0)*0.475*44/12</f>
        <v>1.0765070204306055</v>
      </c>
      <c r="BR198" s="21">
        <f>EXP(-LN(2)/2)*BR197+(1-EXP(-LN(2)/2))/(LN(2)/2)*BL198*BO198*VLOOKUP('Données projet'!$B$11,Paramètres!$A$1:$I$89,3,0)*0.475*44/12</f>
        <v>1.027870623756473E-21</v>
      </c>
      <c r="BS198" s="22">
        <f t="shared" si="169"/>
        <v>12.468329475990707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69.530338517266415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180.18752244216969</v>
      </c>
      <c r="CE198" s="59">
        <f t="shared" si="207"/>
        <v>350.12096474554676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13.755755995812201</v>
      </c>
      <c r="CL198" s="21">
        <f>EXP(-LN(2)/25)*CL197+(1-EXP(-LN(2)/25))/(LN(2)/25)*Calculateur!CG198*Calculateur!CI198*VLOOKUP('Données projet'!$B$12,Paramètres!$A$1:$I$89,3,0)*0.475*44/12</f>
        <v>1.919387531717839</v>
      </c>
      <c r="CM198" s="21">
        <f>EXP(-LN(2)/2)*CM197+(1-EXP(-LN(2)/2))/(LN(2)/2)*CG198*CJ198*VLOOKUP('Données projet'!$B$12,Paramètres!$A$1:$I$89,3,0)*0.475*44/12</f>
        <v>7.8092374672280266E-22</v>
      </c>
      <c r="CN198" s="22">
        <f t="shared" si="172"/>
        <v>15.675143527530039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69.530338517266415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5.6843418860808015E-14</v>
      </c>
      <c r="CU198" s="17">
        <f>CT198*VLOOKUP('Données projet'!$B$13,Paramètres!$A$1:$I$89,3,0)*VLOOKUP('Données projet'!$B$13,Paramètres!$A$1:$I$89,5,0)</f>
        <v>4.5224624045658861E-14</v>
      </c>
      <c r="CV198" s="13">
        <f t="shared" si="173"/>
        <v>7.4514601661523691E-13</v>
      </c>
      <c r="CW198" s="20">
        <f t="shared" si="174"/>
        <v>1.3765621991510601E-12</v>
      </c>
      <c r="CX198" s="59">
        <f t="shared" si="196"/>
        <v>291.61124122997825</v>
      </c>
      <c r="CY198" s="59">
        <f ca="1">AVERAGE(OFFSET($CX$3,0,0,'Données projet'!$E$13+1,1))-AVERAGE(OFFSET($H$3,0,0,'Données projet'!$E$13+1,1))</f>
        <v>284.31574332240928</v>
      </c>
      <c r="CZ198" s="59">
        <f t="shared" si="208"/>
        <v>403.96994631683913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57.925347044824122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57.925347044824122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69.530338517266415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190.9519472160006</v>
      </c>
      <c r="DU198" s="59">
        <f t="shared" si="209"/>
        <v>170.61553500287511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12.403171385095389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12.403171385095389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69.530338517266415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>
        <f>EJ198*VLOOKUP('Données projet'!$B$15,Paramètres!$A$1:$I$89,3,0)*VLOOKUP('Données projet'!$B$15,Paramètres!$A$1:$I$89,5,0)</f>
        <v>0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331.94255128154623</v>
      </c>
      <c r="EP198" s="59">
        <f t="shared" si="210"/>
        <v>258.40809812013964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158.47354090647653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158.47354090647653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69.530338517266415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>
        <f>FE198*VLOOKUP('Données projet'!$B$16,Paramètres!$A$1:$I$89,3,0)*VLOOKUP('Données projet'!$B$16,Paramètres!$A$1:$I$89,5,0)</f>
        <v>0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290.72311302449236</v>
      </c>
      <c r="FK198" s="59">
        <f t="shared" si="211"/>
        <v>352.32552988394434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47.67589870666334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47.67589870666334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69.530338517266415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>
        <f>FZ198*VLOOKUP('Données projet'!$B$17,Paramètres!$A$1:$I$89,3,0)*VLOOKUP('Données projet'!$B$17,Paramètres!$A$1:$I$89,5,0)</f>
        <v>0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123.03972959251965</v>
      </c>
      <c r="GF198" s="59">
        <f t="shared" si="212"/>
        <v>178.27657680839445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10.362641024211156</v>
      </c>
      <c r="GM198" s="21">
        <f>EXP(-LN(2)/25)*GM197+(1-EXP(-LN(2)/25))/(LN(2)/25)*Calculateur!GH198*Calculateur!GJ198*VLOOKUP('Données projet'!$B$17,Paramètres!$A$1:$I$89,3,0)*0.475*44/12</f>
        <v>1.0497220293245382</v>
      </c>
      <c r="GN198" s="21">
        <f>EXP(-LN(2)/2)*GN197+(1-EXP(-LN(2)/2))/(LN(2)/2)*GH198*GK198*VLOOKUP('Données projet'!$B$17,Paramètres!$A$1:$I$89,3,0)*0.475*44/12</f>
        <v>1.5672956653912603E-18</v>
      </c>
      <c r="GO198" s="21">
        <f t="shared" si="187"/>
        <v>11.412363053535694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69.530338517266415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-4.5474735088646412E-13</v>
      </c>
      <c r="GV198" s="17">
        <f>GU198*VLOOKUP('Données projet'!$B$18,Paramètres!$A$1:$I$89,3,0)*VLOOKUP('Données projet'!$B$18,Paramètres!$A$1:$I$89,5,0)</f>
        <v>-3.0504452297464016E-13</v>
      </c>
      <c r="GW198" s="13" t="e">
        <f t="shared" si="188"/>
        <v>#NUM!</v>
      </c>
      <c r="GX198" s="20" t="e">
        <f t="shared" si="189"/>
        <v>#NUM!</v>
      </c>
      <c r="GY198" s="59" t="e">
        <f t="shared" si="201"/>
        <v>#NUM!</v>
      </c>
      <c r="GZ198" s="59">
        <f ca="1">AVERAGE(OFFSET($GY$3,0,0,'Données projet'!$E$18+1,1))-AVERAGE(OFFSET($H$3,0,0,'Données projet'!$E$18+1,1))</f>
        <v>542.25674729323623</v>
      </c>
      <c r="HA198" s="59">
        <f t="shared" si="213"/>
        <v>614.73906555680685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64.133482943421143</v>
      </c>
      <c r="HH198" s="21">
        <f>EXP(-LN(2)/25)*HH197+(1-EXP(-LN(2)/25))/(LN(2)/25)*Calculateur!HC198*Calculateur!HE198*VLOOKUP('Données projet'!$B$18,Paramètres!$A$1:$I$89,3,0)*0.475*44/12</f>
        <v>0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64.133482943421143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2.8499999999999996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10.449999999999998</v>
      </c>
      <c r="H199" s="67">
        <f t="shared" si="192"/>
        <v>214.86666666666667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69.538486093986066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-1.0231815394945443E-12</v>
      </c>
      <c r="O199" s="13">
        <f>N199*VLOOKUP('Données projet'!$B$9,Paramètres!$A$1:$I$89,3,0)*VLOOKUP('Données projet'!$B$9,Paramètres!$A$1:$I$89,5,0)</f>
        <v>-8.9385139290243408E-13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686.80970545599644</v>
      </c>
      <c r="T199" s="59">
        <f t="shared" si="204"/>
        <v>636.16485232937737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17.452177695815905</v>
      </c>
      <c r="AA199" s="21">
        <f>EXP(-LN(2)/25)*AA198+(1-EXP(-LN(2)/25))/(LN(2)/25)*Calculateur!V199*Calculateur!X199*VLOOKUP('Données projet'!$B$9,Paramètres!$A$1:$I$89,3,0)*0.475*44/12</f>
        <v>0.91528223766994798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18.367459933485854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69.538486093986066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1.1368683772161603E-13</v>
      </c>
      <c r="AJ199" s="13">
        <f>AI199*VLOOKUP('Données projet'!$B$10,Paramètres!$A$1:$I$89,3,0)*VLOOKUP('Données projet'!$B$10,Paramètres!$A$1:$I$89,5,0)</f>
        <v>1.0286385077051818E-13</v>
      </c>
      <c r="AK199" s="13">
        <f t="shared" si="164"/>
        <v>1.5402366592183556E-12</v>
      </c>
      <c r="AL199" s="20">
        <f t="shared" si="165"/>
        <v>2.8617333882306215E-12</v>
      </c>
      <c r="AM199" s="59">
        <f t="shared" si="193"/>
        <v>291.64111567795175</v>
      </c>
      <c r="AN199" s="59">
        <f ca="1">AVERAGE(OFFSET($AM$3,0,0,'Données projet'!$E$10+1,1))-AVERAGE(OFFSET($H$3,0,0,'Données projet'!$E$10+1,1))</f>
        <v>323.67375363913726</v>
      </c>
      <c r="AO199" s="59">
        <f t="shared" si="205"/>
        <v>266.03902815735029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15.304478188438633</v>
      </c>
      <c r="AV199" s="21">
        <f>EXP(-LN(2)/25)*AV198+(1-EXP(-LN(2)/25))/(LN(2)/25)*Calculateur!AQ199*Calculateur!AS199*VLOOKUP('Données projet'!$B$10,Paramètres!$A$1:$I$89,3,0)*0.475*44/12</f>
        <v>2.112808094622046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17.41728628306068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69.538486093986066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371.46495716091965</v>
      </c>
      <c r="BJ199" s="59">
        <f t="shared" si="206"/>
        <v>579.95059529269417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11.168435765532175</v>
      </c>
      <c r="BQ199" s="21">
        <f>EXP(-LN(2)/25)*BQ198+(1-EXP(-LN(2)/25))/(LN(2)/25)*Calculateur!BL199*Calculateur!BN199*VLOOKUP('Données projet'!$B$11,Paramètres!$A$1:$I$89,3,0)*0.475*44/12</f>
        <v>1.0470698793458868</v>
      </c>
      <c r="BR199" s="21">
        <f>EXP(-LN(2)/2)*BR198+(1-EXP(-LN(2)/2))/(LN(2)/2)*BL199*BO199*VLOOKUP('Données projet'!$B$11,Paramètres!$A$1:$I$89,3,0)*0.475*44/12</f>
        <v>7.2681428824064852E-22</v>
      </c>
      <c r="BS199" s="22">
        <f t="shared" si="169"/>
        <v>12.215505644878062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69.538486093986066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180.18752244216969</v>
      </c>
      <c r="CE199" s="59">
        <f t="shared" si="207"/>
        <v>350.12096474554676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13.486014010917019</v>
      </c>
      <c r="CL199" s="21">
        <f>EXP(-LN(2)/25)*CL198+(1-EXP(-LN(2)/25))/(LN(2)/25)*Calculateur!CG199*Calculateur!CI199*VLOOKUP('Données projet'!$B$12,Paramètres!$A$1:$I$89,3,0)*0.475*44/12</f>
        <v>1.8669017787268112</v>
      </c>
      <c r="CM199" s="21">
        <f>EXP(-LN(2)/2)*CM198+(1-EXP(-LN(2)/2))/(LN(2)/2)*CG199*CJ199*VLOOKUP('Données projet'!$B$12,Paramètres!$A$1:$I$89,3,0)*0.475*44/12</f>
        <v>5.5219647689729968E-22</v>
      </c>
      <c r="CN199" s="22">
        <f t="shared" si="172"/>
        <v>15.352915789643831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69.538486093986066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5.6843418860808015E-14</v>
      </c>
      <c r="CU199" s="17">
        <f>CT199*VLOOKUP('Données projet'!$B$13,Paramètres!$A$1:$I$89,3,0)*VLOOKUP('Données projet'!$B$13,Paramètres!$A$1:$I$89,5,0)</f>
        <v>4.5224624045658861E-14</v>
      </c>
      <c r="CV199" s="13">
        <f t="shared" si="173"/>
        <v>7.4514601661523691E-13</v>
      </c>
      <c r="CW199" s="20">
        <f t="shared" si="174"/>
        <v>1.3765621991510601E-12</v>
      </c>
      <c r="CX199" s="59">
        <f t="shared" si="196"/>
        <v>291.64111567795027</v>
      </c>
      <c r="CY199" s="59">
        <f ca="1">AVERAGE(OFFSET($CX$3,0,0,'Données projet'!$E$13+1,1))-AVERAGE(OFFSET($H$3,0,0,'Données projet'!$E$13+1,1))</f>
        <v>284.31574332240928</v>
      </c>
      <c r="CZ199" s="59">
        <f t="shared" si="208"/>
        <v>403.96994631683913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56.789466320248174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56.789466320248174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69.538486093986066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190.9519472160006</v>
      </c>
      <c r="DU199" s="59">
        <f t="shared" si="209"/>
        <v>170.61553500287511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12.159952759421213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12.159952759421213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69.538486093986066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>
        <f>EJ199*VLOOKUP('Données projet'!$B$15,Paramètres!$A$1:$I$89,3,0)*VLOOKUP('Données projet'!$B$15,Paramètres!$A$1:$I$89,5,0)</f>
        <v>0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331.94255128154623</v>
      </c>
      <c r="EP199" s="59">
        <f t="shared" si="210"/>
        <v>258.40809812013964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155.36597142861615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155.36597142861615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69.538486093986066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>
        <f>FE199*VLOOKUP('Données projet'!$B$16,Paramètres!$A$1:$I$89,3,0)*VLOOKUP('Données projet'!$B$16,Paramètres!$A$1:$I$89,5,0)</f>
        <v>0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290.72311302449236</v>
      </c>
      <c r="FK199" s="59">
        <f t="shared" si="211"/>
        <v>352.32552988394434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46.741003412452528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46.741003412452528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69.538486093986066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>
        <f>FZ199*VLOOKUP('Données projet'!$B$17,Paramètres!$A$1:$I$89,3,0)*VLOOKUP('Données projet'!$B$17,Paramètres!$A$1:$I$89,5,0)</f>
        <v>0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123.03972959251965</v>
      </c>
      <c r="GF199" s="59">
        <f t="shared" si="212"/>
        <v>178.27657680839445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10.159435954313293</v>
      </c>
      <c r="GM199" s="21">
        <f>EXP(-LN(2)/25)*GM198+(1-EXP(-LN(2)/25))/(LN(2)/25)*Calculateur!GH199*Calculateur!GJ199*VLOOKUP('Données projet'!$B$17,Paramètres!$A$1:$I$89,3,0)*0.475*44/12</f>
        <v>1.0210173252301764</v>
      </c>
      <c r="GN199" s="21">
        <f>EXP(-LN(2)/2)*GN198+(1-EXP(-LN(2)/2))/(LN(2)/2)*GH199*GK199*VLOOKUP('Données projet'!$B$17,Paramètres!$A$1:$I$89,3,0)*0.475*44/12</f>
        <v>1.1082453931224423E-18</v>
      </c>
      <c r="GO199" s="21">
        <f t="shared" si="187"/>
        <v>11.180453279543469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69.538486093986066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-4.5474735088646412E-13</v>
      </c>
      <c r="GV199" s="17">
        <f>GU199*VLOOKUP('Données projet'!$B$18,Paramètres!$A$1:$I$89,3,0)*VLOOKUP('Données projet'!$B$18,Paramètres!$A$1:$I$89,5,0)</f>
        <v>-3.0504452297464016E-13</v>
      </c>
      <c r="GW199" s="13" t="e">
        <f t="shared" si="188"/>
        <v>#NUM!</v>
      </c>
      <c r="GX199" s="20" t="e">
        <f t="shared" si="189"/>
        <v>#NUM!</v>
      </c>
      <c r="GY199" s="59" t="e">
        <f t="shared" si="201"/>
        <v>#NUM!</v>
      </c>
      <c r="GZ199" s="59">
        <f ca="1">AVERAGE(OFFSET($GY$3,0,0,'Données projet'!$E$18+1,1))-AVERAGE(OFFSET($H$3,0,0,'Données projet'!$E$18+1,1))</f>
        <v>542.25674729323623</v>
      </c>
      <c r="HA199" s="59">
        <f t="shared" si="213"/>
        <v>614.73906555680685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62.875864460462708</v>
      </c>
      <c r="HH199" s="21">
        <f>EXP(-LN(2)/25)*HH198+(1-EXP(-LN(2)/25))/(LN(2)/25)*Calculateur!HC199*Calculateur!HE199*VLOOKUP('Données projet'!$B$18,Paramètres!$A$1:$I$89,3,0)*0.475*44/12</f>
        <v>0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62.875864460462708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2.8499999999999996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10.449999999999998</v>
      </c>
      <c r="H200" s="67">
        <f t="shared" si="192"/>
        <v>214.86666666666667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69.546492328464879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-1.0231815394945443E-12</v>
      </c>
      <c r="O200" s="13">
        <f>N200*VLOOKUP('Données projet'!$B$9,Paramètres!$A$1:$I$89,3,0)*VLOOKUP('Données projet'!$B$9,Paramètres!$A$1:$I$89,5,0)</f>
        <v>-8.9385139290243408E-13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686.80970545599644</v>
      </c>
      <c r="T200" s="59">
        <f t="shared" si="204"/>
        <v>636.16485232937737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17.109951135978264</v>
      </c>
      <c r="AA200" s="21">
        <f>EXP(-LN(2)/25)*AA199+(1-EXP(-LN(2)/25))/(LN(2)/25)*Calculateur!V200*Calculateur!X200*VLOOKUP('Données projet'!$B$9,Paramètres!$A$1:$I$89,3,0)*0.475*44/12</f>
        <v>0.89025379674826233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18.000204932726525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69.546492328464879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1.1368683772161603E-13</v>
      </c>
      <c r="AJ200" s="13">
        <f>AI200*VLOOKUP('Données projet'!$B$10,Paramètres!$A$1:$I$89,3,0)*VLOOKUP('Données projet'!$B$10,Paramètres!$A$1:$I$89,5,0)</f>
        <v>1.0286385077051818E-13</v>
      </c>
      <c r="AK200" s="13">
        <f t="shared" si="164"/>
        <v>1.5402366592183556E-12</v>
      </c>
      <c r="AL200" s="20">
        <f t="shared" si="165"/>
        <v>2.8617333882306215E-12</v>
      </c>
      <c r="AM200" s="59">
        <f t="shared" si="193"/>
        <v>291.67047187104072</v>
      </c>
      <c r="AN200" s="59">
        <f ca="1">AVERAGE(OFFSET($AM$3,0,0,'Données projet'!$E$10+1,1))-AVERAGE(OFFSET($H$3,0,0,'Données projet'!$E$10+1,1))</f>
        <v>323.67375363913726</v>
      </c>
      <c r="AO200" s="59">
        <f t="shared" si="205"/>
        <v>266.03902815735029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15.004366705973311</v>
      </c>
      <c r="AV200" s="21">
        <f>EXP(-LN(2)/25)*AV199+(1-EXP(-LN(2)/25))/(LN(2)/25)*Calculateur!AQ200*Calculateur!AS200*VLOOKUP('Données projet'!$B$10,Paramètres!$A$1:$I$89,3,0)*0.475*44/12</f>
        <v>2.0550332461668575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17.059399952140168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69.546492328464879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371.46495716091965</v>
      </c>
      <c r="BJ200" s="59">
        <f t="shared" si="206"/>
        <v>579.95059529269417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10.94942955224327</v>
      </c>
      <c r="BQ200" s="21">
        <f>EXP(-LN(2)/25)*BQ199+(1-EXP(-LN(2)/25))/(LN(2)/25)*Calculateur!BL200*Calculateur!BN200*VLOOKUP('Données projet'!$B$11,Paramètres!$A$1:$I$89,3,0)*0.475*44/12</f>
        <v>1.0184376984321617</v>
      </c>
      <c r="BR200" s="21">
        <f>EXP(-LN(2)/2)*BR199+(1-EXP(-LN(2)/2))/(LN(2)/2)*BL200*BO200*VLOOKUP('Données projet'!$B$11,Paramètres!$A$1:$I$89,3,0)*0.475*44/12</f>
        <v>5.1393531187823652E-22</v>
      </c>
      <c r="BS200" s="22">
        <f t="shared" si="169"/>
        <v>11.967867250675432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69.546492328464879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180.18752244216969</v>
      </c>
      <c r="CE200" s="59">
        <f t="shared" si="207"/>
        <v>350.12096474554676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13.221561501819266</v>
      </c>
      <c r="CL200" s="21">
        <f>EXP(-LN(2)/25)*CL199+(1-EXP(-LN(2)/25))/(LN(2)/25)*Calculateur!CG200*Calculateur!CI200*VLOOKUP('Données projet'!$B$12,Paramètres!$A$1:$I$89,3,0)*0.475*44/12</f>
        <v>1.8158512514114289</v>
      </c>
      <c r="CM200" s="21">
        <f>EXP(-LN(2)/2)*CM199+(1-EXP(-LN(2)/2))/(LN(2)/2)*CG200*CJ200*VLOOKUP('Données projet'!$B$12,Paramètres!$A$1:$I$89,3,0)*0.475*44/12</f>
        <v>3.9046187336140133E-22</v>
      </c>
      <c r="CN200" s="22">
        <f t="shared" si="172"/>
        <v>15.037412753230695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69.546492328464879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5.6843418860808015E-14</v>
      </c>
      <c r="CU200" s="17">
        <f>CT200*VLOOKUP('Données projet'!$B$13,Paramètres!$A$1:$I$89,3,0)*VLOOKUP('Données projet'!$B$13,Paramètres!$A$1:$I$89,5,0)</f>
        <v>4.5224624045658861E-14</v>
      </c>
      <c r="CV200" s="13">
        <f t="shared" si="173"/>
        <v>7.4514601661523691E-13</v>
      </c>
      <c r="CW200" s="20">
        <f t="shared" si="174"/>
        <v>1.3765621991510601E-12</v>
      </c>
      <c r="CX200" s="59">
        <f t="shared" si="196"/>
        <v>291.67047187103924</v>
      </c>
      <c r="CY200" s="59">
        <f ca="1">AVERAGE(OFFSET($CX$3,0,0,'Données projet'!$E$13+1,1))-AVERAGE(OFFSET($H$3,0,0,'Données projet'!$E$13+1,1))</f>
        <v>284.31574332240928</v>
      </c>
      <c r="CZ200" s="59">
        <f t="shared" si="208"/>
        <v>403.96994631683913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55.675859523862329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55.675859523862329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69.546492328464879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190.9519472160006</v>
      </c>
      <c r="DU200" s="59">
        <f t="shared" si="209"/>
        <v>170.61553500287511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11.921503502647793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11.921503502647793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69.546492328464879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>
        <f>EJ200*VLOOKUP('Données projet'!$B$15,Paramètres!$A$1:$I$89,3,0)*VLOOKUP('Données projet'!$B$15,Paramètres!$A$1:$I$89,5,0)</f>
        <v>0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331.94255128154623</v>
      </c>
      <c r="EP200" s="59">
        <f t="shared" si="210"/>
        <v>258.40809812013964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152.31933949278641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152.31933949278641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69.546492328464879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>
        <f>FE200*VLOOKUP('Données projet'!$B$16,Paramètres!$A$1:$I$89,3,0)*VLOOKUP('Données projet'!$B$16,Paramètres!$A$1:$I$89,5,0)</f>
        <v>0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290.72311302449236</v>
      </c>
      <c r="FK200" s="59">
        <f t="shared" si="211"/>
        <v>352.32552988394434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45.824440844731363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45.824440844731363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69.546492328464879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>
        <f>FZ200*VLOOKUP('Données projet'!$B$17,Paramètres!$A$1:$I$89,3,0)*VLOOKUP('Données projet'!$B$17,Paramètres!$A$1:$I$89,5,0)</f>
        <v>0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123.03972959251965</v>
      </c>
      <c r="GF200" s="59">
        <f t="shared" si="212"/>
        <v>178.27657680839445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9.9602156118932736</v>
      </c>
      <c r="GM200" s="21">
        <f>EXP(-LN(2)/25)*GM199+(1-EXP(-LN(2)/25))/(LN(2)/25)*Calculateur!GH200*Calculateur!GJ200*VLOOKUP('Données projet'!$B$17,Paramètres!$A$1:$I$89,3,0)*0.475*44/12</f>
        <v>0.99309755277878964</v>
      </c>
      <c r="GN200" s="21">
        <f>EXP(-LN(2)/2)*GN199+(1-EXP(-LN(2)/2))/(LN(2)/2)*GH200*GK200*VLOOKUP('Données projet'!$B$17,Paramètres!$A$1:$I$89,3,0)*0.475*44/12</f>
        <v>7.8364783269563013E-19</v>
      </c>
      <c r="GO200" s="21">
        <f t="shared" si="187"/>
        <v>10.953313164672064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69.546492328464879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-4.5474735088646412E-13</v>
      </c>
      <c r="GV200" s="17">
        <f>GU200*VLOOKUP('Données projet'!$B$18,Paramètres!$A$1:$I$89,3,0)*VLOOKUP('Données projet'!$B$18,Paramètres!$A$1:$I$89,5,0)</f>
        <v>-3.0504452297464016E-13</v>
      </c>
      <c r="GW200" s="13" t="e">
        <f t="shared" si="188"/>
        <v>#NUM!</v>
      </c>
      <c r="GX200" s="20" t="e">
        <f t="shared" si="189"/>
        <v>#NUM!</v>
      </c>
      <c r="GY200" s="59" t="e">
        <f t="shared" si="201"/>
        <v>#NUM!</v>
      </c>
      <c r="GZ200" s="59">
        <f ca="1">AVERAGE(OFFSET($GY$3,0,0,'Données projet'!$E$18+1,1))-AVERAGE(OFFSET($H$3,0,0,'Données projet'!$E$18+1,1))</f>
        <v>542.25674729323623</v>
      </c>
      <c r="HA200" s="59">
        <f t="shared" si="213"/>
        <v>614.73906555680685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61.642907108883556</v>
      </c>
      <c r="HH200" s="21">
        <f>EXP(-LN(2)/25)*HH199+(1-EXP(-LN(2)/25))/(LN(2)/25)*Calculateur!HC200*Calculateur!HE200*VLOOKUP('Données projet'!$B$18,Paramètres!$A$1:$I$89,3,0)*0.475*44/12</f>
        <v>0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61.642907108883556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2.8499999999999996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10.449999999999998</v>
      </c>
      <c r="H201" s="67">
        <f t="shared" si="192"/>
        <v>214.86666666666667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69.554359672674764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-1.0231815394945443E-12</v>
      </c>
      <c r="O201" s="13">
        <f>N201*VLOOKUP('Données projet'!$B$9,Paramètres!$A$1:$I$89,3,0)*VLOOKUP('Données projet'!$B$9,Paramètres!$A$1:$I$89,5,0)</f>
        <v>-8.9385139290243408E-13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686.80970545599644</v>
      </c>
      <c r="T201" s="59">
        <f t="shared" si="204"/>
        <v>636.16485232937737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16.77443543024145</v>
      </c>
      <c r="AA201" s="21">
        <f>EXP(-LN(2)/25)*AA200+(1-EXP(-LN(2)/25))/(LN(2)/25)*Calculateur!V201*Calculateur!X201*VLOOKUP('Données projet'!$B$9,Paramètres!$A$1:$I$89,3,0)*0.475*44/12</f>
        <v>0.86590975985976859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17.640345190101218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69.554359672674764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1.1368683772161603E-13</v>
      </c>
      <c r="AJ201" s="13">
        <f>AI201*VLOOKUP('Données projet'!$B$10,Paramètres!$A$1:$I$89,3,0)*VLOOKUP('Données projet'!$B$10,Paramètres!$A$1:$I$89,5,0)</f>
        <v>1.0286385077051818E-13</v>
      </c>
      <c r="AK201" s="13">
        <f t="shared" si="164"/>
        <v>1.5402366592183556E-12</v>
      </c>
      <c r="AL201" s="20">
        <f t="shared" si="165"/>
        <v>2.8617333882306215E-12</v>
      </c>
      <c r="AM201" s="59">
        <f t="shared" si="193"/>
        <v>291.69931879981033</v>
      </c>
      <c r="AN201" s="59">
        <f ca="1">AVERAGE(OFFSET($AM$3,0,0,'Données projet'!$E$10+1,1))-AVERAGE(OFFSET($H$3,0,0,'Données projet'!$E$10+1,1))</f>
        <v>323.67375363913726</v>
      </c>
      <c r="AO201" s="59">
        <f t="shared" si="205"/>
        <v>266.03902815735029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14.710140226629203</v>
      </c>
      <c r="AV201" s="21">
        <f>EXP(-LN(2)/25)*AV200+(1-EXP(-LN(2)/25))/(LN(2)/25)*Calculateur!AQ201*Calculateur!AS201*VLOOKUP('Données projet'!$B$10,Paramètres!$A$1:$I$89,3,0)*0.475*44/12</f>
        <v>1.9988382539809231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16.708978480610128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69.554359672674764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371.46495716091965</v>
      </c>
      <c r="BJ201" s="59">
        <f t="shared" si="206"/>
        <v>579.95059529269417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10.73471791721636</v>
      </c>
      <c r="BQ201" s="21">
        <f>EXP(-LN(2)/25)*BQ200+(1-EXP(-LN(2)/25))/(LN(2)/25)*Calculateur!BL201*Calculateur!BN201*VLOOKUP('Données projet'!$B$11,Paramètres!$A$1:$I$89,3,0)*0.475*44/12</f>
        <v>0.9905884660112233</v>
      </c>
      <c r="BR201" s="21">
        <f>EXP(-LN(2)/2)*BR200+(1-EXP(-LN(2)/2))/(LN(2)/2)*BL201*BO201*VLOOKUP('Données projet'!$B$11,Paramètres!$A$1:$I$89,3,0)*0.475*44/12</f>
        <v>3.6340714412032426E-22</v>
      </c>
      <c r="BS201" s="22">
        <f t="shared" si="169"/>
        <v>11.725306383227583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69.554359672674764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180.18752244216969</v>
      </c>
      <c r="CE201" s="59">
        <f t="shared" si="207"/>
        <v>350.12096474554676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12.962294745124817</v>
      </c>
      <c r="CL201" s="21">
        <f>EXP(-LN(2)/25)*CL200+(1-EXP(-LN(2)/25))/(LN(2)/25)*Calculateur!CG201*Calculateur!CI201*VLOOKUP('Données projet'!$B$12,Paramètres!$A$1:$I$89,3,0)*0.475*44/12</f>
        <v>1.7661967034501163</v>
      </c>
      <c r="CM201" s="21">
        <f>EXP(-LN(2)/2)*CM200+(1-EXP(-LN(2)/2))/(LN(2)/2)*CG201*CJ201*VLOOKUP('Données projet'!$B$12,Paramètres!$A$1:$I$89,3,0)*0.475*44/12</f>
        <v>2.7609823844864984E-22</v>
      </c>
      <c r="CN201" s="22">
        <f t="shared" si="172"/>
        <v>14.728491448574934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69.554359672674764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5.6843418860808015E-14</v>
      </c>
      <c r="CU201" s="17">
        <f>CT201*VLOOKUP('Données projet'!$B$13,Paramètres!$A$1:$I$89,3,0)*VLOOKUP('Données projet'!$B$13,Paramètres!$A$1:$I$89,5,0)</f>
        <v>4.5224624045658861E-14</v>
      </c>
      <c r="CV201" s="13">
        <f t="shared" si="173"/>
        <v>7.4514601661523691E-13</v>
      </c>
      <c r="CW201" s="20">
        <f t="shared" si="174"/>
        <v>1.3765621991510601E-12</v>
      </c>
      <c r="CX201" s="59">
        <f t="shared" si="196"/>
        <v>291.69931879980885</v>
      </c>
      <c r="CY201" s="59">
        <f ca="1">AVERAGE(OFFSET($CX$3,0,0,'Données projet'!$E$13+1,1))-AVERAGE(OFFSET($H$3,0,0,'Données projet'!$E$13+1,1))</f>
        <v>284.31574332240928</v>
      </c>
      <c r="CZ201" s="59">
        <f t="shared" si="208"/>
        <v>403.96994631683913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54.584089877520533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54.584089877520533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69.554359672674764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190.9519472160006</v>
      </c>
      <c r="DU201" s="59">
        <f t="shared" si="209"/>
        <v>170.61553500287511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11.687730090360015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11.687730090360015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69.554359672674764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>
        <f>EJ201*VLOOKUP('Données projet'!$B$15,Paramètres!$A$1:$I$89,3,0)*VLOOKUP('Données projet'!$B$15,Paramètres!$A$1:$I$89,5,0)</f>
        <v>0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331.94255128154623</v>
      </c>
      <c r="EP201" s="59">
        <f t="shared" si="210"/>
        <v>258.40809812013964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149.3324501509563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149.3324501509563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69.554359672674764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>
        <f>FE201*VLOOKUP('Données projet'!$B$16,Paramètres!$A$1:$I$89,3,0)*VLOOKUP('Données projet'!$B$16,Paramètres!$A$1:$I$89,5,0)</f>
        <v>0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290.72311302449236</v>
      </c>
      <c r="FK201" s="59">
        <f t="shared" si="211"/>
        <v>352.32552988394434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44.925851509915248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44.925851509915248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69.554359672674764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>
        <f>FZ201*VLOOKUP('Données projet'!$B$17,Paramètres!$A$1:$I$89,3,0)*VLOOKUP('Données projet'!$B$17,Paramètres!$A$1:$I$89,5,0)</f>
        <v>0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123.03972959251965</v>
      </c>
      <c r="GF201" s="59">
        <f t="shared" si="212"/>
        <v>178.27657680839445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9.7649018588756995</v>
      </c>
      <c r="GM201" s="21">
        <f>EXP(-LN(2)/25)*GM200+(1-EXP(-LN(2)/25))/(LN(2)/25)*Calculateur!GH201*Calculateur!GJ201*VLOOKUP('Données projet'!$B$17,Paramètres!$A$1:$I$89,3,0)*0.475*44/12</f>
        <v>0.96594124797332304</v>
      </c>
      <c r="GN201" s="21">
        <f>EXP(-LN(2)/2)*GN200+(1-EXP(-LN(2)/2))/(LN(2)/2)*GH201*GK201*VLOOKUP('Données projet'!$B$17,Paramètres!$A$1:$I$89,3,0)*0.475*44/12</f>
        <v>5.5412269656122113E-19</v>
      </c>
      <c r="GO201" s="21">
        <f t="shared" si="187"/>
        <v>10.730843106849022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69.554359672674764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-4.5474735088646412E-13</v>
      </c>
      <c r="GV201" s="17">
        <f>GU201*VLOOKUP('Données projet'!$B$18,Paramètres!$A$1:$I$89,3,0)*VLOOKUP('Données projet'!$B$18,Paramètres!$A$1:$I$89,5,0)</f>
        <v>-3.0504452297464016E-13</v>
      </c>
      <c r="GW201" s="13" t="e">
        <f t="shared" si="188"/>
        <v>#NUM!</v>
      </c>
      <c r="GX201" s="20" t="e">
        <f t="shared" si="189"/>
        <v>#NUM!</v>
      </c>
      <c r="GY201" s="59" t="e">
        <f t="shared" si="201"/>
        <v>#NUM!</v>
      </c>
      <c r="GZ201" s="59">
        <f ca="1">AVERAGE(OFFSET($GY$3,0,0,'Données projet'!$E$18+1,1))-AVERAGE(OFFSET($H$3,0,0,'Données projet'!$E$18+1,1))</f>
        <v>542.25674729323623</v>
      </c>
      <c r="HA201" s="59">
        <f t="shared" si="213"/>
        <v>614.73906555680685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60.434127298939146</v>
      </c>
      <c r="HH201" s="21">
        <f>EXP(-LN(2)/25)*HH200+(1-EXP(-LN(2)/25))/(LN(2)/25)*Calculateur!HC201*Calculateur!HE201*VLOOKUP('Données projet'!$B$18,Paramètres!$A$1:$I$89,3,0)*0.475*44/12</f>
        <v>0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60.434127298939146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2.8499999999999996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10.449999999999998</v>
      </c>
      <c r="H202" s="67">
        <f t="shared" si="192"/>
        <v>214.86666666666667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69.562090536051343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-1.0231815394945443E-12</v>
      </c>
      <c r="O202" s="13">
        <f>N202*VLOOKUP('Données projet'!$B$9,Paramètres!$A$1:$I$89,3,0)*VLOOKUP('Données projet'!$B$9,Paramètres!$A$1:$I$89,5,0)</f>
        <v>-8.9385139290243408E-13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686.80970545599644</v>
      </c>
      <c r="T202" s="59">
        <f t="shared" si="204"/>
        <v>636.16485232937737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16.44549898284976</v>
      </c>
      <c r="AA202" s="21">
        <f>EXP(-LN(2)/25)*AA201+(1-EXP(-LN(2)/25))/(LN(2)/25)*Calculateur!V202*Calculateur!X202*VLOOKUP('Données projet'!$B$9,Paramètres!$A$1:$I$89,3,0)*0.475*44/12</f>
        <v>0.84223141194018802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17.287730394789946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69.562090536051343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1.1368683772161603E-13</v>
      </c>
      <c r="AJ202" s="13">
        <f>AI202*VLOOKUP('Données projet'!$B$10,Paramètres!$A$1:$I$89,3,0)*VLOOKUP('Données projet'!$B$10,Paramètres!$A$1:$I$89,5,0)</f>
        <v>1.0286385077051818E-13</v>
      </c>
      <c r="AK202" s="13">
        <f t="shared" si="164"/>
        <v>1.5402366592183556E-12</v>
      </c>
      <c r="AL202" s="20">
        <f t="shared" si="165"/>
        <v>2.8617333882306215E-12</v>
      </c>
      <c r="AM202" s="59">
        <f t="shared" si="193"/>
        <v>291.72766529885774</v>
      </c>
      <c r="AN202" s="59">
        <f ca="1">AVERAGE(OFFSET($AM$3,0,0,'Données projet'!$E$10+1,1))-AVERAGE(OFFSET($H$3,0,0,'Données projet'!$E$10+1,1))</f>
        <v>323.67375363913726</v>
      </c>
      <c r="AO202" s="59">
        <f t="shared" si="205"/>
        <v>266.03902815735029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14.421683349084603</v>
      </c>
      <c r="AV202" s="21">
        <f>EXP(-LN(2)/25)*AV201+(1-EXP(-LN(2)/25))/(LN(2)/25)*Calculateur!AQ202*Calculateur!AS202*VLOOKUP('Données projet'!$B$10,Paramètres!$A$1:$I$89,3,0)*0.475*44/12</f>
        <v>1.9441799168114793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16.365863265896081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69.562090536051343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371.46495716091965</v>
      </c>
      <c r="BJ202" s="59">
        <f t="shared" si="206"/>
        <v>579.95059529269417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10.524216646391162</v>
      </c>
      <c r="BQ202" s="21">
        <f>EXP(-LN(2)/25)*BQ201+(1-EXP(-LN(2)/25))/(LN(2)/25)*Calculateur!BL202*Calculateur!BN202*VLOOKUP('Données projet'!$B$11,Paramètres!$A$1:$I$89,3,0)*0.475*44/12</f>
        <v>0.96350077231536302</v>
      </c>
      <c r="BR202" s="21">
        <f>EXP(-LN(2)/2)*BR201+(1-EXP(-LN(2)/2))/(LN(2)/2)*BL202*BO202*VLOOKUP('Données projet'!$B$11,Paramètres!$A$1:$I$89,3,0)*0.475*44/12</f>
        <v>2.5696765593911826E-22</v>
      </c>
      <c r="BS202" s="22">
        <f t="shared" si="169"/>
        <v>11.487717418706525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69.562090536051343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180.18752244216969</v>
      </c>
      <c r="CE202" s="59">
        <f t="shared" si="207"/>
        <v>350.12096474554676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12.708112051392039</v>
      </c>
      <c r="CL202" s="21">
        <f>EXP(-LN(2)/25)*CL201+(1-EXP(-LN(2)/25))/(LN(2)/25)*Calculateur!CG202*Calculateur!CI202*VLOOKUP('Données projet'!$B$12,Paramètres!$A$1:$I$89,3,0)*0.475*44/12</f>
        <v>1.7178999617140249</v>
      </c>
      <c r="CM202" s="21">
        <f>EXP(-LN(2)/2)*CM201+(1-EXP(-LN(2)/2))/(LN(2)/2)*CG202*CJ202*VLOOKUP('Données projet'!$B$12,Paramètres!$A$1:$I$89,3,0)*0.475*44/12</f>
        <v>1.9523093668070067E-22</v>
      </c>
      <c r="CN202" s="22">
        <f t="shared" si="172"/>
        <v>14.426012013106064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69.562090536051343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5.6843418860808015E-14</v>
      </c>
      <c r="CU202" s="17">
        <f>CT202*VLOOKUP('Données projet'!$B$13,Paramètres!$A$1:$I$89,3,0)*VLOOKUP('Données projet'!$B$13,Paramètres!$A$1:$I$89,5,0)</f>
        <v>4.5224624045658861E-14</v>
      </c>
      <c r="CV202" s="13">
        <f t="shared" si="173"/>
        <v>7.4514601661523691E-13</v>
      </c>
      <c r="CW202" s="20">
        <f t="shared" si="174"/>
        <v>1.3765621991510601E-12</v>
      </c>
      <c r="CX202" s="59">
        <f t="shared" si="196"/>
        <v>291.72766529885627</v>
      </c>
      <c r="CY202" s="59">
        <f ca="1">AVERAGE(OFFSET($CX$3,0,0,'Données projet'!$E$13+1,1))-AVERAGE(OFFSET($H$3,0,0,'Données projet'!$E$13+1,1))</f>
        <v>284.31574332240928</v>
      </c>
      <c r="CZ202" s="59">
        <f t="shared" si="208"/>
        <v>403.96994631683913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53.513729168029769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53.513729168029769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69.562090536051343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190.9519472160006</v>
      </c>
      <c r="DU202" s="59">
        <f t="shared" si="209"/>
        <v>170.61553500287511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11.458540832099498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11.458540832099498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69.562090536051343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>
        <f>EJ202*VLOOKUP('Données projet'!$B$15,Paramètres!$A$1:$I$89,3,0)*VLOOKUP('Données projet'!$B$15,Paramètres!$A$1:$I$89,5,0)</f>
        <v>0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331.94255128154623</v>
      </c>
      <c r="EP202" s="59">
        <f t="shared" si="210"/>
        <v>258.40809812013964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146.40413188729687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146.40413188729687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69.562090536051343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>
        <f>FE202*VLOOKUP('Données projet'!$B$16,Paramètres!$A$1:$I$89,3,0)*VLOOKUP('Données projet'!$B$16,Paramètres!$A$1:$I$89,5,0)</f>
        <v>0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290.72311302449236</v>
      </c>
      <c r="FK202" s="59">
        <f t="shared" si="211"/>
        <v>352.32552988394434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44.044882963869505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44.044882963869505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69.562090536051343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>
        <f>FZ202*VLOOKUP('Données projet'!$B$17,Paramètres!$A$1:$I$89,3,0)*VLOOKUP('Données projet'!$B$17,Paramètres!$A$1:$I$89,5,0)</f>
        <v>0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123.03972959251965</v>
      </c>
      <c r="GF202" s="59">
        <f t="shared" si="212"/>
        <v>178.27657680839445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9.573418089425175</v>
      </c>
      <c r="GM202" s="21">
        <f>EXP(-LN(2)/25)*GM201+(1-EXP(-LN(2)/25))/(LN(2)/25)*Calculateur!GH202*Calculateur!GJ202*VLOOKUP('Données projet'!$B$17,Paramètres!$A$1:$I$89,3,0)*0.475*44/12</f>
        <v>0.93952753375084996</v>
      </c>
      <c r="GN202" s="21">
        <f>EXP(-LN(2)/2)*GN201+(1-EXP(-LN(2)/2))/(LN(2)/2)*GH202*GK202*VLOOKUP('Données projet'!$B$17,Paramètres!$A$1:$I$89,3,0)*0.475*44/12</f>
        <v>3.9182391634781506E-19</v>
      </c>
      <c r="GO202" s="21">
        <f t="shared" si="187"/>
        <v>10.512945623176025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69.562090536051343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-4.5474735088646412E-13</v>
      </c>
      <c r="GV202" s="17">
        <f>GU202*VLOOKUP('Données projet'!$B$18,Paramètres!$A$1:$I$89,3,0)*VLOOKUP('Données projet'!$B$18,Paramètres!$A$1:$I$89,5,0)</f>
        <v>-3.0504452297464016E-13</v>
      </c>
      <c r="GW202" s="13" t="e">
        <f t="shared" si="188"/>
        <v>#NUM!</v>
      </c>
      <c r="GX202" s="20" t="e">
        <f t="shared" si="189"/>
        <v>#NUM!</v>
      </c>
      <c r="GY202" s="59" t="e">
        <f t="shared" si="201"/>
        <v>#NUM!</v>
      </c>
      <c r="GZ202" s="59">
        <f ca="1">AVERAGE(OFFSET($GY$3,0,0,'Données projet'!$E$18+1,1))-AVERAGE(OFFSET($H$3,0,0,'Données projet'!$E$18+1,1))</f>
        <v>542.25674729323623</v>
      </c>
      <c r="HA202" s="59">
        <f t="shared" si="213"/>
        <v>614.73906555680685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59.249050923784864</v>
      </c>
      <c r="HH202" s="21">
        <f>EXP(-LN(2)/25)*HH201+(1-EXP(-LN(2)/25))/(LN(2)/25)*Calculateur!HC202*Calculateur!HE202*VLOOKUP('Données projet'!$B$18,Paramètres!$A$1:$I$89,3,0)*0.475*44/12</f>
        <v>0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59.249050923784864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2.8499999999999996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55.75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10.449999999999998</v>
      </c>
      <c r="H203" s="67">
        <f t="shared" si="192"/>
        <v>214.86666666666667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69.569687286231954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-1.0231815394945443E-12</v>
      </c>
      <c r="O203" s="13">
        <f>N203*VLOOKUP('Données projet'!$B$9,Paramètres!$A$1:$I$89,3,0)*VLOOKUP('Données projet'!$B$9,Paramètres!$A$1:$I$89,5,0)</f>
        <v>-8.9385139290243408E-13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686.80970545599644</v>
      </c>
      <c r="T203" s="59">
        <f t="shared" si="204"/>
        <v>636.16485232937737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16.12301277856</v>
      </c>
      <c r="AA203" s="21">
        <f>EXP(-LN(2)/25)*AA202+(1-EXP(-LN(2)/25))/(LN(2)/25)*Calculateur!V203*Calculateur!X203*VLOOKUP('Données projet'!$B$9,Paramètres!$A$1:$I$89,3,0)*0.475*44/12</f>
        <v>0.81920054968965861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16.942213328249657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69.569687286231954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1.1368683772161603E-13</v>
      </c>
      <c r="AJ203" s="13">
        <f>AI203*VLOOKUP('Données projet'!$B$10,Paramètres!$A$1:$I$89,3,0)*VLOOKUP('Données projet'!$B$10,Paramètres!$A$1:$I$89,5,0)</f>
        <v>1.0286385077051818E-13</v>
      </c>
      <c r="AK203" s="13">
        <f t="shared" si="164"/>
        <v>1.5402366592183556E-12</v>
      </c>
      <c r="AL203" s="20">
        <f t="shared" si="165"/>
        <v>2.8617333882306215E-12</v>
      </c>
      <c r="AM203" s="59">
        <f t="shared" si="193"/>
        <v>291.75552004951999</v>
      </c>
      <c r="AN203" s="59">
        <f ca="1">AVERAGE(OFFSET($AM$3,0,0,'Données projet'!$E$10+1,1))-AVERAGE(OFFSET($H$3,0,0,'Données projet'!$E$10+1,1))</f>
        <v>323.67375363913726</v>
      </c>
      <c r="AO203" s="59">
        <f t="shared" si="205"/>
        <v>266.03902815735029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14.138882934967329</v>
      </c>
      <c r="AV203" s="21">
        <f>EXP(-LN(2)/25)*AV202+(1-EXP(-LN(2)/25))/(LN(2)/25)*Calculateur!AQ203*Calculateur!AS203*VLOOKUP('Données projet'!$B$10,Paramètres!$A$1:$I$89,3,0)*0.475*44/12</f>
        <v>1.891016214746291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16.029899149713621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69.569687286231954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371.46495716091965</v>
      </c>
      <c r="BJ203" s="59">
        <f t="shared" si="206"/>
        <v>579.95059529269417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10.317843177093748</v>
      </c>
      <c r="BQ203" s="21">
        <f>EXP(-LN(2)/25)*BQ202+(1-EXP(-LN(2)/25))/(LN(2)/25)*Calculateur!BL203*Calculateur!BN203*VLOOKUP('Données projet'!$B$11,Paramètres!$A$1:$I$89,3,0)*0.475*44/12</f>
        <v>0.93715379302809587</v>
      </c>
      <c r="BR203" s="21">
        <f>EXP(-LN(2)/2)*BR202+(1-EXP(-LN(2)/2))/(LN(2)/2)*BL203*BO203*VLOOKUP('Données projet'!$B$11,Paramètres!$A$1:$I$89,3,0)*0.475*44/12</f>
        <v>1.8170357206016213E-22</v>
      </c>
      <c r="BS203" s="22">
        <f t="shared" si="169"/>
        <v>11.254996970121843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69.569687286231954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180.18752244216969</v>
      </c>
      <c r="CE203" s="59">
        <f t="shared" si="207"/>
        <v>350.12096474554676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12.458913725247227</v>
      </c>
      <c r="CL203" s="21">
        <f>EXP(-LN(2)/25)*CL202+(1-EXP(-LN(2)/25))/(LN(2)/25)*Calculateur!CG203*Calculateur!CI203*VLOOKUP('Données projet'!$B$12,Paramètres!$A$1:$I$89,3,0)*0.475*44/12</f>
        <v>1.6709238969205222</v>
      </c>
      <c r="CM203" s="21">
        <f>EXP(-LN(2)/2)*CM202+(1-EXP(-LN(2)/2))/(LN(2)/2)*CG203*CJ203*VLOOKUP('Données projet'!$B$12,Paramètres!$A$1:$I$89,3,0)*0.475*44/12</f>
        <v>1.3804911922432492E-22</v>
      </c>
      <c r="CN203" s="22">
        <f t="shared" si="172"/>
        <v>14.129837622167749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69.569687286231954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5.6843418860808015E-14</v>
      </c>
      <c r="CU203" s="17">
        <f>CT203*VLOOKUP('Données projet'!$B$13,Paramètres!$A$1:$I$89,3,0)*VLOOKUP('Données projet'!$B$13,Paramètres!$A$1:$I$89,5,0)</f>
        <v>4.5224624045658861E-14</v>
      </c>
      <c r="CV203" s="13">
        <f t="shared" si="173"/>
        <v>7.4514601661523691E-13</v>
      </c>
      <c r="CW203" s="20">
        <f t="shared" si="174"/>
        <v>1.3765621991510601E-12</v>
      </c>
      <c r="CX203" s="59">
        <f t="shared" si="196"/>
        <v>291.75552004951851</v>
      </c>
      <c r="CY203" s="59">
        <f ca="1">AVERAGE(OFFSET($CX$3,0,0,'Données projet'!$E$13+1,1))-AVERAGE(OFFSET($H$3,0,0,'Données projet'!$E$13+1,1))</f>
        <v>284.31574332240928</v>
      </c>
      <c r="CZ203" s="59">
        <f t="shared" si="208"/>
        <v>403.96994631683913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52.464357579196552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52.464357579196552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69.569687286231954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190.9519472160006</v>
      </c>
      <c r="DU203" s="59">
        <f t="shared" si="209"/>
        <v>170.61553500287511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11.233845835401826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11.233845835401826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69.569687286231954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>
        <f>EJ203*VLOOKUP('Données projet'!$B$15,Paramètres!$A$1:$I$89,3,0)*VLOOKUP('Données projet'!$B$15,Paramètres!$A$1:$I$89,5,0)</f>
        <v>0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331.94255128154623</v>
      </c>
      <c r="EP203" s="59">
        <f t="shared" si="210"/>
        <v>258.40809812013964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143.53323615869002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143.53323615869002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69.569687286231954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>
        <f>FE203*VLOOKUP('Données projet'!$B$16,Paramètres!$A$1:$I$89,3,0)*VLOOKUP('Données projet'!$B$16,Paramètres!$A$1:$I$89,5,0)</f>
        <v>0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290.72311302449236</v>
      </c>
      <c r="FK203" s="59">
        <f t="shared" si="211"/>
        <v>352.32552988394434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43.181189673673963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43.181189673673963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69.569687286231954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>
        <f>FZ203*VLOOKUP('Données projet'!$B$17,Paramètres!$A$1:$I$89,3,0)*VLOOKUP('Données projet'!$B$17,Paramètres!$A$1:$I$89,5,0)</f>
        <v>0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123.03972959251965</v>
      </c>
      <c r="GF203" s="59">
        <f t="shared" si="212"/>
        <v>178.27657680839445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9.3856891999000087</v>
      </c>
      <c r="GM203" s="21">
        <f>EXP(-LN(2)/25)*GM202+(1-EXP(-LN(2)/25))/(LN(2)/25)*Calculateur!GH203*Calculateur!GJ203*VLOOKUP('Données projet'!$B$17,Paramètres!$A$1:$I$89,3,0)*0.475*44/12</f>
        <v>0.91383610393282733</v>
      </c>
      <c r="GN203" s="21">
        <f>EXP(-LN(2)/2)*GN202+(1-EXP(-LN(2)/2))/(LN(2)/2)*GH203*GK203*VLOOKUP('Données projet'!$B$17,Paramètres!$A$1:$I$89,3,0)*0.475*44/12</f>
        <v>2.7706134828061056E-19</v>
      </c>
      <c r="GO203" s="21">
        <f t="shared" si="187"/>
        <v>10.299525303832835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69.569687286231954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-4.5474735088646412E-13</v>
      </c>
      <c r="GV203" s="17">
        <f>GU203*VLOOKUP('Données projet'!$B$18,Paramètres!$A$1:$I$89,3,0)*VLOOKUP('Données projet'!$B$18,Paramètres!$A$1:$I$89,5,0)</f>
        <v>-3.0504452297464016E-13</v>
      </c>
      <c r="GW203" s="13" t="e">
        <f t="shared" si="188"/>
        <v>#NUM!</v>
      </c>
      <c r="GX203" s="20" t="e">
        <f t="shared" si="189"/>
        <v>#NUM!</v>
      </c>
      <c r="GY203" s="59" t="e">
        <f t="shared" si="201"/>
        <v>#NUM!</v>
      </c>
      <c r="GZ203" s="59">
        <f ca="1">AVERAGE(OFFSET($GY$3,0,0,'Données projet'!$E$18+1,1))-AVERAGE(OFFSET($H$3,0,0,'Données projet'!$E$18+1,1))</f>
        <v>542.25674729323623</v>
      </c>
      <c r="HA203" s="59">
        <f t="shared" si="213"/>
        <v>614.73906555680685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58.087213173522137</v>
      </c>
      <c r="HH203" s="21">
        <f>EXP(-LN(2)/25)*HH202+(1-EXP(-LN(2)/25))/(LN(2)/25)*Calculateur!HC203*Calculateur!HE203*VLOOKUP('Données projet'!$B$18,Paramètres!$A$1:$I$89,3,0)*0.475*44/12</f>
        <v>0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58.087213173522137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1.3058796878509353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1.1450200501108143</v>
      </c>
      <c r="BA205" s="82">
        <f>EXP(LN('Données projet'!B88)/'Données projet'!A88)</f>
        <v>1.4152399275904428</v>
      </c>
      <c r="BV205" s="82">
        <f>EXP(LN('Données projet'!B114)/'Données projet'!A114)</f>
        <v>1.3903891703159093</v>
      </c>
      <c r="CQ205" s="82">
        <f>EXP(LN('Données projet'!B140)/'Données projet'!A140)</f>
        <v>1.3423796509621049</v>
      </c>
      <c r="DL205" s="82">
        <f>EXP(LN('Données projet'!B166)/'Données projet'!A166)</f>
        <v>1.6071994829923506</v>
      </c>
      <c r="EG205" s="82">
        <f>EXP(LN('Données projet'!B192)/'Données projet'!A192)</f>
        <v>1.2229519710813024</v>
      </c>
      <c r="FB205" s="82">
        <f>EXP(LN('Données projet'!B218)/'Données projet'!A218)</f>
        <v>1.2229519710813024</v>
      </c>
      <c r="FW205" s="82">
        <f>EXP(LN('Données projet'!B244)/'Données projet'!A244)</f>
        <v>1.2250334656419144</v>
      </c>
      <c r="GR205" s="82">
        <f>EXP(LN('Données projet'!B270)/'Données projet'!A270)</f>
        <v>1.1383739576277003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6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7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6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8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8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7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6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7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44" zoomScaleNormal="90" workbookViewId="0">
      <selection activeCell="B6" sqref="B6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7" t="s">
        <v>271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9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Chêne rouge d'Amérique</v>
      </c>
      <c r="B6" s="146">
        <f>'Données projet'!D9</f>
        <v>0.195932</v>
      </c>
      <c r="C6" s="147">
        <f ca="1">IF(OR('Données projet'!B9="",'Données projet'!C9="",'Données projet'!C9=0%),0,Calculateur!S3)</f>
        <v>686.80970545599644</v>
      </c>
      <c r="D6" s="147">
        <f>IF(OR('Données projet'!B9="",'Données projet'!C9="",'Données projet'!C9=0%),0,Calculateur!T3)</f>
        <v>636.16485232937737</v>
      </c>
      <c r="E6" s="147">
        <f ca="1">MIN(C6,D6)</f>
        <v>636.16485232937737</v>
      </c>
      <c r="F6" s="147">
        <f ca="1">E6*B6</f>
        <v>124.64505184659956</v>
      </c>
      <c r="G6" s="147">
        <f ca="1">F6*(100%-'Données projet'!$C$24)*(100%-'Données projet'!$C$25)*(100%-'Données projet'!$C$26)*(100%-'Données projet'!$C$27)</f>
        <v>112.1805466619396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112.1805466619396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Chêne sessile</v>
      </c>
      <c r="B7" s="154">
        <f>'Données projet'!D10</f>
        <v>0.80318699999999998</v>
      </c>
      <c r="C7" s="147">
        <f ca="1">IF(OR('Données projet'!B10="",'Données projet'!C10="",'Données projet'!C10=0%),0,Calculateur!AN3)</f>
        <v>323.67375363913726</v>
      </c>
      <c r="D7" s="147">
        <f>IF(OR('Données projet'!B10="",'Données projet'!C10="",'Données projet'!C10=0%),0,Calculateur!AO3)</f>
        <v>266.03902815735029</v>
      </c>
      <c r="E7" s="147">
        <f t="shared" ref="E7:E15" ca="1" si="0">MIN(C7,D7)</f>
        <v>266.03902815735029</v>
      </c>
      <c r="F7" s="147">
        <f t="shared" ref="F7:F15" ca="1" si="1">E7*B7</f>
        <v>213.6790889086177</v>
      </c>
      <c r="G7" s="147">
        <f ca="1">F7*(100%-'Données projet'!$C$24)*(100%-'Données projet'!$C$25)*(100%-'Données projet'!$C$26)*(100%-'Données projet'!$C$27)</f>
        <v>192.31118001775593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192.31118001775593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Douglas</v>
      </c>
      <c r="B8" s="154">
        <f>'Données projet'!D11</f>
        <v>1.7016559999999998</v>
      </c>
      <c r="C8" s="147">
        <f ca="1">IF(OR('Données projet'!B11="",'Données projet'!C11="",'Données projet'!C11=0%),0,Calculateur!BI3)</f>
        <v>371.46495716091965</v>
      </c>
      <c r="D8" s="147">
        <f>IF(OR('Données projet'!B11="",'Données projet'!C11="",'Données projet'!C11=0%),0,Calculateur!BJ3)</f>
        <v>579.95059529269417</v>
      </c>
      <c r="E8" s="147">
        <f t="shared" ca="1" si="0"/>
        <v>371.46495716091965</v>
      </c>
      <c r="F8" s="147">
        <f t="shared" ca="1" si="1"/>
        <v>632.10557314262178</v>
      </c>
      <c r="G8" s="147">
        <f ca="1">F8*(100%-'Données projet'!$C$24)*(100%-'Données projet'!$C$25)*(100%-'Données projet'!$C$26)*(100%-'Données projet'!$C$27)</f>
        <v>568.89501582835965</v>
      </c>
      <c r="H8" s="155">
        <f>IF(OR('Données projet'!B11="",'Données projet'!C11="",'Données projet'!C11=0%),0,AVERAGE(Calculateur!$BS$3:$BS$33)*B8)</f>
        <v>22.955512641529261</v>
      </c>
      <c r="I8" s="149">
        <f>H8*(100%-'Données projet'!$C$24)*(100%-'Données projet'!$C$25)*(100%-'Données projet'!$C$26)*(100%-'Données projet'!$C$27)</f>
        <v>20.659961377376334</v>
      </c>
      <c r="J8" s="150">
        <f>IF(OR('Données projet'!B11="",'Données projet'!C11="",'Données projet'!C11=0%),0,SUM(Calculateur!$BL$3:$BL$33)*VLOOKUP('Données projet'!$B$11,Paramètres!$A$1:$I$89,9,0)*B8)</f>
        <v>131.70817439999999</v>
      </c>
      <c r="K8" s="151">
        <f>J8*(100%-'Données projet'!$C$24)*(100%-'Données projet'!$C$25)*(100%-'Données projet'!$C$26)*(100%-'Données projet'!$C$27)</f>
        <v>118.53735696</v>
      </c>
      <c r="L8" s="152">
        <f t="shared" ca="1" si="2"/>
        <v>708.09233416573602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Mélèze d'Europe</v>
      </c>
      <c r="B9" s="154">
        <f>'Données projet'!D12</f>
        <v>1.0890329999999999</v>
      </c>
      <c r="C9" s="147">
        <f ca="1">IF(OR('Données projet'!B12="",'Données projet'!C12="",'Données projet'!C12=0%),0,Calculateur!CD3)</f>
        <v>180.18752244216969</v>
      </c>
      <c r="D9" s="147">
        <f>IF(OR('Données projet'!B12="",'Données projet'!C12="",'Données projet'!C12=0%),0,Calculateur!CE3)</f>
        <v>350.12096474554676</v>
      </c>
      <c r="E9" s="147">
        <f t="shared" ca="1" si="0"/>
        <v>180.18752244216969</v>
      </c>
      <c r="F9" s="147">
        <f t="shared" ca="1" si="1"/>
        <v>196.23015812776336</v>
      </c>
      <c r="G9" s="147">
        <f ca="1">F9*(100%-'Données projet'!$C$24)*(100%-'Données projet'!$C$25)*(100%-'Données projet'!$C$26)*(100%-'Données projet'!$C$27)</f>
        <v>176.60714231498702</v>
      </c>
      <c r="H9" s="155">
        <f>IF(OR('Données projet'!B12="",'Données projet'!C12="",'Données projet'!C12=0%),0,AVERAGE(Calculateur!$CN$3:$CN$33)*B9)</f>
        <v>41.963721950909935</v>
      </c>
      <c r="I9" s="149">
        <f>H9*(100%-'Données projet'!$C$24)*(100%-'Données projet'!$C$25)*(100%-'Données projet'!$C$26)*(100%-'Données projet'!$C$27)</f>
        <v>37.767349755818941</v>
      </c>
      <c r="J9" s="150">
        <f>IF(OR('Données projet'!B12="",'Données projet'!C12="",'Données projet'!C12=0%),0,SUM(Calculateur!$CG$3:$CG$33)*VLOOKUP('Données projet'!$B$12,Paramètres!$A$1:$I$89,9,0)*B9)</f>
        <v>238.82493689999995</v>
      </c>
      <c r="K9" s="151">
        <f>J9*(100%-'Données projet'!$C$24)*(100%-'Données projet'!$C$25)*(100%-'Données projet'!$C$26)*(100%-'Données projet'!$C$27)</f>
        <v>214.94244320999996</v>
      </c>
      <c r="L9" s="152">
        <f t="shared" ca="1" si="2"/>
        <v>429.31693528080592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Erable plane</v>
      </c>
      <c r="B10" s="154">
        <f>'Données projet'!D13</f>
        <v>0.332816</v>
      </c>
      <c r="C10" s="147">
        <f ca="1">IF(OR('Données projet'!B13="",'Données projet'!C13="",'Données projet'!C13=0%),0,Calculateur!CY3)</f>
        <v>284.31574332240928</v>
      </c>
      <c r="D10" s="147">
        <f>IF(OR('Données projet'!B13="",'Données projet'!C13="",'Données projet'!C13=0%),0,Calculateur!CZ3)</f>
        <v>403.96994631683913</v>
      </c>
      <c r="E10" s="147">
        <f t="shared" ca="1" si="0"/>
        <v>284.31574332240928</v>
      </c>
      <c r="F10" s="147">
        <f t="shared" ca="1" si="1"/>
        <v>94.624828429590963</v>
      </c>
      <c r="G10" s="147">
        <f ca="1">F10*(100%-'Données projet'!$C$24)*(100%-'Données projet'!$C$25)*(100%-'Données projet'!$C$26)*(100%-'Données projet'!$C$27)</f>
        <v>85.162345586631872</v>
      </c>
      <c r="H10" s="155">
        <f>IF(OR('Données projet'!B13="",'Données projet'!C13="",'Données projet'!C13=0%),0,AVERAGE(Calculateur!$DI$3:$DI$33)*B10)</f>
        <v>2.7627398913415031</v>
      </c>
      <c r="I10" s="149">
        <f>H10*(100%-'Données projet'!$C$24)*(100%-'Données projet'!$C$25)*(100%-'Données projet'!$C$26)*(100%-'Données projet'!$C$27)</f>
        <v>2.4864659022073528</v>
      </c>
      <c r="J10" s="150">
        <f>IF(OR('Données projet'!B13="",'Données projet'!C13="",'Données projet'!C13=0%),0,SUM(Calculateur!$DB$3:$DB$33)*VLOOKUP('Données projet'!$B$13,Paramètres!$A$1:$I$89,9,0)*B10)</f>
        <v>35.112088</v>
      </c>
      <c r="K10" s="151">
        <f>J10*(100%-'Données projet'!$C$24)*(100%-'Données projet'!$C$25)*(100%-'Données projet'!$C$26)*(100%-'Données projet'!$C$27)</f>
        <v>31.600879200000001</v>
      </c>
      <c r="L10" s="152">
        <f t="shared" ca="1" si="2"/>
        <v>119.24969068883922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>Châtaignier</v>
      </c>
      <c r="B11" s="154">
        <f>'Données projet'!D14</f>
        <v>0.14091000000000001</v>
      </c>
      <c r="C11" s="147">
        <f ca="1">IF(OR('Données projet'!B14="",'Données projet'!C14="",'Données projet'!C14=0%),0,Calculateur!DT3)</f>
        <v>190.9519472160006</v>
      </c>
      <c r="D11" s="147">
        <f>IF(OR('Données projet'!B14="",'Données projet'!C14="",'Données projet'!C14=0%),0,Calculateur!DU3)</f>
        <v>170.61553500287511</v>
      </c>
      <c r="E11" s="147">
        <f t="shared" ca="1" si="0"/>
        <v>170.61553500287511</v>
      </c>
      <c r="F11" s="147">
        <f t="shared" ca="1" si="1"/>
        <v>24.041435037255134</v>
      </c>
      <c r="G11" s="147">
        <f ca="1">F11*(100%-'Données projet'!$C$24)*(100%-'Données projet'!$C$25)*(100%-'Données projet'!$C$26)*(100%-'Données projet'!$C$27)</f>
        <v>21.63729153352962</v>
      </c>
      <c r="H11" s="155">
        <f>IF(OR('Données projet'!B14="",'Données projet'!C14="",'Données projet'!C14=0%),0,AVERAGE(Calculateur!$ED$3:$ED$33)*B11)</f>
        <v>1.2204797764812654</v>
      </c>
      <c r="I11" s="149">
        <f>H11*(100%-'Données projet'!$C$24)*(100%-'Données projet'!$C$25)*(100%-'Données projet'!$C$26)*(100%-'Données projet'!$C$27)</f>
        <v>1.0984317988331389</v>
      </c>
      <c r="J11" s="150">
        <f>IF(OR('Données projet'!B14="",'Données projet'!C14="",'Données projet'!C14=0%),0,SUM(Calculateur!$DW$3:$DW$33)*VLOOKUP('Données projet'!$B$14,Paramètres!$A$1:$I$89,9,0)*B11)</f>
        <v>21.805822500000001</v>
      </c>
      <c r="K11" s="151">
        <f>J11*(100%-'Données projet'!$C$24)*(100%-'Données projet'!$C$25)*(100%-'Données projet'!$C$26)*(100%-'Données projet'!$C$27)</f>
        <v>19.625240250000001</v>
      </c>
      <c r="L11" s="152">
        <f t="shared" ca="1" si="2"/>
        <v>42.360963582362757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>Hêtre</v>
      </c>
      <c r="B12" s="154">
        <f>'Données projet'!D15</f>
        <v>0.40998099999999998</v>
      </c>
      <c r="C12" s="147">
        <f ca="1">IF(OR('Données projet'!B15="",'Données projet'!C15="",'Données projet'!C15=0%),0,Calculateur!EO3)</f>
        <v>331.94255128154623</v>
      </c>
      <c r="D12" s="147">
        <f>IF(OR('Données projet'!B15="",'Données projet'!C15="",'Données projet'!C15=0%),0,Calculateur!EP3)</f>
        <v>258.40809812013964</v>
      </c>
      <c r="E12" s="147">
        <f t="shared" ca="1" si="0"/>
        <v>258.40809812013964</v>
      </c>
      <c r="F12" s="147">
        <f t="shared" ca="1" si="1"/>
        <v>105.94241047539296</v>
      </c>
      <c r="G12" s="147">
        <f ca="1">F12*(100%-'Données projet'!$C$24)*(100%-'Données projet'!$C$25)*(100%-'Données projet'!$C$26)*(100%-'Données projet'!$C$27)</f>
        <v>95.348169427853662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19.57659275</v>
      </c>
      <c r="K12" s="151">
        <f>J12*(100%-'Données projet'!$C$24)*(100%-'Données projet'!$C$25)*(100%-'Données projet'!$C$26)*(100%-'Données projet'!$C$27)</f>
        <v>17.618933474999999</v>
      </c>
      <c r="L12" s="152">
        <f t="shared" ca="1" si="2"/>
        <v>112.96710290285367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>Charme</v>
      </c>
      <c r="B13" s="154">
        <f>'Données projet'!D16</f>
        <v>0.94275500000000012</v>
      </c>
      <c r="C13" s="147">
        <f ca="1">IF(OR('Données projet'!B16="",'Données projet'!C16="",'Données projet'!C16=0%),0,Calculateur!FJ3)</f>
        <v>290.72311302449236</v>
      </c>
      <c r="D13" s="147">
        <f>IF(OR('Données projet'!B16="",'Données projet'!C16="",'Données projet'!C16=0%),0,Calculateur!FK3)</f>
        <v>352.32552988394434</v>
      </c>
      <c r="E13" s="147">
        <f t="shared" ca="1" si="0"/>
        <v>290.72311302449236</v>
      </c>
      <c r="F13" s="147">
        <f t="shared" ca="1" si="1"/>
        <v>274.08066841940536</v>
      </c>
      <c r="G13" s="147">
        <f ca="1">F13*(100%-'Données projet'!$C$24)*(100%-'Données projet'!$C$25)*(100%-'Données projet'!$C$26)*(100%-'Données projet'!$C$27)</f>
        <v>246.67260157746483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59.393565000000009</v>
      </c>
      <c r="K13" s="151">
        <f>J13*(100%-'Données projet'!$C$24)*(100%-'Données projet'!$C$25)*(100%-'Données projet'!$C$26)*(100%-'Données projet'!$C$27)</f>
        <v>53.454208500000007</v>
      </c>
      <c r="L13" s="152">
        <f t="shared" ca="1" si="2"/>
        <v>300.12681007746482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>Aulne glutineux</v>
      </c>
      <c r="B14" s="154">
        <f>'Données projet'!D17</f>
        <v>0.62402999999999997</v>
      </c>
      <c r="C14" s="147">
        <f ca="1">IF(OR('Données projet'!B17="",'Données projet'!C17="",'Données projet'!C17=0%),0,Calculateur!GE3)</f>
        <v>123.03972959251965</v>
      </c>
      <c r="D14" s="147">
        <f>IF(OR('Données projet'!B17="",'Données projet'!C17="",'Données projet'!C17=0%),0,Calculateur!GF3)</f>
        <v>178.27657680839445</v>
      </c>
      <c r="E14" s="147">
        <f t="shared" ca="1" si="0"/>
        <v>123.03972959251965</v>
      </c>
      <c r="F14" s="147">
        <f t="shared" ca="1" si="1"/>
        <v>76.780482457620039</v>
      </c>
      <c r="G14" s="147">
        <f ca="1">F14*(100%-'Données projet'!$C$24)*(100%-'Données projet'!$C$25)*(100%-'Données projet'!$C$26)*(100%-'Données projet'!$C$27)</f>
        <v>69.102434211858039</v>
      </c>
      <c r="H14" s="155">
        <f>IF(OR('Données projet'!B17="",'Données projet'!C17="",'Données projet'!C17=0%),0,AVERAGE(Calculateur!$GO$3:$GO$33)*B14)</f>
        <v>5.2400371169118429</v>
      </c>
      <c r="I14" s="149">
        <f>H14*(100%-'Données projet'!$C$24)*(100%-'Données projet'!$C$25)*(100%-'Données projet'!$C$26)*(100%-'Données projet'!$C$27)</f>
        <v>4.7160334052206592</v>
      </c>
      <c r="J14" s="150">
        <f>IF(OR('Données projet'!B17="",'Données projet'!C17="",'Données projet'!C17=0%),0,SUM(Calculateur!$GH$3:$GH$33)*VLOOKUP('Données projet'!$B$17,Paramètres!$A$1:$I$89,9,0)*B14)</f>
        <v>31.981537499999998</v>
      </c>
      <c r="K14" s="151">
        <f>J14*(100%-'Données projet'!$C$24)*(100%-'Données projet'!$C$25)*(100%-'Données projet'!$C$26)*(100%-'Données projet'!$C$27)</f>
        <v>28.783383749999999</v>
      </c>
      <c r="L14" s="152">
        <f t="shared" ca="1" si="2"/>
        <v>102.60185136707869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>Tilleul</v>
      </c>
      <c r="B15" s="157">
        <f>'Données projet'!D18</f>
        <v>8.0519999999999994E-2</v>
      </c>
      <c r="C15" s="158">
        <f ca="1">IF(OR('Données projet'!B18="",'Données projet'!C18="",'Données projet'!C18=0%),0,Calculateur!GZ3)</f>
        <v>542.25674729323623</v>
      </c>
      <c r="D15" s="158">
        <f>IF(OR('Données projet'!B18="",'Données projet'!C18="",'Données projet'!C18=0%),0,Calculateur!HA3)</f>
        <v>614.73906555680685</v>
      </c>
      <c r="E15" s="158">
        <f t="shared" ca="1" si="0"/>
        <v>542.25674729323623</v>
      </c>
      <c r="F15" s="159">
        <f t="shared" ca="1" si="1"/>
        <v>43.662513292051379</v>
      </c>
      <c r="G15" s="159">
        <f ca="1">F15*(100%-'Données projet'!$C$24)*(100%-'Données projet'!$C$25)*(100%-'Données projet'!$C$26)*(100%-'Données projet'!$C$27)</f>
        <v>39.296261962846245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ca="1" si="2"/>
        <v>39.296261962846245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9"/>
      <c r="B16" s="213"/>
      <c r="C16" s="214"/>
      <c r="D16" s="23"/>
      <c r="E16" s="23"/>
      <c r="F16" s="165">
        <f t="shared" ref="F16:L16" ca="1" si="3">SUM(F6:F15)</f>
        <v>1785.7922101369184</v>
      </c>
      <c r="G16" s="166">
        <f t="shared" ca="1" si="3"/>
        <v>1607.2129891232264</v>
      </c>
      <c r="H16" s="167">
        <f t="shared" si="3"/>
        <v>74.142491377173798</v>
      </c>
      <c r="I16" s="167">
        <f t="shared" si="3"/>
        <v>66.728242239456421</v>
      </c>
      <c r="J16" s="168">
        <f t="shared" si="3"/>
        <v>538.40271704999986</v>
      </c>
      <c r="K16" s="168">
        <f t="shared" si="3"/>
        <v>484.56244534499996</v>
      </c>
      <c r="L16" s="169">
        <f t="shared" ca="1" si="3"/>
        <v>2158.5036767076826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9"/>
      <c r="B17" s="213"/>
      <c r="C17" s="214"/>
      <c r="D17" s="23"/>
      <c r="E17" s="23"/>
      <c r="F17" s="289" t="s">
        <v>246</v>
      </c>
      <c r="G17" s="290"/>
      <c r="H17" s="290"/>
      <c r="I17" s="290"/>
      <c r="J17" s="290"/>
      <c r="K17" s="290"/>
      <c r="L17" s="290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9"/>
      <c r="B18" s="213"/>
      <c r="C18" s="214"/>
      <c r="D18" s="23"/>
      <c r="E18" s="23"/>
      <c r="F18" s="276"/>
      <c r="G18" s="276"/>
      <c r="H18" s="276"/>
      <c r="I18" s="276"/>
      <c r="J18" s="276"/>
      <c r="K18" s="276"/>
      <c r="L18" s="276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Chêne rouge d'Amérique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Douglas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Mélèze d'Europe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>Erable plane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>Châtaignier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>Hêtre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>Charme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>Aulne glutineux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>Tilleul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90" zoomScale="80" zoomScaleNormal="80" workbookViewId="0">
      <selection activeCell="U10" sqref="U10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7" t="s">
        <v>272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9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7" t="s">
        <v>315</v>
      </c>
      <c r="I4" s="267"/>
      <c r="K4" s="291" t="s">
        <v>253</v>
      </c>
      <c r="L4" s="29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rouge d'Amérique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-7133.3687281620978</v>
      </c>
      <c r="U10" s="178">
        <f>'Données projet'!D9</f>
        <v>0.195932</v>
      </c>
      <c r="V10" s="177">
        <f>U10*T10</f>
        <v>-1397.655201646256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-7866.4077591404721</v>
      </c>
      <c r="U11" s="178">
        <f>'Données projet'!D10</f>
        <v>0.80318699999999998</v>
      </c>
      <c r="V11" s="177">
        <f t="shared" ref="V11" si="0">U11*T11</f>
        <v>-6318.1964488407584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Douglas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-8899.8486437720076</v>
      </c>
      <c r="U12" s="178">
        <f>'Données projet'!D11</f>
        <v>1.7016559999999998</v>
      </c>
      <c r="V12" s="177">
        <f t="shared" ref="V12:V19" si="1">U12*T12</f>
        <v>-15144.480843766498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Mélèze d'Europe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-7739.7974938495627</v>
      </c>
      <c r="U13" s="178">
        <f>'Données projet'!D12</f>
        <v>1.0890329999999999</v>
      </c>
      <c r="V13" s="177">
        <f t="shared" si="1"/>
        <v>-8428.8948841194706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Chêne rouge d'Amérique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plane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-9011.4862676188204</v>
      </c>
      <c r="U14" s="178">
        <f>'Données projet'!D13</f>
        <v>0.332816</v>
      </c>
      <c r="V14" s="177">
        <f t="shared" si="1"/>
        <v>-2999.1668136438252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30"/>
      <c r="G15" s="29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Châtaignier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-9286.2052529900338</v>
      </c>
      <c r="U15" s="178">
        <f>'Données projet'!D14</f>
        <v>0.14091000000000001</v>
      </c>
      <c r="V15" s="177">
        <f t="shared" si="1"/>
        <v>-1308.5191821988258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4"/>
      <c r="H16" s="190"/>
      <c r="I16" s="191"/>
      <c r="J16" s="202"/>
      <c r="K16" s="208"/>
      <c r="L16" s="291" t="s">
        <v>254</v>
      </c>
      <c r="M16" s="292"/>
      <c r="N16" s="2"/>
      <c r="O16" s="23"/>
      <c r="P16" s="23"/>
      <c r="Q16" s="234"/>
      <c r="R16" s="23"/>
      <c r="S16" s="36" t="str">
        <f>B200</f>
        <v>Hêtre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-7866.4077591404721</v>
      </c>
      <c r="U16" s="178">
        <f>'Données projet'!D15</f>
        <v>0.40998099999999998</v>
      </c>
      <c r="V16" s="177">
        <f t="shared" si="1"/>
        <v>-3225.0777195001697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9" t="s">
        <v>132</v>
      </c>
      <c r="C17" s="198" t="s">
        <v>132</v>
      </c>
      <c r="D17" s="197" t="s">
        <v>132</v>
      </c>
      <c r="E17" s="193">
        <v>6320</v>
      </c>
      <c r="F17" s="230"/>
      <c r="G17" s="294"/>
      <c r="J17" s="202"/>
      <c r="K17" s="208"/>
      <c r="L17" s="264" t="s">
        <v>289</v>
      </c>
      <c r="M17" s="266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Charme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-7866.4077591404721</v>
      </c>
      <c r="U17" s="178">
        <f>'Données projet'!D16</f>
        <v>0.94275500000000012</v>
      </c>
      <c r="V17" s="177">
        <f t="shared" si="1"/>
        <v>-7416.0952469684771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9" t="s">
        <v>132</v>
      </c>
      <c r="C18" s="198" t="s">
        <v>132</v>
      </c>
      <c r="D18" s="197" t="s">
        <v>132</v>
      </c>
      <c r="E18" s="193">
        <v>300</v>
      </c>
      <c r="F18" s="230"/>
      <c r="G18" s="294"/>
      <c r="J18" s="202"/>
      <c r="K18" s="208"/>
      <c r="L18" s="264" t="s">
        <v>255</v>
      </c>
      <c r="M18" s="266"/>
      <c r="N18" s="192"/>
      <c r="O18" s="23"/>
      <c r="P18" s="23"/>
      <c r="Q18" s="234"/>
      <c r="R18" s="23"/>
      <c r="S18" s="36" t="str">
        <f>B262</f>
        <v>Aulne glutineux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-8899.8486437720076</v>
      </c>
      <c r="U18" s="178">
        <f>'Données projet'!D17</f>
        <v>0.62402999999999997</v>
      </c>
      <c r="V18" s="177">
        <f t="shared" si="1"/>
        <v>-5553.7725491730453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9" t="s">
        <v>132</v>
      </c>
      <c r="C19" s="198" t="s">
        <v>132</v>
      </c>
      <c r="D19" s="197" t="s">
        <v>132</v>
      </c>
      <c r="E19" s="193">
        <v>300</v>
      </c>
      <c r="F19" s="230"/>
      <c r="G19" s="294"/>
      <c r="H19" s="212" t="s">
        <v>178</v>
      </c>
      <c r="I19" s="212" t="s">
        <v>287</v>
      </c>
      <c r="J19" s="93"/>
      <c r="K19" s="173"/>
      <c r="L19" s="291" t="s">
        <v>288</v>
      </c>
      <c r="M19" s="292"/>
      <c r="N19" s="179">
        <f>N17*N18</f>
        <v>0</v>
      </c>
      <c r="O19" s="23"/>
      <c r="P19" s="4"/>
      <c r="Q19" s="235"/>
      <c r="R19" s="4"/>
      <c r="S19" s="36" t="str">
        <f>B293</f>
        <v>Tilleul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-7866.4077591404721</v>
      </c>
      <c r="U19" s="178">
        <f>'Données projet'!D18</f>
        <v>8.0519999999999994E-2</v>
      </c>
      <c r="V19" s="177">
        <f t="shared" si="1"/>
        <v>-633.40315276599074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4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9" t="s">
        <v>132</v>
      </c>
      <c r="C21" s="198" t="s">
        <v>132</v>
      </c>
      <c r="D21" s="197" t="s">
        <v>132</v>
      </c>
      <c r="E21" s="193">
        <v>300</v>
      </c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20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93" t="s">
        <v>260</v>
      </c>
      <c r="M23" s="293"/>
      <c r="N23" s="293"/>
      <c r="O23" s="23"/>
      <c r="P23" s="23"/>
      <c r="Q23" s="234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-52425.262042623319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25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81149.454711927538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30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600</v>
      </c>
      <c r="Q25" s="234"/>
      <c r="R25" s="23"/>
      <c r="S25" s="186" t="s">
        <v>266</v>
      </c>
      <c r="T25" s="308">
        <f ca="1">T23-T24</f>
        <v>-133574.71675455087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35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5" t="s">
        <v>258</v>
      </c>
      <c r="M26" s="296"/>
      <c r="N26" s="296"/>
      <c r="O26" s="296"/>
      <c r="P26" s="297"/>
      <c r="Q26" s="234"/>
      <c r="R26" s="23"/>
      <c r="S26" s="186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40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8"/>
      <c r="M27" s="299"/>
      <c r="N27" s="299"/>
      <c r="O27" s="299"/>
      <c r="P27" s="300"/>
      <c r="Q27" s="234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45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50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55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12093.808451852092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60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65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70</v>
      </c>
      <c r="B33" s="181">
        <f>'Données projet'!D46</f>
        <v>728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600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574.16267942583738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549.43797074242821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525.77796243294563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503.13680615592892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481.47062790041048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460.73744296690006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440.89707460947375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421.91107618131468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403.74265663283705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386.35660921802599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369.71924327083826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353.79831891946253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338.56298461192586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323.9837173319865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9" t="s">
        <v>132</v>
      </c>
      <c r="C48" s="198" t="s">
        <v>132</v>
      </c>
      <c r="D48" s="197" t="s">
        <v>132</v>
      </c>
      <c r="E48" s="193">
        <v>6320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310.03226538946075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9" t="s">
        <v>132</v>
      </c>
      <c r="C49" s="198" t="s">
        <v>132</v>
      </c>
      <c r="D49" s="197" t="s">
        <v>132</v>
      </c>
      <c r="E49" s="193">
        <v>300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296.68159367412522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9" t="s">
        <v>132</v>
      </c>
      <c r="C50" s="198" t="s">
        <v>132</v>
      </c>
      <c r="D50" s="197" t="s">
        <v>132</v>
      </c>
      <c r="E50" s="193">
        <v>300</v>
      </c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283.9058312671055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271.68022130823499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9" t="s">
        <v>132</v>
      </c>
      <c r="C52" s="198" t="s">
        <v>132</v>
      </c>
      <c r="D52" s="197" t="s">
        <v>132</v>
      </c>
      <c r="E52" s="193">
        <v>600</v>
      </c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259.98107302223445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9" t="s">
        <v>132</v>
      </c>
      <c r="C53" s="198" t="s">
        <v>132</v>
      </c>
      <c r="D53" s="197" t="s">
        <v>132</v>
      </c>
      <c r="E53" s="193">
        <v>600</v>
      </c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248.78571581075073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36</v>
      </c>
      <c r="B54" s="181">
        <f>'Données projet'!D62</f>
        <v>36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238.07245532129252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42</v>
      </c>
      <c r="B55" s="181">
        <f>'Données projet'!D63</f>
        <v>41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227.82053140793553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48</v>
      </c>
      <c r="B56" s="181">
        <f>'Données projet'!D64</f>
        <v>41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218.01007790233064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54</v>
      </c>
      <c r="B57" s="181">
        <f>'Données projet'!D65</f>
        <v>31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208.62208411706285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62</v>
      </c>
      <c r="B58" s="181">
        <f>'Données projet'!D66</f>
        <v>39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199.63835800675872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70</v>
      </c>
      <c r="B59" s="181">
        <f>'Données projet'!D67</f>
        <v>53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191.04149091555863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78</v>
      </c>
      <c r="B60" s="181">
        <f>'Données projet'!D68</f>
        <v>42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182.81482384263984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87</v>
      </c>
      <c r="B61" s="181">
        <f>'Données projet'!D69</f>
        <v>39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174.94241516042095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97</v>
      </c>
      <c r="B62" s="181">
        <f>'Données projet'!D70</f>
        <v>265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167.40900972289083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160.20000930420181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153.30144431024092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146.69994670836459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140.38272412283698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134.337535045777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128.55266511557608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123.01690441681924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117.71952575772177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112.65026388298736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107.79929558180609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103.15722065244604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98.715043686551255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94.464156637848106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Douglas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90.396322141481434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86.503657551656886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82.778619666657306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9" t="s">
        <v>132</v>
      </c>
      <c r="C79" s="198" t="s">
        <v>132</v>
      </c>
      <c r="D79" s="197" t="s">
        <v>132</v>
      </c>
      <c r="E79" s="193">
        <v>6320</v>
      </c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9" t="s">
        <v>132</v>
      </c>
      <c r="C80" s="198" t="s">
        <v>132</v>
      </c>
      <c r="D80" s="197" t="s">
        <v>132</v>
      </c>
      <c r="E80" s="193">
        <v>300</v>
      </c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9" t="s">
        <v>132</v>
      </c>
      <c r="C81" s="198" t="s">
        <v>132</v>
      </c>
      <c r="D81" s="197" t="s">
        <v>132</v>
      </c>
      <c r="E81" s="193">
        <v>300</v>
      </c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9" t="s">
        <v>132</v>
      </c>
      <c r="C83" s="198" t="s">
        <v>132</v>
      </c>
      <c r="D83" s="197" t="s">
        <v>132</v>
      </c>
      <c r="E83" s="193">
        <v>600</v>
      </c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9" t="s">
        <v>132</v>
      </c>
      <c r="C84" s="198" t="s">
        <v>132</v>
      </c>
      <c r="D84" s="197" t="s">
        <v>132</v>
      </c>
      <c r="E84" s="193">
        <v>600</v>
      </c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15</v>
      </c>
      <c r="B85" s="181">
        <f>'Données projet'!D88</f>
        <v>28</v>
      </c>
      <c r="C85" s="191"/>
      <c r="D85" s="179">
        <f>B85*C85</f>
        <v>0</v>
      </c>
      <c r="E85" s="193">
        <v>2000</v>
      </c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20</v>
      </c>
      <c r="B86" s="181">
        <f>'Données projet'!D89</f>
        <v>45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25</v>
      </c>
      <c r="B87" s="181">
        <f>'Données projet'!D90</f>
        <v>52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30</v>
      </c>
      <c r="B88" s="181">
        <f>'Données projet'!D91</f>
        <v>55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35</v>
      </c>
      <c r="B89" s="181">
        <f>'Données projet'!D92</f>
        <v>55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40</v>
      </c>
      <c r="B90" s="181">
        <f>'Données projet'!D93</f>
        <v>55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45</v>
      </c>
      <c r="B91" s="181">
        <f>'Données projet'!D94</f>
        <v>601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Mélèze d'Europe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6320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9" t="s">
        <v>132</v>
      </c>
      <c r="C111" s="198" t="s">
        <v>132</v>
      </c>
      <c r="D111" s="197" t="s">
        <v>132</v>
      </c>
      <c r="E111" s="193">
        <v>300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v>300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9" t="s">
        <v>132</v>
      </c>
      <c r="C114" s="198" t="s">
        <v>132</v>
      </c>
      <c r="D114" s="197" t="s">
        <v>132</v>
      </c>
      <c r="E114" s="193">
        <v>600</v>
      </c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9" t="s">
        <v>132</v>
      </c>
      <c r="C115" s="198" t="s">
        <v>132</v>
      </c>
      <c r="D115" s="197" t="s">
        <v>132</v>
      </c>
      <c r="E115" s="193">
        <v>600</v>
      </c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10</v>
      </c>
      <c r="B116" s="181">
        <f>'Données projet'!D114</f>
        <v>27</v>
      </c>
      <c r="C116" s="191"/>
      <c r="D116" s="179">
        <f>B116*C116</f>
        <v>0</v>
      </c>
      <c r="E116" s="193">
        <v>600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15</v>
      </c>
      <c r="B117" s="181">
        <f>'Données projet'!D115</f>
        <v>68</v>
      </c>
      <c r="C117" s="191"/>
      <c r="D117" s="179">
        <f t="shared" ref="D117:D135" si="8">B117*C117</f>
        <v>0</v>
      </c>
      <c r="E117" s="193">
        <v>2000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20</v>
      </c>
      <c r="B118" s="181">
        <f>'Données projet'!D116</f>
        <v>98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25</v>
      </c>
      <c r="B119" s="181">
        <f>'Données projet'!D117</f>
        <v>138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30</v>
      </c>
      <c r="B120" s="181">
        <f>'Données projet'!D118</f>
        <v>179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35</v>
      </c>
      <c r="B121" s="181">
        <f>'Données projet'!D119</f>
        <v>215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40</v>
      </c>
      <c r="B122" s="181">
        <f>'Données projet'!D120</f>
        <v>248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45</v>
      </c>
      <c r="B123" s="181">
        <f>'Données projet'!D121</f>
        <v>314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>Erable plane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6320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9" t="s">
        <v>132</v>
      </c>
      <c r="C142" s="198" t="s">
        <v>132</v>
      </c>
      <c r="D142" s="197" t="s">
        <v>132</v>
      </c>
      <c r="E142" s="193">
        <v>300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9" t="s">
        <v>132</v>
      </c>
      <c r="C143" s="198" t="s">
        <v>132</v>
      </c>
      <c r="D143" s="197" t="s">
        <v>132</v>
      </c>
      <c r="E143" s="193">
        <v>300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9" t="s">
        <v>132</v>
      </c>
      <c r="C145" s="198" t="s">
        <v>132</v>
      </c>
      <c r="D145" s="197" t="s">
        <v>132</v>
      </c>
      <c r="E145" s="193">
        <v>600</v>
      </c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9" t="s">
        <v>132</v>
      </c>
      <c r="C146" s="198" t="s">
        <v>132</v>
      </c>
      <c r="D146" s="197" t="s">
        <v>132</v>
      </c>
      <c r="E146" s="193">
        <v>600</v>
      </c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10</v>
      </c>
      <c r="B147" s="175">
        <f>'Données projet'!D140</f>
        <v>12</v>
      </c>
      <c r="C147" s="191"/>
      <c r="D147" s="182">
        <f>B147*C147</f>
        <v>0</v>
      </c>
      <c r="E147" s="193">
        <v>600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15</v>
      </c>
      <c r="B148" s="175">
        <f>'Données projet'!D141</f>
        <v>43</v>
      </c>
      <c r="C148" s="191"/>
      <c r="D148" s="182">
        <f t="shared" ref="D148:D166" si="10">B148*C148</f>
        <v>0</v>
      </c>
      <c r="E148" s="193">
        <v>2000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20</v>
      </c>
      <c r="B149" s="175">
        <f>'Données projet'!D142</f>
        <v>81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25</v>
      </c>
      <c r="B150" s="175">
        <f>'Données projet'!D143</f>
        <v>123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30</v>
      </c>
      <c r="B151" s="175">
        <f>'Données projet'!D144</f>
        <v>163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35</v>
      </c>
      <c r="B152" s="175">
        <f>'Données projet'!D145</f>
        <v>197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40</v>
      </c>
      <c r="B153" s="175">
        <f>'Données projet'!D146</f>
        <v>223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45</v>
      </c>
      <c r="B154" s="175">
        <f>'Données projet'!D147</f>
        <v>254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50</v>
      </c>
      <c r="B155" s="175">
        <f>'Données projet'!D148</f>
        <v>282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55</v>
      </c>
      <c r="B156" s="175">
        <f>'Données projet'!D149</f>
        <v>306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60</v>
      </c>
      <c r="B157" s="175">
        <f>'Données projet'!D150</f>
        <v>326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65</v>
      </c>
      <c r="B158" s="175">
        <f>'Données projet'!D151</f>
        <v>340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70</v>
      </c>
      <c r="B159" s="175">
        <f>'Données projet'!D152</f>
        <v>366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>Châtaignier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6320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9" t="s">
        <v>132</v>
      </c>
      <c r="C173" s="198" t="s">
        <v>132</v>
      </c>
      <c r="D173" s="197" t="s">
        <v>132</v>
      </c>
      <c r="E173" s="193">
        <v>300</v>
      </c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9" t="s">
        <v>132</v>
      </c>
      <c r="C174" s="198" t="s">
        <v>132</v>
      </c>
      <c r="D174" s="197" t="s">
        <v>132</v>
      </c>
      <c r="E174" s="193">
        <v>300</v>
      </c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9" t="s">
        <v>132</v>
      </c>
      <c r="C176" s="198" t="s">
        <v>132</v>
      </c>
      <c r="D176" s="197" t="s">
        <v>132</v>
      </c>
      <c r="E176" s="193">
        <v>600</v>
      </c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9" t="s">
        <v>132</v>
      </c>
      <c r="C177" s="198" t="s">
        <v>132</v>
      </c>
      <c r="D177" s="197" t="s">
        <v>132</v>
      </c>
      <c r="E177" s="193">
        <v>600</v>
      </c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10</v>
      </c>
      <c r="B178" s="181">
        <f>'Données projet'!D166</f>
        <v>115</v>
      </c>
      <c r="C178" s="193"/>
      <c r="D178" s="179">
        <f>B178*C178</f>
        <v>0</v>
      </c>
      <c r="E178" s="193">
        <v>600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15</v>
      </c>
      <c r="B179" s="181">
        <f>'Données projet'!D167</f>
        <v>184</v>
      </c>
      <c r="C179" s="193"/>
      <c r="D179" s="179">
        <f t="shared" ref="D179:D197" si="11">B179*C179</f>
        <v>0</v>
      </c>
      <c r="E179" s="193">
        <v>2000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18</v>
      </c>
      <c r="B180" s="181">
        <f>'Données projet'!D168</f>
        <v>131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22</v>
      </c>
      <c r="B181" s="181">
        <f>'Données projet'!D169</f>
        <v>97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27</v>
      </c>
      <c r="B182" s="181">
        <f>'Données projet'!D170</f>
        <v>92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35</v>
      </c>
      <c r="B183" s="181">
        <f>'Données projet'!D171</f>
        <v>136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40</v>
      </c>
      <c r="B184" s="181">
        <f>'Données projet'!D172</f>
        <v>170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45</v>
      </c>
      <c r="B185" s="181">
        <f>'Données projet'!D173</f>
        <v>210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50</v>
      </c>
      <c r="B186" s="181">
        <f>'Données projet'!D174</f>
        <v>255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>Hêtre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6320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9" t="s">
        <v>132</v>
      </c>
      <c r="C204" s="198" t="s">
        <v>132</v>
      </c>
      <c r="D204" s="197" t="s">
        <v>132</v>
      </c>
      <c r="E204" s="193">
        <v>300</v>
      </c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9" t="s">
        <v>132</v>
      </c>
      <c r="C205" s="198" t="s">
        <v>132</v>
      </c>
      <c r="D205" s="197" t="s">
        <v>132</v>
      </c>
      <c r="E205" s="193">
        <v>300</v>
      </c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9" t="s">
        <v>132</v>
      </c>
      <c r="C207" s="198" t="s">
        <v>132</v>
      </c>
      <c r="D207" s="197" t="s">
        <v>132</v>
      </c>
      <c r="E207" s="193">
        <v>600</v>
      </c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9" t="s">
        <v>132</v>
      </c>
      <c r="C208" s="198" t="s">
        <v>132</v>
      </c>
      <c r="D208" s="197" t="s">
        <v>132</v>
      </c>
      <c r="E208" s="193">
        <v>600</v>
      </c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20</v>
      </c>
      <c r="B209" s="181">
        <f>'Données projet'!D192</f>
        <v>56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25</v>
      </c>
      <c r="B210" s="181">
        <f>'Données projet'!D193</f>
        <v>59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30</v>
      </c>
      <c r="B211" s="181">
        <f>'Données projet'!D194</f>
        <v>76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35</v>
      </c>
      <c r="B212" s="181">
        <f>'Données projet'!D195</f>
        <v>105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40</v>
      </c>
      <c r="B213" s="181">
        <f>'Données projet'!D196</f>
        <v>137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45</v>
      </c>
      <c r="B214" s="181">
        <f>'Données projet'!D197</f>
        <v>171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50</v>
      </c>
      <c r="B215" s="181">
        <f>'Données projet'!D198</f>
        <v>204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55</v>
      </c>
      <c r="B216" s="181">
        <f>'Données projet'!D199</f>
        <v>236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60</v>
      </c>
      <c r="B217" s="181">
        <f>'Données projet'!D200</f>
        <v>266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65</v>
      </c>
      <c r="B218" s="181">
        <f>'Données projet'!D201</f>
        <v>293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70</v>
      </c>
      <c r="B219" s="181">
        <f>'Données projet'!D202</f>
        <v>317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75</v>
      </c>
      <c r="B220" s="181">
        <f>'Données projet'!D203</f>
        <v>337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80</v>
      </c>
      <c r="B221" s="181">
        <f>'Données projet'!D204</f>
        <v>356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85</v>
      </c>
      <c r="B222" s="181">
        <f>'Données projet'!D205</f>
        <v>372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90</v>
      </c>
      <c r="B223" s="181">
        <f>'Données projet'!D206</f>
        <v>389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95</v>
      </c>
      <c r="B224" s="181">
        <f>'Données projet'!D207</f>
        <v>403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100</v>
      </c>
      <c r="B225" s="181">
        <f>'Données projet'!D208</f>
        <v>445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>Charme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6320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9" t="s">
        <v>132</v>
      </c>
      <c r="C235" s="198" t="s">
        <v>132</v>
      </c>
      <c r="D235" s="197" t="s">
        <v>132</v>
      </c>
      <c r="E235" s="193">
        <v>300</v>
      </c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9" t="s">
        <v>132</v>
      </c>
      <c r="C236" s="198" t="s">
        <v>132</v>
      </c>
      <c r="D236" s="197" t="s">
        <v>132</v>
      </c>
      <c r="E236" s="193">
        <v>300</v>
      </c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9" t="s">
        <v>132</v>
      </c>
      <c r="C238" s="198" t="s">
        <v>132</v>
      </c>
      <c r="D238" s="197" t="s">
        <v>132</v>
      </c>
      <c r="E238" s="193">
        <v>600</v>
      </c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9" t="s">
        <v>132</v>
      </c>
      <c r="C239" s="198" t="s">
        <v>132</v>
      </c>
      <c r="D239" s="197" t="s">
        <v>132</v>
      </c>
      <c r="E239" s="193">
        <v>600</v>
      </c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20</v>
      </c>
      <c r="B240" s="181">
        <f>'Données projet'!D218</f>
        <v>56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25</v>
      </c>
      <c r="B241" s="181">
        <f>'Données projet'!D219</f>
        <v>85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30</v>
      </c>
      <c r="B242" s="181">
        <f>'Données projet'!D220</f>
        <v>111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35</v>
      </c>
      <c r="B243" s="181">
        <f>'Données projet'!D221</f>
        <v>140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40</v>
      </c>
      <c r="B244" s="181">
        <f>'Données projet'!D222</f>
        <v>172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45</v>
      </c>
      <c r="B245" s="181">
        <f>'Données projet'!D223</f>
        <v>206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50</v>
      </c>
      <c r="B246" s="181">
        <f>'Données projet'!D224</f>
        <v>239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55</v>
      </c>
      <c r="B247" s="181">
        <f>'Données projet'!D225</f>
        <v>271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60</v>
      </c>
      <c r="B248" s="181">
        <f>'Données projet'!D226</f>
        <v>301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65</v>
      </c>
      <c r="B249" s="181">
        <f>'Données projet'!D227</f>
        <v>328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70</v>
      </c>
      <c r="B250" s="181">
        <f>'Données projet'!D228</f>
        <v>387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>Aulne glutineux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v>6320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9" t="s">
        <v>132</v>
      </c>
      <c r="C266" s="198" t="s">
        <v>132</v>
      </c>
      <c r="D266" s="197" t="s">
        <v>132</v>
      </c>
      <c r="E266" s="193">
        <v>300</v>
      </c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9" t="s">
        <v>132</v>
      </c>
      <c r="C267" s="198" t="s">
        <v>132</v>
      </c>
      <c r="D267" s="197" t="s">
        <v>132</v>
      </c>
      <c r="E267" s="193">
        <v>300</v>
      </c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9" t="s">
        <v>132</v>
      </c>
      <c r="C269" s="198" t="s">
        <v>132</v>
      </c>
      <c r="D269" s="197" t="s">
        <v>132</v>
      </c>
      <c r="E269" s="193">
        <v>600</v>
      </c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9" t="s">
        <v>132</v>
      </c>
      <c r="C270" s="198" t="s">
        <v>132</v>
      </c>
      <c r="D270" s="197" t="s">
        <v>132</v>
      </c>
      <c r="E270" s="193">
        <v>600</v>
      </c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15</v>
      </c>
      <c r="B271" s="181">
        <f>'Données projet'!D244</f>
        <v>19</v>
      </c>
      <c r="C271" s="193"/>
      <c r="D271" s="179">
        <f>B271*C271</f>
        <v>0</v>
      </c>
      <c r="E271" s="193">
        <v>2000</v>
      </c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20</v>
      </c>
      <c r="B272" s="181">
        <f>'Données projet'!D245</f>
        <v>47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25</v>
      </c>
      <c r="B273" s="181">
        <f>'Données projet'!D246</f>
        <v>63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30</v>
      </c>
      <c r="B274" s="181">
        <f>'Données projet'!D247</f>
        <v>76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35</v>
      </c>
      <c r="B275" s="181">
        <f>'Données projet'!D248</f>
        <v>86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40</v>
      </c>
      <c r="B276" s="181">
        <f>'Données projet'!D249</f>
        <v>95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45</v>
      </c>
      <c r="B277" s="181">
        <f>'Données projet'!D250</f>
        <v>103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50</v>
      </c>
      <c r="B278" s="181">
        <f>'Données projet'!D251</f>
        <v>109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55</v>
      </c>
      <c r="B279" s="181">
        <f>'Données projet'!D252</f>
        <v>114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60</v>
      </c>
      <c r="B280" s="181">
        <f>'Données projet'!D253</f>
        <v>119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65</v>
      </c>
      <c r="B281" s="181">
        <f>'Données projet'!D254</f>
        <v>123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70</v>
      </c>
      <c r="B282" s="181">
        <f>'Données projet'!D255</f>
        <v>139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>Tilleul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9" t="s">
        <v>132</v>
      </c>
      <c r="C296" s="198" t="s">
        <v>132</v>
      </c>
      <c r="D296" s="197" t="s">
        <v>132</v>
      </c>
      <c r="E296" s="193">
        <v>6320</v>
      </c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9" t="s">
        <v>132</v>
      </c>
      <c r="C297" s="198" t="s">
        <v>132</v>
      </c>
      <c r="D297" s="197" t="s">
        <v>132</v>
      </c>
      <c r="E297" s="193">
        <v>300</v>
      </c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9" t="s">
        <v>132</v>
      </c>
      <c r="C298" s="198" t="s">
        <v>132</v>
      </c>
      <c r="D298" s="197" t="s">
        <v>132</v>
      </c>
      <c r="E298" s="193">
        <v>300</v>
      </c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9" t="s">
        <v>132</v>
      </c>
      <c r="C300" s="198" t="s">
        <v>132</v>
      </c>
      <c r="D300" s="197" t="s">
        <v>132</v>
      </c>
      <c r="E300" s="193">
        <v>600</v>
      </c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9" t="s">
        <v>132</v>
      </c>
      <c r="C301" s="198" t="s">
        <v>132</v>
      </c>
      <c r="D301" s="197" t="s">
        <v>132</v>
      </c>
      <c r="E301" s="193">
        <v>600</v>
      </c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50</v>
      </c>
      <c r="B302" s="181">
        <f>'Données projet'!D270</f>
        <v>415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60</v>
      </c>
      <c r="B303" s="181">
        <f>'Données projet'!D271</f>
        <v>459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70</v>
      </c>
      <c r="B304" s="181">
        <f>'Données projet'!D272</f>
        <v>496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80</v>
      </c>
      <c r="B305" s="181">
        <f>'Données projet'!D273</f>
        <v>527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90</v>
      </c>
      <c r="B306" s="181">
        <f>'Données projet'!D274</f>
        <v>553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100</v>
      </c>
      <c r="B307" s="181">
        <f>'Données projet'!D275</f>
        <v>619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Anatole Lefébure</cp:lastModifiedBy>
  <dcterms:created xsi:type="dcterms:W3CDTF">2021-02-01T08:22:39Z</dcterms:created>
  <dcterms:modified xsi:type="dcterms:W3CDTF">2025-02-18T14:31:48Z</dcterms:modified>
</cp:coreProperties>
</file>