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4 - STOCKEURS/02-FORET-VERGERS/2-NOTIFIE/176-R-DELAMOTTE-CVL(37)-BUTTE ROUGE-duPuy-Gizeux-5,74ha/"/>
    </mc:Choice>
  </mc:AlternateContent>
  <xr:revisionPtr revIDLastSave="0" documentId="13_ncr:1_{0B4FF036-C174-0845-AD65-CD207A87B110}" xr6:coauthVersionLast="47" xr6:coauthVersionMax="47" xr10:uidLastSave="{00000000-0000-0000-0000-000000000000}"/>
  <bookViews>
    <workbookView xWindow="13000" yWindow="-28300" windowWidth="27420" windowHeight="283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Q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HG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V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V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FS38" i="2"/>
  <c r="EA38" i="2"/>
  <c r="HH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G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FS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I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DH156" i="2"/>
  <c r="AB156" i="2"/>
  <c r="E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W158" i="2"/>
  <c r="EC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HH161" i="2"/>
  <c r="FS161" i="2"/>
  <c r="EA161" i="2"/>
  <c r="HG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X167" i="2"/>
  <c r="HI167" i="2"/>
  <c r="DG167" i="2"/>
  <c r="EB167" i="2"/>
  <c r="FR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W185" i="2"/>
  <c r="EV185" i="2"/>
  <c r="HI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HI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AA197" i="2"/>
  <c r="EW197" i="2"/>
  <c r="EA197" i="2"/>
  <c r="HH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2" i="2" l="1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<sst xmlns="http://schemas.openxmlformats.org/spreadsheetml/2006/main" count="1170" uniqueCount="324">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</sst>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2.0360484678650539</c:v>
                </c:pt>
                <c:pt idx="2">
                  <c:v>2.6732564892559605</c:v>
                </c:pt>
                <c:pt idx="3">
                  <c:v>3.5107063373439913</c:v>
                </c:pt>
                <c:pt idx="4">
                  <c:v>4.6115665173429541</c:v>
                </c:pt>
                <c:pt idx="5">
                  <c:v>6.0590043820974993</c:v>
                </c:pt>
                <c:pt idx="6">
                  <c:v>7.962538733207654</c:v>
                </c:pt>
                <c:pt idx="7">
                  <c:v>10.466416484886262</c:v>
                </c:pt>
                <c:pt idx="8">
                  <c:v>13.760660097642491</c:v>
                </c:pt>
                <c:pt idx="9">
                  <c:v>18.095639642152722</c:v>
                </c:pt>
                <c:pt idx="10">
                  <c:v>23.80129701446997</c:v>
                </c:pt>
                <c:pt idx="11">
                  <c:v>31.312511388641202</c:v>
                </c:pt>
                <c:pt idx="12">
                  <c:v>41.202572754834129</c:v>
                </c:pt>
                <c:pt idx="13">
                  <c:v>54.227361766041078</c:v>
                </c:pt>
                <c:pt idx="14">
                  <c:v>71.383668589285392</c:v>
                </c:pt>
                <c:pt idx="15">
                  <c:v>93.986186481305097</c:v>
                </c:pt>
                <c:pt idx="16">
                  <c:v>123.76917396624582</c:v>
                </c:pt>
                <c:pt idx="17">
                  <c:v>163.02070732605469</c:v>
                </c:pt>
                <c:pt idx="18">
                  <c:v>132.98183441071282</c:v>
                </c:pt>
                <c:pt idx="19">
                  <c:v>156.02067025769352</c:v>
                </c:pt>
                <c:pt idx="20">
                  <c:v>178.97858984538223</c:v>
                </c:pt>
                <c:pt idx="21">
                  <c:v>201.8674445177727</c:v>
                </c:pt>
                <c:pt idx="22">
                  <c:v>224.6961704893466</c:v>
                </c:pt>
                <c:pt idx="23">
                  <c:v>247.47173636577645</c:v>
                </c:pt>
                <c:pt idx="24">
                  <c:v>197.8580544671477</c:v>
                </c:pt>
                <c:pt idx="25">
                  <c:v>222.74503213678972</c:v>
                </c:pt>
                <c:pt idx="26">
                  <c:v>246.29146195068498</c:v>
                </c:pt>
                <c:pt idx="27">
                  <c:v>269.7867654657652</c:v>
                </c:pt>
                <c:pt idx="28">
                  <c:v>293.23601965253823</c:v>
                </c:pt>
                <c:pt idx="29">
                  <c:v>316.64342288321137</c:v>
                </c:pt>
                <c:pt idx="30">
                  <c:v>269.1846368228488</c:v>
                </c:pt>
                <c:pt idx="31">
                  <c:v>291.76806273215965</c:v>
                </c:pt>
                <c:pt idx="32">
                  <c:v>314.31245737703142</c:v>
                </c:pt>
                <c:pt idx="33">
                  <c:v>336.82101245116922</c:v>
                </c:pt>
                <c:pt idx="34">
                  <c:v>359.29645830338882</c:v>
                </c:pt>
                <c:pt idx="35">
                  <c:v>382.32591187841672</c:v>
                </c:pt>
                <c:pt idx="36">
                  <c:v>405.32521445817457</c:v>
                </c:pt>
                <c:pt idx="37">
                  <c:v>329.42287704924235</c:v>
                </c:pt>
                <c:pt idx="38">
                  <c:v>350.5538473030108</c:v>
                </c:pt>
                <c:pt idx="39">
                  <c:v>371.65689195586742</c:v>
                </c:pt>
                <c:pt idx="40">
                  <c:v>392.73381871819834</c:v>
                </c:pt>
                <c:pt idx="41">
                  <c:v>413.78622552289403</c:v>
                </c:pt>
                <c:pt idx="42">
                  <c:v>434.81553452271447</c:v>
                </c:pt>
                <c:pt idx="43">
                  <c:v>455.8230191670329</c:v>
                </c:pt>
                <c:pt idx="44">
                  <c:v>476.72831676952774</c:v>
                </c:pt>
                <c:pt idx="45">
                  <c:v>396.35779730493226</c:v>
                </c:pt>
                <c:pt idx="46">
                  <c:v>414.98937924648521</c:v>
                </c:pt>
                <c:pt idx="47">
                  <c:v>433.6029274137598</c:v>
                </c:pt>
                <c:pt idx="48">
                  <c:v>452.19932449243839</c:v>
                </c:pt>
                <c:pt idx="49">
                  <c:v>470.77937468285745</c:v>
                </c:pt>
                <c:pt idx="50">
                  <c:v>489.34381356425803</c:v>
                </c:pt>
                <c:pt idx="51">
                  <c:v>507.89331638456366</c:v>
                </c:pt>
                <c:pt idx="52">
                  <c:v>526.42850507644698</c:v>
                </c:pt>
                <c:pt idx="53">
                  <c:v>447.55932636655098</c:v>
                </c:pt>
                <c:pt idx="54">
                  <c:v>464.23574904580914</c:v>
                </c:pt>
                <c:pt idx="55">
                  <c:v>480.89940004934442</c:v>
                </c:pt>
                <c:pt idx="56">
                  <c:v>497.55078403848285</c:v>
                </c:pt>
                <c:pt idx="57">
                  <c:v>514.19036915679942</c:v>
                </c:pt>
                <c:pt idx="58">
                  <c:v>530.81859079314563</c:v>
                </c:pt>
                <c:pt idx="59">
                  <c:v>547.43585484879611</c:v>
                </c:pt>
                <c:pt idx="60">
                  <c:v>564.04254058742856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D28" sqref="D28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5.74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36</v>
      </c>
      <c r="C9" s="35">
        <v>1</v>
      </c>
      <c r="D9" s="36">
        <f t="shared" ref="D9:D18" si="0">C9*$C$5</f>
        <v>5.74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5.74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Pin maritime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17</v>
      </c>
      <c r="B36" s="63">
        <v>122.32</v>
      </c>
      <c r="C36" s="63">
        <v>1</v>
      </c>
      <c r="D36" s="63">
        <v>40.76</v>
      </c>
      <c r="E36" s="54">
        <v>0.2</v>
      </c>
      <c r="F36" s="54">
        <v>0.45</v>
      </c>
      <c r="G36" s="54">
        <v>0.35</v>
      </c>
      <c r="H36" s="54"/>
      <c r="I36" s="52">
        <f>IFERROR(B36/A36,"")</f>
        <v>7.1952941176470588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23</v>
      </c>
      <c r="B37" s="63">
        <v>187.68</v>
      </c>
      <c r="C37" s="63">
        <v>2</v>
      </c>
      <c r="D37" s="63">
        <v>57.75</v>
      </c>
      <c r="E37" s="54">
        <v>0.3</v>
      </c>
      <c r="F37" s="54">
        <v>0.39</v>
      </c>
      <c r="G37" s="54">
        <v>0.31</v>
      </c>
      <c r="H37" s="54"/>
      <c r="I37" s="56">
        <f t="shared" ref="I37:I55" si="1">IF(A37&lt;&gt;0,(B37-(B36-D36))/(A37-A36),"")</f>
        <v>17.686666666666667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25</v>
      </c>
      <c r="B38" s="63">
        <v>168.48</v>
      </c>
      <c r="C38" s="63"/>
      <c r="D38" s="63"/>
      <c r="E38" s="54"/>
      <c r="F38" s="54"/>
      <c r="G38" s="54"/>
      <c r="H38" s="54"/>
      <c r="I38" s="56">
        <f t="shared" si="1"/>
        <v>19.274999999999991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29</v>
      </c>
      <c r="B39" s="63">
        <v>241.61</v>
      </c>
      <c r="C39" s="63">
        <v>3</v>
      </c>
      <c r="D39" s="63">
        <v>54.64</v>
      </c>
      <c r="E39" s="54">
        <v>0.4</v>
      </c>
      <c r="F39" s="54">
        <v>0.34</v>
      </c>
      <c r="G39" s="54">
        <v>0.26</v>
      </c>
      <c r="H39" s="54"/>
      <c r="I39" s="52">
        <f t="shared" si="1"/>
        <v>18.282500000000006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34</v>
      </c>
      <c r="B40" s="63">
        <v>275</v>
      </c>
      <c r="C40" s="63"/>
      <c r="D40" s="63"/>
      <c r="E40" s="54"/>
      <c r="F40" s="54"/>
      <c r="G40" s="54"/>
      <c r="H40" s="54"/>
      <c r="I40" s="52">
        <f t="shared" si="1"/>
        <v>17.605999999999995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36</v>
      </c>
      <c r="B41" s="63">
        <v>311.13</v>
      </c>
      <c r="C41" s="63">
        <v>4</v>
      </c>
      <c r="D41" s="63">
        <v>76.069999999999993</v>
      </c>
      <c r="E41" s="54">
        <v>0.5</v>
      </c>
      <c r="F41" s="54">
        <v>0.28000000000000003</v>
      </c>
      <c r="G41" s="54">
        <v>0.22</v>
      </c>
      <c r="H41" s="54"/>
      <c r="I41" s="56">
        <f t="shared" si="1"/>
        <v>18.064999999999998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43</v>
      </c>
      <c r="B42" s="63">
        <v>350.87</v>
      </c>
      <c r="C42" s="63"/>
      <c r="D42" s="63"/>
      <c r="E42" s="54"/>
      <c r="F42" s="54"/>
      <c r="G42" s="54"/>
      <c r="H42" s="54"/>
      <c r="I42" s="56">
        <f t="shared" si="1"/>
        <v>16.544285714285714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>
        <v>44</v>
      </c>
      <c r="B43" s="63">
        <v>367.35</v>
      </c>
      <c r="C43" s="63">
        <v>5</v>
      </c>
      <c r="D43" s="63">
        <v>77.91</v>
      </c>
      <c r="E43" s="54">
        <v>0.6</v>
      </c>
      <c r="F43" s="54">
        <v>0.22</v>
      </c>
      <c r="G43" s="54">
        <v>0.18</v>
      </c>
      <c r="H43" s="54"/>
      <c r="I43" s="52">
        <f t="shared" si="1"/>
        <v>16.480000000000018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>
        <v>52</v>
      </c>
      <c r="B44" s="63">
        <v>406.59</v>
      </c>
      <c r="C44" s="63">
        <v>6</v>
      </c>
      <c r="D44" s="63">
        <v>75.37</v>
      </c>
      <c r="E44" s="54">
        <v>0.7</v>
      </c>
      <c r="F44" s="54">
        <v>0.17</v>
      </c>
      <c r="G44" s="54">
        <v>0.13</v>
      </c>
      <c r="H44" s="54"/>
      <c r="I44" s="52">
        <f t="shared" si="1"/>
        <v>14.64374999999999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>
        <v>60</v>
      </c>
      <c r="B45" s="63">
        <v>436.34</v>
      </c>
      <c r="C45" s="63">
        <v>7</v>
      </c>
      <c r="D45" s="63">
        <v>436.34</v>
      </c>
      <c r="E45" s="54">
        <v>0.8</v>
      </c>
      <c r="F45" s="54">
        <v>0.11</v>
      </c>
      <c r="G45" s="54">
        <v>0.09</v>
      </c>
      <c r="H45" s="54"/>
      <c r="I45" s="52">
        <f t="shared" si="1"/>
        <v>13.14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/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/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2" sqref="G22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Pin maritime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/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/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232.18344481135546</v>
      </c>
      <c r="T3" s="62">
        <f>IF('Données projet'!E9&gt;30,$R$33-$H$33,LOOKUP('Données projet'!$E$9,$A$3:$A$203,R3:R203)-LOOKUP('Données projet'!$E$9,$A$3:$A$203,$H$3:$H$203))</f>
        <v>227.64962876101072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7.1952941176470588</v>
      </c>
      <c r="N4" s="14">
        <f>IF('Données projet'!$A$36&gt;35,N3+M4-V3,IF(A4&lt;'Données projet'!$A$36,$K$205^A4,IF(A4='Données projet'!$A$36,'Données projet'!$B$36,N3+M4-V3)))</f>
        <v>1.3267648858502221</v>
      </c>
      <c r="O4" s="14">
        <f>N4*VLOOKUP('Données projet'!$B$9,Paramètres!$A$1:$I$89,3,0)*VLOOKUP('Données projet'!$B$9,Paramètres!$A$1:$I$89,5,0)</f>
        <v>0.79340540173843288</v>
      </c>
      <c r="P4" s="14">
        <f>EXP(-1.0587+0.8836*LN(O4)+0.284)</f>
        <v>0.37561764201183739</v>
      </c>
      <c r="Q4" s="22">
        <f t="shared" ref="Q4:Q34" si="2">(O4+P4)*0.475*44/12</f>
        <v>2.0360484678650539</v>
      </c>
      <c r="R4" s="62">
        <f t="shared" si="0"/>
        <v>295.36938180119836</v>
      </c>
      <c r="S4" s="62">
        <f ca="1">AVERAGE(OFFSET($R$3,0,0,'Données projet'!$E$9+1,1))-AVERAGE(OFFSET($H$3,0,0,'Données projet'!$E$9+1,1))</f>
        <v>232.18344481135546</v>
      </c>
      <c r="T4" s="62">
        <f>$T$3</f>
        <v>227.64962876101072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7.1952941176470588</v>
      </c>
      <c r="N5" s="14">
        <f>IF('Données projet'!$A$36&gt;35,N4+M5-V4,IF(A5&lt;'Données projet'!$A$36,$K$205^A5,IF(A5='Données projet'!$A$36,'Données projet'!$B$36,N4+M5-V4)))</f>
        <v>1.7603050623251528</v>
      </c>
      <c r="O5" s="14">
        <f>N5*VLOOKUP('Données projet'!$B$9,Paramètres!$A$1:$I$89,3,0)*VLOOKUP('Données projet'!$B$9,Paramètres!$A$1:$I$89,5,0)</f>
        <v>1.0526624272704415</v>
      </c>
      <c r="P5" s="14">
        <f t="shared" ref="P5:P68" si="33">EXP(-1.0587+0.8836*LN(O5)+0.284)</f>
        <v>0.48222168139326793</v>
      </c>
      <c r="Q5" s="22">
        <f t="shared" si="2"/>
        <v>2.6732564892559605</v>
      </c>
      <c r="R5" s="62">
        <f t="shared" si="0"/>
        <v>296.00658982258926</v>
      </c>
      <c r="S5" s="62">
        <f ca="1">AVERAGE(OFFSET($R$3,0,0,'Données projet'!$E$9+1,1))-AVERAGE(OFFSET($H$3,0,0,'Données projet'!$E$9+1,1))</f>
        <v>232.18344481135546</v>
      </c>
      <c r="T5" s="62">
        <f t="shared" ref="T5:T68" si="34">$T$3</f>
        <v>227.64962876101072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7.1952941176470588</v>
      </c>
      <c r="N6" s="14">
        <f>IF('Données projet'!$A$36&gt;35,N5+M6-V5,IF(A6&lt;'Données projet'!$A$36,$K$205^A6,IF(A6='Données projet'!$A$36,'Données projet'!$B$36,N5+M6-V5)))</f>
        <v>2.3355109450773996</v>
      </c>
      <c r="O6" s="14">
        <f>N6*VLOOKUP('Données projet'!$B$9,Paramètres!$A$1:$I$89,3,0)*VLOOKUP('Données projet'!$B$9,Paramètres!$A$1:$I$89,5,0)</f>
        <v>1.3966355451562853</v>
      </c>
      <c r="P6" s="14">
        <f t="shared" si="33"/>
        <v>0.61908101217040834</v>
      </c>
      <c r="Q6" s="22">
        <f t="shared" si="2"/>
        <v>3.5107063373439913</v>
      </c>
      <c r="R6" s="62">
        <f t="shared" si="0"/>
        <v>296.84403967067732</v>
      </c>
      <c r="S6" s="62">
        <f ca="1">AVERAGE(OFFSET($R$3,0,0,'Données projet'!$E$9+1,1))-AVERAGE(OFFSET($H$3,0,0,'Données projet'!$E$9+1,1))</f>
        <v>232.18344481135546</v>
      </c>
      <c r="T6" s="62">
        <f t="shared" si="34"/>
        <v>227.64962876101072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7.1952941176470588</v>
      </c>
      <c r="N7" s="14">
        <f>IF('Données projet'!$A$36&gt;35,N6+M7-V6,IF(A7&lt;'Données projet'!$A$36,$K$205^A7,IF(A7='Données projet'!$A$36,'Données projet'!$B$36,N6+M7-V6)))</f>
        <v>3.09867391244756</v>
      </c>
      <c r="O7" s="14">
        <f>N7*VLOOKUP('Données projet'!$B$9,Paramètres!$A$1:$I$89,3,0)*VLOOKUP('Données projet'!$B$9,Paramètres!$A$1:$I$89,5,0)</f>
        <v>1.8530069996436409</v>
      </c>
      <c r="P7" s="14">
        <f t="shared" si="33"/>
        <v>0.79478238830446668</v>
      </c>
      <c r="Q7" s="22">
        <f t="shared" si="2"/>
        <v>4.6115665173429541</v>
      </c>
      <c r="R7" s="62">
        <f t="shared" si="0"/>
        <v>297.94489985067628</v>
      </c>
      <c r="S7" s="62">
        <f ca="1">AVERAGE(OFFSET($R$3,0,0,'Données projet'!$E$9+1,1))-AVERAGE(OFFSET($H$3,0,0,'Données projet'!$E$9+1,1))</f>
        <v>232.18344481135546</v>
      </c>
      <c r="T7" s="62">
        <f t="shared" si="34"/>
        <v>227.64962876101072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7.1952941176470588</v>
      </c>
      <c r="N8" s="14">
        <f>IF('Données projet'!$A$36&gt;35,N7+M8-V7,IF(A8&lt;'Données projet'!$A$36,$K$205^A8,IF(A8='Données projet'!$A$36,'Données projet'!$B$36,N7+M8-V7)))</f>
        <v>4.1112117397355483</v>
      </c>
      <c r="O8" s="14">
        <f>N8*VLOOKUP('Données projet'!$B$9,Paramètres!$A$1:$I$89,3,0)*VLOOKUP('Données projet'!$B$9,Paramètres!$A$1:$I$89,5,0)</f>
        <v>2.4585046203618579</v>
      </c>
      <c r="P8" s="14">
        <f t="shared" si="33"/>
        <v>1.0203495703161323</v>
      </c>
      <c r="Q8" s="22">
        <f t="shared" si="2"/>
        <v>6.0590043820974993</v>
      </c>
      <c r="R8" s="62">
        <f t="shared" si="0"/>
        <v>299.39233771543081</v>
      </c>
      <c r="S8" s="62">
        <f ca="1">AVERAGE(OFFSET($R$3,0,0,'Données projet'!$E$9+1,1))-AVERAGE(OFFSET($H$3,0,0,'Données projet'!$E$9+1,1))</f>
        <v>232.18344481135546</v>
      </c>
      <c r="T8" s="62">
        <f t="shared" si="34"/>
        <v>227.64962876101072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7.1952941176470588</v>
      </c>
      <c r="N9" s="14">
        <f>IF('Données projet'!$A$36&gt;35,N8+M9-V8,IF(A9&lt;'Données projet'!$A$36,$K$205^A9,IF(A9='Données projet'!$A$36,'Données projet'!$B$36,N8+M9-V8)))</f>
        <v>5.4546113745763272</v>
      </c>
      <c r="O9" s="14">
        <f>N9*VLOOKUP('Données projet'!$B$9,Paramètres!$A$1:$I$89,3,0)*VLOOKUP('Données projet'!$B$9,Paramètres!$A$1:$I$89,5,0)</f>
        <v>3.2618576019966441</v>
      </c>
      <c r="P9" s="14">
        <f t="shared" si="33"/>
        <v>1.3099349720938758</v>
      </c>
      <c r="Q9" s="22">
        <f t="shared" si="2"/>
        <v>7.962538733207654</v>
      </c>
      <c r="R9" s="62">
        <f t="shared" si="0"/>
        <v>301.29587206654099</v>
      </c>
      <c r="S9" s="62">
        <f ca="1">AVERAGE(OFFSET($R$3,0,0,'Données projet'!$E$9+1,1))-AVERAGE(OFFSET($H$3,0,0,'Données projet'!$E$9+1,1))</f>
        <v>232.18344481135546</v>
      </c>
      <c r="T9" s="62">
        <f t="shared" si="34"/>
        <v>227.64962876101072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7.1952941176470588</v>
      </c>
      <c r="N10" s="14">
        <f>IF('Données projet'!$A$36&gt;35,N9+M10-V9,IF(A10&lt;'Données projet'!$A$36,$K$205^A10,IF(A10='Données projet'!$A$36,'Données projet'!$B$36,N9+M10-V9)))</f>
        <v>7.2369868377470841</v>
      </c>
      <c r="O10" s="14">
        <f>N10*VLOOKUP('Données projet'!$B$9,Paramètres!$A$1:$I$89,3,0)*VLOOKUP('Données projet'!$B$9,Paramètres!$A$1:$I$89,5,0)</f>
        <v>4.3277181289727569</v>
      </c>
      <c r="P10" s="14">
        <f t="shared" si="33"/>
        <v>1.6817076039762937</v>
      </c>
      <c r="Q10" s="22">
        <f t="shared" si="2"/>
        <v>10.466416484886262</v>
      </c>
      <c r="R10" s="62">
        <f t="shared" si="0"/>
        <v>303.7997498182196</v>
      </c>
      <c r="S10" s="62">
        <f ca="1">AVERAGE(OFFSET($R$3,0,0,'Données projet'!$E$9+1,1))-AVERAGE(OFFSET($H$3,0,0,'Données projet'!$E$9+1,1))</f>
        <v>232.18344481135546</v>
      </c>
      <c r="T10" s="62">
        <f t="shared" si="34"/>
        <v>227.64962876101072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7.1952941176470588</v>
      </c>
      <c r="N11" s="14">
        <f>IF('Données projet'!$A$36&gt;35,N10+M11-V10,IF(A11&lt;'Données projet'!$A$36,$K$205^A11,IF(A11='Données projet'!$A$36,'Données projet'!$B$36,N10+M11-V10)))</f>
        <v>9.6017800156830688</v>
      </c>
      <c r="O11" s="14">
        <f>N11*VLOOKUP('Données projet'!$B$9,Paramètres!$A$1:$I$89,3,0)*VLOOKUP('Données projet'!$B$9,Paramètres!$A$1:$I$89,5,0)</f>
        <v>5.7418644493784763</v>
      </c>
      <c r="P11" s="14">
        <f t="shared" si="33"/>
        <v>2.1589930229521412</v>
      </c>
      <c r="Q11" s="22">
        <f t="shared" si="2"/>
        <v>13.760660097642491</v>
      </c>
      <c r="R11" s="62">
        <f t="shared" si="0"/>
        <v>307.09399343097579</v>
      </c>
      <c r="S11" s="62">
        <f ca="1">AVERAGE(OFFSET($R$3,0,0,'Données projet'!$E$9+1,1))-AVERAGE(OFFSET($H$3,0,0,'Données projet'!$E$9+1,1))</f>
        <v>232.18344481135546</v>
      </c>
      <c r="T11" s="62">
        <f t="shared" si="34"/>
        <v>227.64962876101072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7.1952941176470588</v>
      </c>
      <c r="N12" s="14">
        <f>IF('Données projet'!$A$36&gt;35,N11+M12-V11,IF(A12&lt;'Données projet'!$A$36,$K$205^A12,IF(A12='Données projet'!$A$36,'Données projet'!$B$36,N11+M12-V11)))</f>
        <v>12.739304566466691</v>
      </c>
      <c r="O12" s="14">
        <f>N12*VLOOKUP('Données projet'!$B$9,Paramètres!$A$1:$I$89,3,0)*VLOOKUP('Données projet'!$B$9,Paramètres!$A$1:$I$89,5,0)</f>
        <v>7.6181041307470823</v>
      </c>
      <c r="P12" s="14">
        <f t="shared" si="33"/>
        <v>2.7717368121157255</v>
      </c>
      <c r="Q12" s="22">
        <f t="shared" si="2"/>
        <v>18.095639642152722</v>
      </c>
      <c r="R12" s="62">
        <f t="shared" si="0"/>
        <v>311.42897297548603</v>
      </c>
      <c r="S12" s="62">
        <f ca="1">AVERAGE(OFFSET($R$3,0,0,'Données projet'!$E$9+1,1))-AVERAGE(OFFSET($H$3,0,0,'Données projet'!$E$9+1,1))</f>
        <v>232.18344481135546</v>
      </c>
      <c r="T12" s="62">
        <f t="shared" si="34"/>
        <v>227.64962876101072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7.1952941176470588</v>
      </c>
      <c r="N13" s="14">
        <f>IF('Données projet'!$A$36&gt;35,N12+M13-V12,IF(A13&lt;'Données projet'!$A$36,$K$205^A13,IF(A13='Données projet'!$A$36,'Données projet'!$B$36,N12+M13-V12)))</f>
        <v>16.902061968939393</v>
      </c>
      <c r="O13" s="14">
        <f>N13*VLOOKUP('Données projet'!$B$9,Paramètres!$A$1:$I$89,3,0)*VLOOKUP('Données projet'!$B$9,Paramètres!$A$1:$I$89,5,0)</f>
        <v>10.107433057425759</v>
      </c>
      <c r="P13" s="14">
        <f t="shared" si="33"/>
        <v>3.5583834102125023</v>
      </c>
      <c r="Q13" s="22">
        <f t="shared" si="2"/>
        <v>23.80129701446997</v>
      </c>
      <c r="R13" s="62">
        <f t="shared" si="0"/>
        <v>317.1346303478033</v>
      </c>
      <c r="S13" s="62">
        <f ca="1">AVERAGE(OFFSET($R$3,0,0,'Données projet'!$E$9+1,1))-AVERAGE(OFFSET($H$3,0,0,'Données projet'!$E$9+1,1))</f>
        <v>232.18344481135546</v>
      </c>
      <c r="T13" s="62">
        <f t="shared" si="34"/>
        <v>227.64962876101072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7.1952941176470588</v>
      </c>
      <c r="N14" s="14">
        <f>IF('Données projet'!$A$36&gt;35,N13+M14-V13,IF(A14&lt;'Données projet'!$A$36,$K$205^A14,IF(A14='Données projet'!$A$36,'Données projet'!$B$36,N13+M14-V13)))</f>
        <v>22.425062318853254</v>
      </c>
      <c r="O14" s="14">
        <f>N14*VLOOKUP('Données projet'!$B$9,Paramètres!$A$1:$I$89,3,0)*VLOOKUP('Données projet'!$B$9,Paramètres!$A$1:$I$89,5,0)</f>
        <v>13.410187266674248</v>
      </c>
      <c r="P14" s="14">
        <f t="shared" si="33"/>
        <v>4.5682881717800319</v>
      </c>
      <c r="Q14" s="22">
        <f t="shared" si="2"/>
        <v>31.312511388641202</v>
      </c>
      <c r="R14" s="62">
        <f t="shared" si="0"/>
        <v>324.64584472197453</v>
      </c>
      <c r="S14" s="62">
        <f ca="1">AVERAGE(OFFSET($R$3,0,0,'Données projet'!$E$9+1,1))-AVERAGE(OFFSET($H$3,0,0,'Données projet'!$E$9+1,1))</f>
        <v>232.18344481135546</v>
      </c>
      <c r="T14" s="62">
        <f t="shared" si="34"/>
        <v>227.64962876101072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7.1952941176470588</v>
      </c>
      <c r="N15" s="14">
        <f>IF('Données projet'!$A$36&gt;35,N14+M15-V14,IF(A15&lt;'Données projet'!$A$36,$K$205^A15,IF(A15='Données projet'!$A$36,'Données projet'!$B$36,N14+M15-V14)))</f>
        <v>29.752785247657449</v>
      </c>
      <c r="O15" s="14">
        <f>N15*VLOOKUP('Données projet'!$B$9,Paramètres!$A$1:$I$89,3,0)*VLOOKUP('Données projet'!$B$9,Paramètres!$A$1:$I$89,5,0)</f>
        <v>17.792165578099155</v>
      </c>
      <c r="P15" s="14">
        <f t="shared" si="33"/>
        <v>5.8648139940544119</v>
      </c>
      <c r="Q15" s="22">
        <f t="shared" si="2"/>
        <v>41.202572754834129</v>
      </c>
      <c r="R15" s="62">
        <f t="shared" si="0"/>
        <v>334.53590608816745</v>
      </c>
      <c r="S15" s="62">
        <f ca="1">AVERAGE(OFFSET($R$3,0,0,'Données projet'!$E$9+1,1))-AVERAGE(OFFSET($H$3,0,0,'Données projet'!$E$9+1,1))</f>
        <v>232.18344481135546</v>
      </c>
      <c r="T15" s="62">
        <f t="shared" si="34"/>
        <v>227.64962876101072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7.1952941176470588</v>
      </c>
      <c r="N16" s="14">
        <f>IF('Données projet'!$A$36&gt;35,N15+M16-V15,IF(A16&lt;'Données projet'!$A$36,$K$205^A16,IF(A16='Données projet'!$A$36,'Données projet'!$B$36,N15+M16-V15)))</f>
        <v>39.474950722834407</v>
      </c>
      <c r="O16" s="14">
        <f>N16*VLOOKUP('Données projet'!$B$9,Paramètres!$A$1:$I$89,3,0)*VLOOKUP('Données projet'!$B$9,Paramètres!$A$1:$I$89,5,0)</f>
        <v>23.606020532254977</v>
      </c>
      <c r="P16" s="14">
        <f t="shared" si="33"/>
        <v>7.5293067975293804</v>
      </c>
      <c r="Q16" s="22">
        <f t="shared" si="2"/>
        <v>54.227361766041078</v>
      </c>
      <c r="R16" s="62">
        <f t="shared" si="0"/>
        <v>347.56069509937441</v>
      </c>
      <c r="S16" s="62">
        <f ca="1">AVERAGE(OFFSET($R$3,0,0,'Données projet'!$E$9+1,1))-AVERAGE(OFFSET($H$3,0,0,'Données projet'!$E$9+1,1))</f>
        <v>232.18344481135546</v>
      </c>
      <c r="T16" s="62">
        <f t="shared" si="34"/>
        <v>227.64962876101072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7.1952941176470588</v>
      </c>
      <c r="N17" s="14">
        <f>IF('Données projet'!$A$36&gt;35,N16+M17-V16,IF(A17&lt;'Données projet'!$A$36,$K$205^A17,IF(A17='Données projet'!$A$36,'Données projet'!$B$36,N16+M17-V16)))</f>
        <v>52.373978489724536</v>
      </c>
      <c r="O17" s="14">
        <f>N17*VLOOKUP('Données projet'!$B$9,Paramètres!$A$1:$I$89,3,0)*VLOOKUP('Données projet'!$B$9,Paramètres!$A$1:$I$89,5,0)</f>
        <v>31.319639136855276</v>
      </c>
      <c r="P17" s="14">
        <f t="shared" si="33"/>
        <v>9.6661992876148126</v>
      </c>
      <c r="Q17" s="22">
        <f t="shared" si="2"/>
        <v>71.383668589285392</v>
      </c>
      <c r="R17" s="62">
        <f t="shared" si="0"/>
        <v>364.71700192261869</v>
      </c>
      <c r="S17" s="62">
        <f ca="1">AVERAGE(OFFSET($R$3,0,0,'Données projet'!$E$9+1,1))-AVERAGE(OFFSET($H$3,0,0,'Données projet'!$E$9+1,1))</f>
        <v>232.18344481135546</v>
      </c>
      <c r="T17" s="62">
        <f t="shared" si="34"/>
        <v>227.64962876101072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7.1952941176470588</v>
      </c>
      <c r="N18" s="14">
        <f>IF('Données projet'!$A$36&gt;35,N17+M18-V17,IF(A18&lt;'Données projet'!$A$36,$K$205^A18,IF(A18='Données projet'!$A$36,'Données projet'!$B$36,N17+M18-V17)))</f>
        <v>69.487955592441367</v>
      </c>
      <c r="O18" s="14">
        <f>N18*VLOOKUP('Données projet'!$B$9,Paramètres!$A$1:$I$89,3,0)*VLOOKUP('Données projet'!$B$9,Paramètres!$A$1:$I$89,5,0)</f>
        <v>41.553797444279937</v>
      </c>
      <c r="P18" s="14">
        <f t="shared" si="33"/>
        <v>12.409563214842624</v>
      </c>
      <c r="Q18" s="22">
        <f t="shared" si="2"/>
        <v>93.986186481305097</v>
      </c>
      <c r="R18" s="62">
        <f t="shared" si="0"/>
        <v>387.3195198146384</v>
      </c>
      <c r="S18" s="62">
        <f ca="1">AVERAGE(OFFSET($R$3,0,0,'Données projet'!$E$9+1,1))-AVERAGE(OFFSET($H$3,0,0,'Données projet'!$E$9+1,1))</f>
        <v>232.18344481135546</v>
      </c>
      <c r="T18" s="62">
        <f t="shared" si="34"/>
        <v>227.64962876101072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7.1952941176470588</v>
      </c>
      <c r="N19" s="14">
        <f>IF('Données projet'!$A$36&gt;35,N18+M19-V18,IF(A19&lt;'Données projet'!$A$36,$K$205^A19,IF(A19='Données projet'!$A$36,'Données projet'!$B$36,N18+M19-V18)))</f>
        <v>92.194179469570756</v>
      </c>
      <c r="O19" s="14">
        <f>N19*VLOOKUP('Données projet'!$B$9,Paramètres!$A$1:$I$89,3,0)*VLOOKUP('Données projet'!$B$9,Paramètres!$A$1:$I$89,5,0)</f>
        <v>55.13211932280332</v>
      </c>
      <c r="P19" s="14">
        <f t="shared" si="33"/>
        <v>15.931521231978957</v>
      </c>
      <c r="Q19" s="22">
        <f t="shared" si="2"/>
        <v>123.76917396624582</v>
      </c>
      <c r="R19" s="62">
        <f t="shared" si="0"/>
        <v>417.10250729957914</v>
      </c>
      <c r="S19" s="62">
        <f ca="1">AVERAGE(OFFSET($R$3,0,0,'Données projet'!$E$9+1,1))-AVERAGE(OFFSET($H$3,0,0,'Données projet'!$E$9+1,1))</f>
        <v>232.18344481135546</v>
      </c>
      <c r="T19" s="62">
        <f t="shared" si="34"/>
        <v>227.64962876101072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122.32</v>
      </c>
      <c r="L20" s="13">
        <f>VLOOKUP(A20,'Données projet'!$A$35:$I$55,9,0)</f>
        <v>7.1952941176470588</v>
      </c>
      <c r="M20" s="13">
        <f t="array" ref="M20">INDEX(L:L,MIN(IF(ISNUMBER(L20:L216),ROW(L20:L216),"")))</f>
        <v>7.1952941176470588</v>
      </c>
      <c r="N20" s="14">
        <f>IF('Données projet'!$A$36&gt;35,N19+M20-V19,IF(A20&lt;'Données projet'!$A$36,$K$205^A20,IF(A20='Données projet'!$A$36,'Données projet'!$B$36,N19+M20-V19)))</f>
        <v>122.32</v>
      </c>
      <c r="O20" s="14">
        <f>N20*VLOOKUP('Données projet'!$B$9,Paramètres!$A$1:$I$89,3,0)*VLOOKUP('Données projet'!$B$9,Paramètres!$A$1:$I$89,5,0)</f>
        <v>73.147360000000006</v>
      </c>
      <c r="P20" s="14">
        <f t="shared" si="33"/>
        <v>20.453046120222783</v>
      </c>
      <c r="Q20" s="22">
        <f t="shared" si="2"/>
        <v>163.02070732605469</v>
      </c>
      <c r="R20" s="62">
        <f t="shared" si="0"/>
        <v>456.35404065938803</v>
      </c>
      <c r="S20" s="62">
        <f ca="1">AVERAGE(OFFSET($R$3,0,0,'Données projet'!$E$9+1,1))-AVERAGE(OFFSET($H$3,0,0,'Données projet'!$E$9+1,1))</f>
        <v>232.18344481135546</v>
      </c>
      <c r="T20" s="62">
        <f t="shared" si="34"/>
        <v>227.64962876101072</v>
      </c>
      <c r="U20" s="16">
        <f>IF(ISNA(VLOOKUP(A20,'Données projet'!$A$35:$I$55,3,0)),0,VLOOKUP(A20,'Données projet'!$A$35:$I$55,3,0))</f>
        <v>1</v>
      </c>
      <c r="V20" s="16">
        <f>IF(ISNA(VLOOKUP(A20,'Données projet'!$A$35:$I$55,4,0)),0,VLOOKUP(A20,'Données projet'!$A$35:$I$55,4,0))</f>
        <v>40.76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0.20250000000000001</v>
      </c>
      <c r="Y20" s="17">
        <f>IF(ISNA(VLOOKUP(A20,'Données projet'!$A$35:$I$55,7,0)),0%,VLOOKUP(A20,'Données projet'!$A$35:$I$55,7,0))</f>
        <v>0.35</v>
      </c>
      <c r="Z20" s="23">
        <f>EXP(-LN(2)/35)*Z19+(1-EXP(-LN(2)/35))/(LN(2)/35)*V20*W20*VLOOKUP('Données projet'!$B$9,Paramètres!$A$1:$I$89,3,0)*0.475*44/12</f>
        <v>2.9100886909039771</v>
      </c>
      <c r="AA20" s="23">
        <f>EXP(-LN(2)/25)*AA19+(1-EXP(-LN(2)/25))/(LN(2)/25)*Calculateur!V20*Calculateur!X20*VLOOKUP('Données projet'!$B$9,Paramètres!$A$1:$I$89,3,0)*0.475*44/12</f>
        <v>6.521918766518624</v>
      </c>
      <c r="AB20" s="23">
        <f>EXP(-LN(2)/2)*AB19+(1-EXP(-LN(2)/2))/(LN(2)/2)*V20*Y20*VLOOKUP('Données projet'!$B$9,Paramètres!$A$1:$I$89,3,0)*0.475*44/12</f>
        <v>9.6591507219945125</v>
      </c>
      <c r="AC20" s="24">
        <f t="shared" si="3"/>
        <v>19.091158179417114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17.686666666666667</v>
      </c>
      <c r="N21" s="14">
        <f>IF('Données projet'!$A$36&gt;35,N20+M21-V20,IF(A21&lt;'Données projet'!$A$36,$K$205^A21,IF(A21='Données projet'!$A$36,'Données projet'!$B$36,N20+M21-V20)))</f>
        <v>99.24666666666667</v>
      </c>
      <c r="O21" s="14">
        <f>N21*VLOOKUP('Données projet'!$B$9,Paramètres!$A$1:$I$89,3,0)*VLOOKUP('Données projet'!$B$9,Paramètres!$A$1:$I$89,5,0)</f>
        <v>59.34950666666667</v>
      </c>
      <c r="P21" s="14">
        <f t="shared" si="33"/>
        <v>17.003699693551216</v>
      </c>
      <c r="Q21" s="22">
        <f t="shared" si="2"/>
        <v>132.98183441071282</v>
      </c>
      <c r="R21" s="62">
        <f t="shared" si="0"/>
        <v>426.31516774404611</v>
      </c>
      <c r="S21" s="62">
        <f ca="1">AVERAGE(OFFSET($R$3,0,0,'Données projet'!$E$9+1,1))-AVERAGE(OFFSET($H$3,0,0,'Données projet'!$E$9+1,1))</f>
        <v>232.18344481135546</v>
      </c>
      <c r="T21" s="62">
        <f t="shared" si="34"/>
        <v>227.64962876101072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2.8530236266541871</v>
      </c>
      <c r="AA21" s="23">
        <f>EXP(-LN(2)/25)*AA20+(1-EXP(-LN(2)/25))/(LN(2)/25)*Calculateur!V21*Calculateur!X21*VLOOKUP('Données projet'!$B$9,Paramètres!$A$1:$I$89,3,0)*0.475*44/12</f>
        <v>6.3435765548753702</v>
      </c>
      <c r="AB21" s="23">
        <f>EXP(-LN(2)/2)*AB20+(1-EXP(-LN(2)/2))/(LN(2)/2)*V21*Y21*VLOOKUP('Données projet'!$B$9,Paramètres!$A$1:$I$89,3,0)*0.475*44/12</f>
        <v>6.830050976025257</v>
      </c>
      <c r="AC21" s="24">
        <f t="shared" si="3"/>
        <v>16.026651157554817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17.686666666666667</v>
      </c>
      <c r="N22" s="14">
        <f>IF('Données projet'!$A$36&gt;35,N21+M22-V21,IF(A22&lt;'Données projet'!$A$36,$K$205^A22,IF(A22='Données projet'!$A$36,'Données projet'!$B$36,N21+M22-V21)))</f>
        <v>116.93333333333334</v>
      </c>
      <c r="O22" s="14">
        <f>N22*VLOOKUP('Données projet'!$B$9,Paramètres!$A$1:$I$89,3,0)*VLOOKUP('Données projet'!$B$9,Paramètres!$A$1:$I$89,5,0)</f>
        <v>69.92613333333334</v>
      </c>
      <c r="P22" s="14">
        <f t="shared" si="33"/>
        <v>19.655112747639016</v>
      </c>
      <c r="Q22" s="22">
        <f t="shared" si="2"/>
        <v>156.02067025769352</v>
      </c>
      <c r="R22" s="62">
        <f t="shared" si="0"/>
        <v>449.35400359102687</v>
      </c>
      <c r="S22" s="62">
        <f ca="1">AVERAGE(OFFSET($R$3,0,0,'Données projet'!$E$9+1,1))-AVERAGE(OFFSET($H$3,0,0,'Données projet'!$E$9+1,1))</f>
        <v>232.18344481135546</v>
      </c>
      <c r="T22" s="62">
        <f t="shared" si="34"/>
        <v>227.64962876101072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2.7970775735080831</v>
      </c>
      <c r="AA22" s="23">
        <f>EXP(-LN(2)/25)*AA21+(1-EXP(-LN(2)/25))/(LN(2)/25)*Calculateur!V22*Calculateur!X22*VLOOKUP('Données projet'!$B$9,Paramètres!$A$1:$I$89,3,0)*0.475*44/12</f>
        <v>6.1701111203881105</v>
      </c>
      <c r="AB22" s="23">
        <f>EXP(-LN(2)/2)*AB21+(1-EXP(-LN(2)/2))/(LN(2)/2)*V22*Y22*VLOOKUP('Données projet'!$B$9,Paramètres!$A$1:$I$89,3,0)*0.475*44/12</f>
        <v>4.8295753609972571</v>
      </c>
      <c r="AC22" s="24">
        <f t="shared" si="3"/>
        <v>13.796764054893451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17.686666666666667</v>
      </c>
      <c r="N23" s="14">
        <f>IF('Données projet'!$A$36&gt;35,N22+M23-V22,IF(A23&lt;'Données projet'!$A$36,$K$205^A23,IF(A23='Données projet'!$A$36,'Données projet'!$B$36,N22+M23-V22)))</f>
        <v>134.62</v>
      </c>
      <c r="O23" s="14">
        <f>N23*VLOOKUP('Données projet'!$B$9,Paramètres!$A$1:$I$89,3,0)*VLOOKUP('Données projet'!$B$9,Paramètres!$A$1:$I$89,5,0)</f>
        <v>80.502760000000009</v>
      </c>
      <c r="P23" s="14">
        <f t="shared" si="33"/>
        <v>22.260066705482632</v>
      </c>
      <c r="Q23" s="22">
        <f t="shared" si="2"/>
        <v>178.97858984538223</v>
      </c>
      <c r="R23" s="62">
        <f t="shared" si="0"/>
        <v>472.31192317871557</v>
      </c>
      <c r="S23" s="62">
        <f ca="1">AVERAGE(OFFSET($R$3,0,0,'Données projet'!$E$9+1,1))-AVERAGE(OFFSET($H$3,0,0,'Données projet'!$E$9+1,1))</f>
        <v>232.18344481135546</v>
      </c>
      <c r="T23" s="62">
        <f t="shared" si="34"/>
        <v>227.64962876101072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2.7422285883404509</v>
      </c>
      <c r="AA23" s="23">
        <f>EXP(-LN(2)/25)*AA22+(1-EXP(-LN(2)/25))/(LN(2)/25)*Calculateur!V23*Calculateur!X23*VLOOKUP('Données projet'!$B$9,Paramètres!$A$1:$I$89,3,0)*0.475*44/12</f>
        <v>6.0013891073290555</v>
      </c>
      <c r="AB23" s="23">
        <f>EXP(-LN(2)/2)*AB22+(1-EXP(-LN(2)/2))/(LN(2)/2)*V23*Y23*VLOOKUP('Données projet'!$B$9,Paramètres!$A$1:$I$89,3,0)*0.475*44/12</f>
        <v>3.415025488012629</v>
      </c>
      <c r="AC23" s="24">
        <f t="shared" si="3"/>
        <v>12.158643183682136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17.686666666666667</v>
      </c>
      <c r="N24" s="14">
        <f>IF('Données projet'!$A$36&gt;35,N23+M24-V23,IF(A24&lt;'Données projet'!$A$36,$K$205^A24,IF(A24='Données projet'!$A$36,'Données projet'!$B$36,N23+M24-V23)))</f>
        <v>152.30666666666667</v>
      </c>
      <c r="O24" s="14">
        <f>N24*VLOOKUP('Données projet'!$B$9,Paramètres!$A$1:$I$89,3,0)*VLOOKUP('Données projet'!$B$9,Paramètres!$A$1:$I$89,5,0)</f>
        <v>91.079386666666679</v>
      </c>
      <c r="P24" s="14">
        <f t="shared" si="33"/>
        <v>24.825366166504242</v>
      </c>
      <c r="Q24" s="22">
        <f t="shared" si="2"/>
        <v>201.8674445177727</v>
      </c>
      <c r="R24" s="62">
        <f t="shared" si="0"/>
        <v>495.20077785110601</v>
      </c>
      <c r="S24" s="62">
        <f ca="1">AVERAGE(OFFSET($R$3,0,0,'Données projet'!$E$9+1,1))-AVERAGE(OFFSET($H$3,0,0,'Données projet'!$E$9+1,1))</f>
        <v>232.18344481135546</v>
      </c>
      <c r="T24" s="62">
        <f t="shared" si="34"/>
        <v>227.64962876101072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2.6884551583173786</v>
      </c>
      <c r="AA24" s="23">
        <f>EXP(-LN(2)/25)*AA23+(1-EXP(-LN(2)/25))/(LN(2)/25)*Calculateur!V24*Calculateur!X24*VLOOKUP('Données projet'!$B$9,Paramètres!$A$1:$I$89,3,0)*0.475*44/12</f>
        <v>5.8372808065898054</v>
      </c>
      <c r="AB24" s="23">
        <f>EXP(-LN(2)/2)*AB23+(1-EXP(-LN(2)/2))/(LN(2)/2)*V24*Y24*VLOOKUP('Données projet'!$B$9,Paramètres!$A$1:$I$89,3,0)*0.475*44/12</f>
        <v>2.414787680498629</v>
      </c>
      <c r="AC24" s="24">
        <f t="shared" si="3"/>
        <v>10.940523645405813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17.686666666666667</v>
      </c>
      <c r="N25" s="14">
        <f>IF('Données projet'!$A$36&gt;35,N24+M25-V24,IF(A25&lt;'Données projet'!$A$36,$K$205^A25,IF(A25='Données projet'!$A$36,'Données projet'!$B$36,N24+M25-V24)))</f>
        <v>169.99333333333334</v>
      </c>
      <c r="O25" s="14">
        <f>N25*VLOOKUP('Données projet'!$B$9,Paramètres!$A$1:$I$89,3,0)*VLOOKUP('Données projet'!$B$9,Paramètres!$A$1:$I$89,5,0)</f>
        <v>101.65601333333333</v>
      </c>
      <c r="P25" s="14">
        <f t="shared" si="33"/>
        <v>27.356141971554642</v>
      </c>
      <c r="Q25" s="22">
        <f t="shared" si="2"/>
        <v>224.6961704893466</v>
      </c>
      <c r="R25" s="62">
        <f t="shared" si="0"/>
        <v>518.02950382267989</v>
      </c>
      <c r="S25" s="62">
        <f ca="1">AVERAGE(OFFSET($R$3,0,0,'Données projet'!$E$9+1,1))-AVERAGE(OFFSET($H$3,0,0,'Données projet'!$E$9+1,1))</f>
        <v>232.18344481135546</v>
      </c>
      <c r="T25" s="62">
        <f t="shared" si="34"/>
        <v>227.64962876101072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2.6357361924585048</v>
      </c>
      <c r="AA25" s="23">
        <f>EXP(-LN(2)/25)*AA24+(1-EXP(-LN(2)/25))/(LN(2)/25)*Calculateur!V25*Calculateur!X25*VLOOKUP('Données projet'!$B$9,Paramètres!$A$1:$I$89,3,0)*0.475*44/12</f>
        <v>5.6776600559643509</v>
      </c>
      <c r="AB25" s="23">
        <f>EXP(-LN(2)/2)*AB24+(1-EXP(-LN(2)/2))/(LN(2)/2)*V25*Y25*VLOOKUP('Données projet'!$B$9,Paramètres!$A$1:$I$89,3,0)*0.475*44/12</f>
        <v>1.7075127440063149</v>
      </c>
      <c r="AC25" s="24">
        <f t="shared" si="3"/>
        <v>10.02090899242917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187.68</v>
      </c>
      <c r="L26" s="13">
        <f>VLOOKUP(A26,'Données projet'!$A$35:$I$55,9,0)</f>
        <v>17.686666666666667</v>
      </c>
      <c r="M26" s="13">
        <f t="array" ref="M26">INDEX(L:L,MIN(IF(ISNUMBER(L26:L222),ROW(L26:L222),"")))</f>
        <v>17.686666666666667</v>
      </c>
      <c r="N26" s="14">
        <f>IF('Données projet'!$A$36&gt;35,N25+M26-V25,IF(A26&lt;'Données projet'!$A$36,$K$205^A26,IF(A26='Données projet'!$A$36,'Données projet'!$B$36,N25+M26-V25)))</f>
        <v>187.68</v>
      </c>
      <c r="O26" s="14">
        <f>N26*VLOOKUP('Données projet'!$B$9,Paramètres!$A$1:$I$89,3,0)*VLOOKUP('Données projet'!$B$9,Paramètres!$A$1:$I$89,5,0)</f>
        <v>112.23264000000002</v>
      </c>
      <c r="P26" s="14">
        <f t="shared" si="33"/>
        <v>29.85639523393861</v>
      </c>
      <c r="Q26" s="22">
        <f t="shared" si="2"/>
        <v>247.47173636577645</v>
      </c>
      <c r="R26" s="62">
        <f t="shared" si="0"/>
        <v>540.80506969910971</v>
      </c>
      <c r="S26" s="62">
        <f ca="1">AVERAGE(OFFSET($R$3,0,0,'Données projet'!$E$9+1,1))-AVERAGE(OFFSET($H$3,0,0,'Données projet'!$E$9+1,1))</f>
        <v>232.18344481135546</v>
      </c>
      <c r="T26" s="62">
        <f t="shared" si="34"/>
        <v>227.64962876101072</v>
      </c>
      <c r="U26" s="16">
        <f>IF(ISNA(VLOOKUP(A26,'Données projet'!$A$35:$I$55,3,0)),0,VLOOKUP(A26,'Données projet'!$A$35:$I$55,3,0))</f>
        <v>2</v>
      </c>
      <c r="V26" s="16">
        <f>IF(ISNA(VLOOKUP(A26,'Données projet'!$A$35:$I$55,4,0)),0,VLOOKUP(A26,'Données projet'!$A$35:$I$55,4,0))</f>
        <v>57.75</v>
      </c>
      <c r="W26" s="17">
        <f>IF(ISNA(VLOOKUP(A26,'Données projet'!$A$35:$I$55,5,0)),0%,VLOOKUP(A26,'Données projet'!$A$35:$I$55,5,0)*VLOOKUP('Données projet'!$B$9,Paramètres!$A$1:$I$89,7,0))</f>
        <v>0.13500000000000001</v>
      </c>
      <c r="X26" s="17">
        <f>IF(ISNA(VLOOKUP(A26,'Données projet'!$A$35:$I$55,6,0)),0%,VLOOKUP(A26,'Données projet'!$A$35:$I$55,6,0)*VLOOKUP('Données projet'!$B$9,Paramètres!$A$1:$I$89,7,0))</f>
        <v>0.17550000000000002</v>
      </c>
      <c r="Y26" s="17">
        <f>IF(ISNA(VLOOKUP(A26,'Données projet'!$A$35:$I$55,7,0)),0%,VLOOKUP(A26,'Données projet'!$A$35:$I$55,7,0))</f>
        <v>0.31</v>
      </c>
      <c r="Z26" s="23">
        <f>EXP(-LN(2)/35)*Z25+(1-EXP(-LN(2)/35))/(LN(2)/35)*V26*W26*VLOOKUP('Données projet'!$B$9,Paramètres!$A$1:$I$89,3,0)*0.475*44/12</f>
        <v>8.7687034385255984</v>
      </c>
      <c r="AA26" s="23">
        <f>EXP(-LN(2)/25)*AA25+(1-EXP(-LN(2)/25))/(LN(2)/25)*Calculateur!V26*Calculateur!X26*VLOOKUP('Données projet'!$B$9,Paramètres!$A$1:$I$89,3,0)*0.475*44/12</f>
        <v>13.530795562792232</v>
      </c>
      <c r="AB26" s="23">
        <f>EXP(-LN(2)/2)*AB25+(1-EXP(-LN(2)/2))/(LN(2)/2)*V26*Y26*VLOOKUP('Données projet'!$B$9,Paramètres!$A$1:$I$89,3,0)*0.475*44/12</f>
        <v>13.328727486716915</v>
      </c>
      <c r="AC26" s="24">
        <f t="shared" si="3"/>
        <v>35.628226488034741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19.274999999999991</v>
      </c>
      <c r="N27" s="14">
        <f>IF('Données projet'!$A$36&gt;35,N26+M27-V26,IF(A27&lt;'Données projet'!$A$36,$K$205^A27,IF(A27='Données projet'!$A$36,'Données projet'!$B$36,N26+M27-V26)))</f>
        <v>149.20499999999998</v>
      </c>
      <c r="O27" s="14">
        <f>N27*VLOOKUP('Données projet'!$B$9,Paramètres!$A$1:$I$89,3,0)*VLOOKUP('Données projet'!$B$9,Paramètres!$A$1:$I$89,5,0)</f>
        <v>89.224589999999992</v>
      </c>
      <c r="P27" s="14">
        <f t="shared" si="33"/>
        <v>24.378120698840782</v>
      </c>
      <c r="Q27" s="22">
        <f t="shared" si="2"/>
        <v>197.8580544671477</v>
      </c>
      <c r="R27" s="62">
        <f t="shared" si="0"/>
        <v>491.19138780048104</v>
      </c>
      <c r="S27" s="62">
        <f ca="1">AVERAGE(OFFSET($R$3,0,0,'Données projet'!$E$9+1,1))-AVERAGE(OFFSET($H$3,0,0,'Données projet'!$E$9+1,1))</f>
        <v>232.18344481135546</v>
      </c>
      <c r="T27" s="62">
        <f t="shared" si="34"/>
        <v>227.64962876101072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8.5967545124770997</v>
      </c>
      <c r="AA27" s="23">
        <f>EXP(-LN(2)/25)*AA26+(1-EXP(-LN(2)/25))/(LN(2)/25)*Calculateur!V27*Calculateur!X27*VLOOKUP('Données projet'!$B$9,Paramètres!$A$1:$I$89,3,0)*0.475*44/12</f>
        <v>13.160795246574065</v>
      </c>
      <c r="AB27" s="23">
        <f>EXP(-LN(2)/2)*AB26+(1-EXP(-LN(2)/2))/(LN(2)/2)*V27*Y27*VLOOKUP('Données projet'!$B$9,Paramètres!$A$1:$I$89,3,0)*0.475*44/12</f>
        <v>9.4248335904450595</v>
      </c>
      <c r="AC27" s="24">
        <f t="shared" si="3"/>
        <v>31.182383349496227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168.48</v>
      </c>
      <c r="L28" s="13">
        <f>VLOOKUP(A28,'Données projet'!$A$35:$I$55,9,0)</f>
        <v>19.274999999999991</v>
      </c>
      <c r="M28" s="13">
        <f t="array" ref="M28">INDEX(L:L,MIN(IF(ISNUMBER(L28:L224),ROW(L28:L224),"")))</f>
        <v>19.274999999999991</v>
      </c>
      <c r="N28" s="14">
        <f>IF('Données projet'!$A$36&gt;35,N27+M28-V27,IF(A28&lt;'Données projet'!$A$36,$K$205^A28,IF(A28='Données projet'!$A$36,'Données projet'!$B$36,N27+M28-V27)))</f>
        <v>168.47999999999996</v>
      </c>
      <c r="O28" s="14">
        <f>N28*VLOOKUP('Données projet'!$B$9,Paramètres!$A$1:$I$89,3,0)*VLOOKUP('Données projet'!$B$9,Paramètres!$A$1:$I$89,5,0)</f>
        <v>100.75103999999999</v>
      </c>
      <c r="P28" s="14">
        <f t="shared" si="33"/>
        <v>27.140844480453442</v>
      </c>
      <c r="Q28" s="22">
        <f t="shared" si="2"/>
        <v>222.74503213678972</v>
      </c>
      <c r="R28" s="62">
        <f t="shared" si="0"/>
        <v>516.078365470123</v>
      </c>
      <c r="S28" s="62">
        <f ca="1">AVERAGE(OFFSET($R$3,0,0,'Données projet'!$E$9+1,1))-AVERAGE(OFFSET($H$3,0,0,'Données projet'!$E$9+1,1))</f>
        <v>232.18344481135546</v>
      </c>
      <c r="T28" s="62">
        <f t="shared" si="34"/>
        <v>227.64962876101072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8.4281773999899237</v>
      </c>
      <c r="AA28" s="23">
        <f>EXP(-LN(2)/25)*AA27+(1-EXP(-LN(2)/25))/(LN(2)/25)*Calculateur!V28*Calculateur!X28*VLOOKUP('Données projet'!$B$9,Paramètres!$A$1:$I$89,3,0)*0.475*44/12</f>
        <v>12.800912608460354</v>
      </c>
      <c r="AB28" s="23">
        <f>EXP(-LN(2)/2)*AB27+(1-EXP(-LN(2)/2))/(LN(2)/2)*V28*Y28*VLOOKUP('Données projet'!$B$9,Paramètres!$A$1:$I$89,3,0)*0.475*44/12</f>
        <v>6.6643637433584582</v>
      </c>
      <c r="AC28" s="24">
        <f t="shared" si="3"/>
        <v>27.893453751808735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18.282500000000006</v>
      </c>
      <c r="N29" s="14">
        <f>IF('Données projet'!$A$36&gt;35,N28+M29-V28,IF(A29&lt;'Données projet'!$A$36,$K$205^A29,IF(A29='Données projet'!$A$36,'Données projet'!$B$36,N28+M29-V28)))</f>
        <v>186.76249999999996</v>
      </c>
      <c r="O29" s="14">
        <f>N29*VLOOKUP('Données projet'!$B$9,Paramètres!$A$1:$I$89,3,0)*VLOOKUP('Données projet'!$B$9,Paramètres!$A$1:$I$89,5,0)</f>
        <v>111.68397499999998</v>
      </c>
      <c r="P29" s="14">
        <f t="shared" si="33"/>
        <v>29.727390713311976</v>
      </c>
      <c r="Q29" s="22">
        <f t="shared" si="2"/>
        <v>246.29146195068498</v>
      </c>
      <c r="R29" s="62">
        <f t="shared" si="0"/>
        <v>539.62479528401832</v>
      </c>
      <c r="S29" s="62">
        <f ca="1">AVERAGE(OFFSET($R$3,0,0,'Données projet'!$E$9+1,1))-AVERAGE(OFFSET($H$3,0,0,'Données projet'!$E$9+1,1))</f>
        <v>232.18344481135546</v>
      </c>
      <c r="T29" s="62">
        <f t="shared" si="34"/>
        <v>227.64962876101072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8.2629059818567345</v>
      </c>
      <c r="AA29" s="23">
        <f>EXP(-LN(2)/25)*AA28+(1-EXP(-LN(2)/25))/(LN(2)/25)*Calculateur!V29*Calculateur!X29*VLOOKUP('Données projet'!$B$9,Paramètres!$A$1:$I$89,3,0)*0.475*44/12</f>
        <v>12.450870980011269</v>
      </c>
      <c r="AB29" s="23">
        <f>EXP(-LN(2)/2)*AB28+(1-EXP(-LN(2)/2))/(LN(2)/2)*V29*Y29*VLOOKUP('Données projet'!$B$9,Paramètres!$A$1:$I$89,3,0)*0.475*44/12</f>
        <v>4.7124167952225307</v>
      </c>
      <c r="AC29" s="24">
        <f t="shared" si="3"/>
        <v>25.426193757090534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18.282500000000006</v>
      </c>
      <c r="N30" s="14">
        <f>IF('Données projet'!$A$36&gt;35,N29+M30-V29,IF(A30&lt;'Données projet'!$A$36,$K$205^A30,IF(A30='Données projet'!$A$36,'Données projet'!$B$36,N29+M30-V29)))</f>
        <v>205.04499999999996</v>
      </c>
      <c r="O30" s="14">
        <f>N30*VLOOKUP('Données projet'!$B$9,Paramètres!$A$1:$I$89,3,0)*VLOOKUP('Données projet'!$B$9,Paramètres!$A$1:$I$89,5,0)</f>
        <v>122.61690999999999</v>
      </c>
      <c r="P30" s="14">
        <f t="shared" si="33"/>
        <v>32.284582133453711</v>
      </c>
      <c r="Q30" s="22">
        <f t="shared" si="2"/>
        <v>269.7867654657652</v>
      </c>
      <c r="R30" s="62">
        <f t="shared" si="0"/>
        <v>563.12009879909851</v>
      </c>
      <c r="S30" s="62">
        <f ca="1">AVERAGE(OFFSET($R$3,0,0,'Données projet'!$E$9+1,1))-AVERAGE(OFFSET($H$3,0,0,'Données projet'!$E$9+1,1))</f>
        <v>232.18344481135546</v>
      </c>
      <c r="T30" s="62">
        <f t="shared" si="34"/>
        <v>227.64962876101072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8.1008754354275272</v>
      </c>
      <c r="AA30" s="23">
        <f>EXP(-LN(2)/25)*AA29+(1-EXP(-LN(2)/25))/(LN(2)/25)*Calculateur!V30*Calculateur!X30*VLOOKUP('Données projet'!$B$9,Paramètres!$A$1:$I$89,3,0)*0.475*44/12</f>
        <v>12.110401258300012</v>
      </c>
      <c r="AB30" s="23">
        <f>EXP(-LN(2)/2)*AB29+(1-EXP(-LN(2)/2))/(LN(2)/2)*V30*Y30*VLOOKUP('Données projet'!$B$9,Paramètres!$A$1:$I$89,3,0)*0.475*44/12</f>
        <v>3.3321818716792295</v>
      </c>
      <c r="AC30" s="24">
        <f t="shared" si="3"/>
        <v>23.54345856540677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18.282500000000006</v>
      </c>
      <c r="N31" s="14">
        <f>IF('Données projet'!$A$36&gt;35,N30+M31-V30,IF(A31&lt;'Données projet'!$A$36,$K$205^A31,IF(A31='Données projet'!$A$36,'Données projet'!$B$36,N30+M31-V30)))</f>
        <v>223.32749999999996</v>
      </c>
      <c r="O31" s="14">
        <f>N31*VLOOKUP('Données projet'!$B$9,Paramètres!$A$1:$I$89,3,0)*VLOOKUP('Données projet'!$B$9,Paramètres!$A$1:$I$89,5,0)</f>
        <v>133.54984499999998</v>
      </c>
      <c r="P31" s="14">
        <f t="shared" si="33"/>
        <v>34.815333747868884</v>
      </c>
      <c r="Q31" s="22">
        <f t="shared" si="2"/>
        <v>293.23601965253823</v>
      </c>
      <c r="R31" s="62">
        <f t="shared" si="0"/>
        <v>586.56935298587155</v>
      </c>
      <c r="S31" s="62">
        <f ca="1">AVERAGE(OFFSET($R$3,0,0,'Données projet'!$E$9+1,1))-AVERAGE(OFFSET($H$3,0,0,'Données projet'!$E$9+1,1))</f>
        <v>232.18344481135546</v>
      </c>
      <c r="T31" s="62">
        <f t="shared" si="34"/>
        <v>227.64962876101072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7.9420222091849215</v>
      </c>
      <c r="AA31" s="23">
        <f>EXP(-LN(2)/25)*AA30+(1-EXP(-LN(2)/25))/(LN(2)/25)*Calculateur!V31*Calculateur!X31*VLOOKUP('Données projet'!$B$9,Paramètres!$A$1:$I$89,3,0)*0.475*44/12</f>
        <v>11.779241699033475</v>
      </c>
      <c r="AB31" s="23">
        <f>EXP(-LN(2)/2)*AB30+(1-EXP(-LN(2)/2))/(LN(2)/2)*V31*Y31*VLOOKUP('Données projet'!$B$9,Paramètres!$A$1:$I$89,3,0)*0.475*44/12</f>
        <v>2.3562083976112653</v>
      </c>
      <c r="AC31" s="24">
        <f t="shared" si="3"/>
        <v>22.077472305829662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>
        <f>VLOOKUP(A32,'Données projet'!$A$35:$I$55,2,0)</f>
        <v>241.61</v>
      </c>
      <c r="L32" s="13">
        <f>VLOOKUP(A32,'Données projet'!$A$35:$I$55,9,0)</f>
        <v>18.282500000000006</v>
      </c>
      <c r="M32" s="13">
        <f t="array" ref="M32">INDEX(L:L,MIN(IF(ISNUMBER(L32:L228),ROW(L32:L228),"")))</f>
        <v>18.282500000000006</v>
      </c>
      <c r="N32" s="14">
        <f>IF('Données projet'!$A$36&gt;35,N31+M32-V31,IF(A32&lt;'Données projet'!$A$36,$K$205^A32,IF(A32='Données projet'!$A$36,'Données projet'!$B$36,N31+M32-V31)))</f>
        <v>241.60999999999996</v>
      </c>
      <c r="O32" s="14">
        <f>N32*VLOOKUP('Données projet'!$B$9,Paramètres!$A$1:$I$89,3,0)*VLOOKUP('Données projet'!$B$9,Paramètres!$A$1:$I$89,5,0)</f>
        <v>144.48277999999996</v>
      </c>
      <c r="P32" s="14">
        <f t="shared" si="33"/>
        <v>37.322056105193184</v>
      </c>
      <c r="Q32" s="22">
        <f t="shared" si="2"/>
        <v>316.64342288321137</v>
      </c>
      <c r="R32" s="62">
        <f t="shared" si="0"/>
        <v>609.97675621654469</v>
      </c>
      <c r="S32" s="62">
        <f ca="1">AVERAGE(OFFSET($R$3,0,0,'Données projet'!$E$9+1,1))-AVERAGE(OFFSET($H$3,0,0,'Données projet'!$E$9+1,1))</f>
        <v>232.18344481135546</v>
      </c>
      <c r="T32" s="62">
        <f t="shared" si="34"/>
        <v>227.64962876101072</v>
      </c>
      <c r="U32" s="16">
        <f>IF(ISNA(VLOOKUP(A32,'Données projet'!$A$35:$I$55,3,0)),0,VLOOKUP(A32,'Données projet'!$A$35:$I$55,3,0))</f>
        <v>3</v>
      </c>
      <c r="V32" s="16">
        <f>IF(ISNA(VLOOKUP(A32,'Données projet'!$A$35:$I$55,4,0)),0,VLOOKUP(A32,'Données projet'!$A$35:$I$55,4,0))</f>
        <v>54.64</v>
      </c>
      <c r="W32" s="17">
        <f>IF(ISNA(VLOOKUP(A32,'Données projet'!$A$35:$I$55,5,0)),0%,VLOOKUP(A32,'Données projet'!$A$35:$I$55,5,0)*VLOOKUP('Données projet'!$B$9,Paramètres!$A$1:$I$89,7,0))</f>
        <v>0.18000000000000002</v>
      </c>
      <c r="X32" s="17">
        <f>IF(ISNA(VLOOKUP(A32,'Données projet'!$A$35:$I$55,6,0)),0%,VLOOKUP(A32,'Données projet'!$A$35:$I$55,6,0)*VLOOKUP('Données projet'!$B$9,Paramètres!$A$1:$I$89,7,0))</f>
        <v>0.15300000000000002</v>
      </c>
      <c r="Y32" s="17">
        <f>IF(ISNA(VLOOKUP(A32,'Données projet'!$A$35:$I$55,7,0)),0%,VLOOKUP(A32,'Données projet'!$A$35:$I$55,7,0))</f>
        <v>0.26</v>
      </c>
      <c r="Z32" s="23">
        <f>EXP(-LN(2)/35)*Z31+(1-EXP(-LN(2)/35))/(LN(2)/35)*V32*W32*VLOOKUP('Données projet'!$B$9,Paramètres!$A$1:$I$89,3,0)*0.475*44/12</f>
        <v>15.588405983637134</v>
      </c>
      <c r="AA32" s="23">
        <f>EXP(-LN(2)/25)*AA31+(1-EXP(-LN(2)/25))/(LN(2)/25)*Calculateur!V32*Calculateur!X32*VLOOKUP('Données projet'!$B$9,Paramètres!$A$1:$I$89,3,0)*0.475*44/12</f>
        <v>18.062829465241489</v>
      </c>
      <c r="AB32" s="23">
        <f>EXP(-LN(2)/2)*AB31+(1-EXP(-LN(2)/2))/(LN(2)/2)*V32*Y32*VLOOKUP('Données projet'!$B$9,Paramètres!$A$1:$I$89,3,0)*0.475*44/12</f>
        <v>11.284887992964446</v>
      </c>
      <c r="AC32" s="24">
        <f t="shared" si="3"/>
        <v>44.936123441843066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17.605999999999995</v>
      </c>
      <c r="N33" s="14">
        <f>IF('Données projet'!$A$36&gt;35,N32+M33-V32,IF(A33&lt;'Données projet'!$A$36,$K$205^A33,IF(A33='Données projet'!$A$36,'Données projet'!$B$36,N32+M33-V32)))</f>
        <v>204.57599999999996</v>
      </c>
      <c r="O33" s="14">
        <f>N33*VLOOKUP('Données projet'!$B$9,Paramètres!$A$1:$I$89,3,0)*VLOOKUP('Données projet'!$B$9,Paramètres!$A$1:$I$89,5,0)</f>
        <v>122.33644799999999</v>
      </c>
      <c r="P33" s="14">
        <f t="shared" si="33"/>
        <v>32.219324338477811</v>
      </c>
      <c r="Q33" s="22">
        <f t="shared" si="2"/>
        <v>269.1846368228488</v>
      </c>
      <c r="R33" s="62">
        <f t="shared" si="0"/>
        <v>562.51797015618217</v>
      </c>
      <c r="S33" s="62">
        <f ca="1">AVERAGE(OFFSET($R$3,0,0,'Données projet'!$E$9+1,1))-AVERAGE(OFFSET($H$3,0,0,'Données projet'!$E$9+1,1))</f>
        <v>232.18344481135546</v>
      </c>
      <c r="T33" s="62">
        <f t="shared" si="34"/>
        <v>227.64962876101072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15.282726850286824</v>
      </c>
      <c r="AA33" s="23">
        <f>EXP(-LN(2)/25)*AA32+(1-EXP(-LN(2)/25))/(LN(2)/25)*Calculateur!V33*Calculateur!X33*VLOOKUP('Données projet'!$B$9,Paramètres!$A$1:$I$89,3,0)*0.475*44/12</f>
        <v>17.568900443631541</v>
      </c>
      <c r="AB33" s="23">
        <f>EXP(-LN(2)/2)*AB32+(1-EXP(-LN(2)/2))/(LN(2)/2)*V33*Y33*VLOOKUP('Données projet'!$B$9,Paramètres!$A$1:$I$89,3,0)*0.475*44/12</f>
        <v>7.9796208247558083</v>
      </c>
      <c r="AC33" s="24">
        <f t="shared" si="3"/>
        <v>40.831248118674175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17.605999999999995</v>
      </c>
      <c r="N34" s="14">
        <f>IF('Données projet'!$A$36&gt;35,N33+M34-V33,IF(A34&lt;'Données projet'!$A$36,$K$205^A34,IF(A34='Données projet'!$A$36,'Données projet'!$B$36,N33+M34-V33)))</f>
        <v>222.18199999999996</v>
      </c>
      <c r="O34" s="14">
        <f>N34*VLOOKUP('Données projet'!$B$9,Paramètres!$A$1:$I$89,3,0)*VLOOKUP('Données projet'!$B$9,Paramètres!$A$1:$I$89,5,0)</f>
        <v>132.864836</v>
      </c>
      <c r="P34" s="14">
        <f t="shared" si="33"/>
        <v>34.657496669182599</v>
      </c>
      <c r="Q34" s="22">
        <f t="shared" si="2"/>
        <v>291.76806273215965</v>
      </c>
      <c r="R34" s="62">
        <f t="shared" si="0"/>
        <v>585.10139606549296</v>
      </c>
      <c r="S34" s="62">
        <f ca="1">AVERAGE(OFFSET($R$3,0,0,'Données projet'!$E$9+1,1))-AVERAGE(OFFSET($H$3,0,0,'Données projet'!$E$9+1,1))</f>
        <v>232.18344481135546</v>
      </c>
      <c r="T34" s="62">
        <f t="shared" si="34"/>
        <v>227.64962876101072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14.983041898295653</v>
      </c>
      <c r="AA34" s="23">
        <f>EXP(-LN(2)/25)*AA33+(1-EXP(-LN(2)/25))/(LN(2)/25)*Calculateur!V34*Calculateur!X34*VLOOKUP('Données projet'!$B$9,Paramètres!$A$1:$I$89,3,0)*0.475*44/12</f>
        <v>17.088477937092115</v>
      </c>
      <c r="AB34" s="23">
        <f>EXP(-LN(2)/2)*AB33+(1-EXP(-LN(2)/2))/(LN(2)/2)*V34*Y34*VLOOKUP('Données projet'!$B$9,Paramètres!$A$1:$I$89,3,0)*0.475*44/12</f>
        <v>5.6424439964822239</v>
      </c>
      <c r="AC34" s="24">
        <f t="shared" si="3"/>
        <v>37.713963831869989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17.605999999999995</v>
      </c>
      <c r="N35" s="14">
        <f>IF('Données projet'!$A$36&gt;35,N34+M35-V34,IF(A35&lt;'Données projet'!$A$36,$K$205^A35,IF(A35='Données projet'!$A$36,'Données projet'!$B$36,N34+M35-V34)))</f>
        <v>239.78799999999995</v>
      </c>
      <c r="O35" s="14">
        <f>N35*VLOOKUP('Données projet'!$B$9,Paramètres!$A$1:$I$89,3,0)*VLOOKUP('Données projet'!$B$9,Paramètres!$A$1:$I$89,5,0)</f>
        <v>143.393224</v>
      </c>
      <c r="P35" s="14">
        <f t="shared" si="33"/>
        <v>37.073258704515631</v>
      </c>
      <c r="Q35" s="22">
        <f t="shared" ref="Q35:Q66" si="53">(O35+P35)*0.475*44/12</f>
        <v>314.31245737703142</v>
      </c>
      <c r="R35" s="62">
        <f t="shared" si="0"/>
        <v>607.64579071036474</v>
      </c>
      <c r="S35" s="62">
        <f ca="1">AVERAGE(OFFSET($R$3,0,0,'Données projet'!$E$9+1,1))-AVERAGE(OFFSET($H$3,0,0,'Données projet'!$E$9+1,1))</f>
        <v>232.18344481135546</v>
      </c>
      <c r="T35" s="62">
        <f t="shared" si="34"/>
        <v>227.64962876101072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14.689233585423256</v>
      </c>
      <c r="AA35" s="23">
        <f>EXP(-LN(2)/25)*AA34+(1-EXP(-LN(2)/25))/(LN(2)/25)*Calculateur!V35*Calculateur!X35*VLOOKUP('Données projet'!$B$9,Paramètres!$A$1:$I$89,3,0)*0.475*44/12</f>
        <v>16.621192609258333</v>
      </c>
      <c r="AB35" s="23">
        <f>EXP(-LN(2)/2)*AB34+(1-EXP(-LN(2)/2))/(LN(2)/2)*V35*Y35*VLOOKUP('Données projet'!$B$9,Paramètres!$A$1:$I$89,3,0)*0.475*44/12</f>
        <v>3.989810412377905</v>
      </c>
      <c r="AC35" s="24">
        <f t="shared" si="3"/>
        <v>35.300236607059496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17.605999999999995</v>
      </c>
      <c r="N36" s="14">
        <f>IF('Données projet'!$A$36&gt;35,N35+M36-V35,IF(A36&lt;'Données projet'!$A$36,$K$205^A36,IF(A36='Données projet'!$A$36,'Données projet'!$B$36,N35+M36-V35)))</f>
        <v>257.39399999999995</v>
      </c>
      <c r="O36" s="14">
        <f>N36*VLOOKUP('Données projet'!$B$9,Paramètres!$A$1:$I$89,3,0)*VLOOKUP('Données projet'!$B$9,Paramètres!$A$1:$I$89,5,0)</f>
        <v>153.92161199999998</v>
      </c>
      <c r="P36" s="14">
        <f t="shared" si="33"/>
        <v>39.468442995886647</v>
      </c>
      <c r="Q36" s="22">
        <f t="shared" si="53"/>
        <v>336.82101245116922</v>
      </c>
      <c r="R36" s="62">
        <f t="shared" si="0"/>
        <v>630.15434578450254</v>
      </c>
      <c r="S36" s="62">
        <f ca="1">AVERAGE(OFFSET($R$3,0,0,'Données projet'!$E$9+1,1))-AVERAGE(OFFSET($H$3,0,0,'Données projet'!$E$9+1,1))</f>
        <v>232.18344481135546</v>
      </c>
      <c r="T36" s="62">
        <f t="shared" si="34"/>
        <v>227.64962876101072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14.401186674360911</v>
      </c>
      <c r="AA36" s="23">
        <f>EXP(-LN(2)/25)*AA35+(1-EXP(-LN(2)/25))/(LN(2)/25)*Calculateur!V36*Calculateur!X36*VLOOKUP('Données projet'!$B$9,Paramètres!$A$1:$I$89,3,0)*0.475*44/12</f>
        <v>16.166685223287633</v>
      </c>
      <c r="AB36" s="23">
        <f>EXP(-LN(2)/2)*AB35+(1-EXP(-LN(2)/2))/(LN(2)/2)*V36*Y36*VLOOKUP('Données projet'!$B$9,Paramètres!$A$1:$I$89,3,0)*0.475*44/12</f>
        <v>2.8212219982411124</v>
      </c>
      <c r="AC36" s="24">
        <f t="shared" si="3"/>
        <v>33.389093895889658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275</v>
      </c>
      <c r="L37" s="13">
        <f>VLOOKUP(A37,'Données projet'!$A$35:$I$55,9,0)</f>
        <v>17.605999999999995</v>
      </c>
      <c r="M37" s="13">
        <f t="array" ref="M37">INDEX(L:L,MIN(IF(ISNUMBER(L37:L233),ROW(L37:L233),"")))</f>
        <v>17.605999999999995</v>
      </c>
      <c r="N37" s="14">
        <f>IF('Données projet'!$A$36&gt;35,N36+M37-V36,IF(A37&lt;'Données projet'!$A$36,$K$205^A37,IF(A37='Données projet'!$A$36,'Données projet'!$B$36,N36+M37-V36)))</f>
        <v>274.99999999999994</v>
      </c>
      <c r="O37" s="14">
        <f>N37*VLOOKUP('Données projet'!$B$9,Paramètres!$A$1:$I$89,3,0)*VLOOKUP('Données projet'!$B$9,Paramètres!$A$1:$I$89,5,0)</f>
        <v>164.45</v>
      </c>
      <c r="P37" s="14">
        <f t="shared" si="33"/>
        <v>41.844617207687371</v>
      </c>
      <c r="Q37" s="22">
        <f t="shared" si="53"/>
        <v>359.29645830338882</v>
      </c>
      <c r="R37" s="62">
        <f t="shared" si="0"/>
        <v>652.62979163672208</v>
      </c>
      <c r="S37" s="62">
        <f ca="1">AVERAGE(OFFSET($R$3,0,0,'Données projet'!$E$9+1,1))-AVERAGE(OFFSET($H$3,0,0,'Données projet'!$E$9+1,1))</f>
        <v>232.18344481135546</v>
      </c>
      <c r="T37" s="62">
        <f t="shared" si="34"/>
        <v>227.64962876101072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14.118788187533232</v>
      </c>
      <c r="AA37" s="23">
        <f>EXP(-LN(2)/25)*AA36+(1-EXP(-LN(2)/25))/(LN(2)/25)*Calculateur!V37*Calculateur!X37*VLOOKUP('Données projet'!$B$9,Paramètres!$A$1:$I$89,3,0)*0.475*44/12</f>
        <v>15.724606365687807</v>
      </c>
      <c r="AB37" s="23">
        <f>EXP(-LN(2)/2)*AB36+(1-EXP(-LN(2)/2))/(LN(2)/2)*V37*Y37*VLOOKUP('Données projet'!$B$9,Paramètres!$A$1:$I$89,3,0)*0.475*44/12</f>
        <v>1.9949052061889527</v>
      </c>
      <c r="AC37" s="24">
        <f t="shared" si="3"/>
        <v>31.838299759409992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18.064999999999998</v>
      </c>
      <c r="N38" s="14">
        <f>IF('Données projet'!$A$36&gt;35,N37+M38-V37,IF(A38&lt;'Données projet'!$A$36,$K$205^A38,IF(A38='Données projet'!$A$36,'Données projet'!$B$36,N37+M38-V37)))</f>
        <v>293.06499999999994</v>
      </c>
      <c r="O38" s="14">
        <f>N38*VLOOKUP('Données projet'!$B$9,Paramètres!$A$1:$I$89,3,0)*VLOOKUP('Données projet'!$B$9,Paramètres!$A$1:$I$89,5,0)</f>
        <v>175.25286999999997</v>
      </c>
      <c r="P38" s="14">
        <f t="shared" si="33"/>
        <v>44.264399978038341</v>
      </c>
      <c r="Q38" s="22">
        <f t="shared" si="53"/>
        <v>382.32591187841672</v>
      </c>
      <c r="R38" s="62">
        <f t="shared" si="0"/>
        <v>675.65924521174998</v>
      </c>
      <c r="S38" s="62">
        <f ca="1">AVERAGE(OFFSET($R$3,0,0,'Données projet'!$E$9+1,1))-AVERAGE(OFFSET($H$3,0,0,'Données projet'!$E$9+1,1))</f>
        <v>232.18344481135546</v>
      </c>
      <c r="T38" s="62">
        <f t="shared" si="34"/>
        <v>227.64962876101072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13.841927362786175</v>
      </c>
      <c r="AA38" s="23">
        <f>EXP(-LN(2)/25)*AA37+(1-EXP(-LN(2)/25))/(LN(2)/25)*Calculateur!V38*Calculateur!X38*VLOOKUP('Données projet'!$B$9,Paramètres!$A$1:$I$89,3,0)*0.475*44/12</f>
        <v>15.294616177696964</v>
      </c>
      <c r="AB38" s="23">
        <f>EXP(-LN(2)/2)*AB37+(1-EXP(-LN(2)/2))/(LN(2)/2)*V38*Y38*VLOOKUP('Données projet'!$B$9,Paramètres!$A$1:$I$89,3,0)*0.475*44/12</f>
        <v>1.4106109991205564</v>
      </c>
      <c r="AC38" s="24">
        <f t="shared" si="3"/>
        <v>30.547154539603696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311.13</v>
      </c>
      <c r="L39" s="13">
        <f>VLOOKUP(A39,'Données projet'!$A$35:$I$55,9,0)</f>
        <v>18.064999999999998</v>
      </c>
      <c r="M39" s="13">
        <f t="array" ref="M39">INDEX(L:L,MIN(IF(ISNUMBER(L39:L235),ROW(L39:L235),"")))</f>
        <v>18.064999999999998</v>
      </c>
      <c r="N39" s="14">
        <f>IF('Données projet'!$A$36&gt;35,N38+M39-V38,IF(A39&lt;'Données projet'!$A$36,$K$205^A39,IF(A39='Données projet'!$A$36,'Données projet'!$B$36,N38+M39-V38)))</f>
        <v>311.12999999999994</v>
      </c>
      <c r="O39" s="14">
        <f>N39*VLOOKUP('Données projet'!$B$9,Paramètres!$A$1:$I$89,3,0)*VLOOKUP('Données projet'!$B$9,Paramètres!$A$1:$I$89,5,0)</f>
        <v>186.05573999999996</v>
      </c>
      <c r="P39" s="14">
        <f t="shared" si="33"/>
        <v>46.66687117215772</v>
      </c>
      <c r="Q39" s="22">
        <f t="shared" si="53"/>
        <v>405.32521445817457</v>
      </c>
      <c r="R39" s="62">
        <f t="shared" si="0"/>
        <v>698.65854779150789</v>
      </c>
      <c r="S39" s="62">
        <f ca="1">AVERAGE(OFFSET($R$3,0,0,'Données projet'!$E$9+1,1))-AVERAGE(OFFSET($H$3,0,0,'Données projet'!$E$9+1,1))</f>
        <v>232.18344481135546</v>
      </c>
      <c r="T39" s="62">
        <f t="shared" si="34"/>
        <v>227.64962876101072</v>
      </c>
      <c r="U39" s="16">
        <f>IF(ISNA(VLOOKUP(A39,'Données projet'!$A$35:$I$55,3,0)),0,VLOOKUP(A39,'Données projet'!$A$35:$I$55,3,0))</f>
        <v>4</v>
      </c>
      <c r="V39" s="16">
        <f>IF(ISNA(VLOOKUP(A39,'Données projet'!$A$35:$I$55,4,0)),0,VLOOKUP(A39,'Données projet'!$A$35:$I$55,4,0))</f>
        <v>76.069999999999993</v>
      </c>
      <c r="W39" s="17">
        <f>IF(ISNA(VLOOKUP(A39,'Données projet'!$A$35:$I$55,5,0)),0%,VLOOKUP(A39,'Données projet'!$A$35:$I$55,5,0)*VLOOKUP('Données projet'!$B$9,Paramètres!$A$1:$I$89,7,0))</f>
        <v>0.22500000000000001</v>
      </c>
      <c r="X39" s="17">
        <f>IF(ISNA(VLOOKUP(A39,'Données projet'!$A$35:$I$55,6,0)),0%,VLOOKUP(A39,'Données projet'!$A$35:$I$55,6,0)*VLOOKUP('Données projet'!$B$9,Paramètres!$A$1:$I$89,7,0))</f>
        <v>0.12600000000000003</v>
      </c>
      <c r="Y39" s="17">
        <f>IF(ISNA(VLOOKUP(A39,'Données projet'!$A$35:$I$55,7,0)),0%,VLOOKUP(A39,'Données projet'!$A$35:$I$55,7,0))</f>
        <v>0.22</v>
      </c>
      <c r="Z39" s="23">
        <f>EXP(-LN(2)/35)*Z38+(1-EXP(-LN(2)/35))/(LN(2)/35)*V39*W39*VLOOKUP('Données projet'!$B$9,Paramètres!$A$1:$I$89,3,0)*0.475*44/12</f>
        <v>27.148172665701185</v>
      </c>
      <c r="AA39" s="23">
        <f>EXP(-LN(2)/25)*AA38+(1-EXP(-LN(2)/25))/(LN(2)/25)*Calculateur!V39*Calculateur!X39*VLOOKUP('Données projet'!$B$9,Paramètres!$A$1:$I$89,3,0)*0.475*44/12</f>
        <v>22.449945371914289</v>
      </c>
      <c r="AB39" s="23">
        <f>EXP(-LN(2)/2)*AB38+(1-EXP(-LN(2)/2))/(LN(2)/2)*V39*Y39*VLOOKUP('Données projet'!$B$9,Paramètres!$A$1:$I$89,3,0)*0.475*44/12</f>
        <v>12.328572117525079</v>
      </c>
      <c r="AC39" s="24">
        <f t="shared" si="3"/>
        <v>61.926690155140555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16.544285714285714</v>
      </c>
      <c r="N40" s="14">
        <f>IF('Données projet'!$A$36&gt;35,N39+M40-V39,IF(A40&lt;'Données projet'!$A$36,$K$205^A40,IF(A40='Données projet'!$A$36,'Données projet'!$B$36,N39+M40-V39)))</f>
        <v>251.60428571428565</v>
      </c>
      <c r="O40" s="14">
        <f>N40*VLOOKUP('Données projet'!$B$9,Paramètres!$A$1:$I$89,3,0)*VLOOKUP('Données projet'!$B$9,Paramètres!$A$1:$I$89,5,0)</f>
        <v>150.45936285714282</v>
      </c>
      <c r="P40" s="14">
        <f t="shared" si="33"/>
        <v>38.682958893618306</v>
      </c>
      <c r="Q40" s="22">
        <f t="shared" si="53"/>
        <v>329.42287704924235</v>
      </c>
      <c r="R40" s="62">
        <f t="shared" si="0"/>
        <v>622.75621038257566</v>
      </c>
      <c r="S40" s="62">
        <f ca="1">AVERAGE(OFFSET($R$3,0,0,'Données projet'!$E$9+1,1))-AVERAGE(OFFSET($H$3,0,0,'Données projet'!$E$9+1,1))</f>
        <v>232.18344481135546</v>
      </c>
      <c r="T40" s="62">
        <f t="shared" si="34"/>
        <v>227.64962876101072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26.615813558477072</v>
      </c>
      <c r="AA40" s="23">
        <f>EXP(-LN(2)/25)*AA39+(1-EXP(-LN(2)/25))/(LN(2)/25)*Calculateur!V40*Calculateur!X40*VLOOKUP('Données projet'!$B$9,Paramètres!$A$1:$I$89,3,0)*0.475*44/12</f>
        <v>21.836050435127976</v>
      </c>
      <c r="AB40" s="23">
        <f>EXP(-LN(2)/2)*AB39+(1-EXP(-LN(2)/2))/(LN(2)/2)*V40*Y40*VLOOKUP('Données projet'!$B$9,Paramètres!$A$1:$I$89,3,0)*0.475*44/12</f>
        <v>8.7176169466493771</v>
      </c>
      <c r="AC40" s="24">
        <f t="shared" si="3"/>
        <v>57.169480940254424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16.544285714285714</v>
      </c>
      <c r="N41" s="14">
        <f>IF('Données projet'!$A$36&gt;35,N40+M41-V40,IF(A41&lt;'Données projet'!$A$36,$K$205^A41,IF(A41='Données projet'!$A$36,'Données projet'!$B$36,N40+M41-V40)))</f>
        <v>268.14857142857136</v>
      </c>
      <c r="O41" s="14">
        <f>N41*VLOOKUP('Données projet'!$B$9,Paramètres!$A$1:$I$89,3,0)*VLOOKUP('Données projet'!$B$9,Paramètres!$A$1:$I$89,5,0)</f>
        <v>160.35284571428568</v>
      </c>
      <c r="P41" s="14">
        <f t="shared" si="33"/>
        <v>40.922090536246834</v>
      </c>
      <c r="Q41" s="22">
        <f t="shared" si="53"/>
        <v>350.5538473030108</v>
      </c>
      <c r="R41" s="62">
        <f t="shared" si="0"/>
        <v>643.88718063634406</v>
      </c>
      <c r="S41" s="62">
        <f ca="1">AVERAGE(OFFSET($R$3,0,0,'Données projet'!$E$9+1,1))-AVERAGE(OFFSET($H$3,0,0,'Données projet'!$E$9+1,1))</f>
        <v>232.18344481135546</v>
      </c>
      <c r="T41" s="62">
        <f t="shared" si="34"/>
        <v>227.64962876101072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26.09389368863863</v>
      </c>
      <c r="AA41" s="23">
        <f>EXP(-LN(2)/25)*AA40+(1-EXP(-LN(2)/25))/(LN(2)/25)*Calculateur!V41*Calculateur!X41*VLOOKUP('Données projet'!$B$9,Paramètres!$A$1:$I$89,3,0)*0.475*44/12</f>
        <v>21.238942487671416</v>
      </c>
      <c r="AB41" s="23">
        <f>EXP(-LN(2)/2)*AB40+(1-EXP(-LN(2)/2))/(LN(2)/2)*V41*Y41*VLOOKUP('Données projet'!$B$9,Paramètres!$A$1:$I$89,3,0)*0.475*44/12</f>
        <v>6.1642860587625403</v>
      </c>
      <c r="AC41" s="24">
        <f t="shared" si="3"/>
        <v>53.497122235072588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16.544285714285714</v>
      </c>
      <c r="N42" s="14">
        <f>IF('Données projet'!$A$36&gt;35,N41+M42-V41,IF(A42&lt;'Données projet'!$A$36,$K$205^A42,IF(A42='Données projet'!$A$36,'Données projet'!$B$36,N41+M42-V41)))</f>
        <v>284.69285714285706</v>
      </c>
      <c r="O42" s="14">
        <f>N42*VLOOKUP('Données projet'!$B$9,Paramètres!$A$1:$I$89,3,0)*VLOOKUP('Données projet'!$B$9,Paramètres!$A$1:$I$89,5,0)</f>
        <v>170.24632857142853</v>
      </c>
      <c r="P42" s="14">
        <f t="shared" si="33"/>
        <v>43.145188341031265</v>
      </c>
      <c r="Q42" s="22">
        <f t="shared" si="53"/>
        <v>371.65689195586742</v>
      </c>
      <c r="R42" s="62">
        <f t="shared" si="0"/>
        <v>664.99022528920068</v>
      </c>
      <c r="S42" s="62">
        <f ca="1">AVERAGE(OFFSET($R$3,0,0,'Données projet'!$E$9+1,1))-AVERAGE(OFFSET($H$3,0,0,'Données projet'!$E$9+1,1))</f>
        <v>232.18344481135546</v>
      </c>
      <c r="T42" s="62">
        <f t="shared" si="34"/>
        <v>227.64962876101072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25.582208349108033</v>
      </c>
      <c r="AA42" s="23">
        <f>EXP(-LN(2)/25)*AA41+(1-EXP(-LN(2)/25))/(LN(2)/25)*Calculateur!V42*Calculateur!X42*VLOOKUP('Données projet'!$B$9,Paramètres!$A$1:$I$89,3,0)*0.475*44/12</f>
        <v>20.658162488438599</v>
      </c>
      <c r="AB42" s="23">
        <f>EXP(-LN(2)/2)*AB41+(1-EXP(-LN(2)/2))/(LN(2)/2)*V42*Y42*VLOOKUP('Données projet'!$B$9,Paramètres!$A$1:$I$89,3,0)*0.475*44/12</f>
        <v>4.3588084733246895</v>
      </c>
      <c r="AC42" s="24">
        <f t="shared" si="3"/>
        <v>50.599179310871321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16.544285714285714</v>
      </c>
      <c r="N43" s="14">
        <f>IF('Données projet'!$A$36&gt;35,N42+M43-V42,IF(A43&lt;'Données projet'!$A$36,$K$205^A43,IF(A43='Données projet'!$A$36,'Données projet'!$B$36,N42+M43-V42)))</f>
        <v>301.23714285714277</v>
      </c>
      <c r="O43" s="14">
        <f>N43*VLOOKUP('Données projet'!$B$9,Paramètres!$A$1:$I$89,3,0)*VLOOKUP('Données projet'!$B$9,Paramètres!$A$1:$I$89,5,0)</f>
        <v>180.13981142857139</v>
      </c>
      <c r="P43" s="14">
        <f t="shared" si="33"/>
        <v>45.353290227810433</v>
      </c>
      <c r="Q43" s="22">
        <f t="shared" si="53"/>
        <v>392.73381871819834</v>
      </c>
      <c r="R43" s="62">
        <f t="shared" si="0"/>
        <v>686.06715205153159</v>
      </c>
      <c r="S43" s="62">
        <f ca="1">AVERAGE(OFFSET($R$3,0,0,'Données projet'!$E$9+1,1))-AVERAGE(OFFSET($H$3,0,0,'Données projet'!$E$9+1,1))</f>
        <v>232.18344481135546</v>
      </c>
      <c r="T43" s="62">
        <f t="shared" si="34"/>
        <v>227.64962876101072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25.08055684698839</v>
      </c>
      <c r="AA43" s="23">
        <f>EXP(-LN(2)/25)*AA42+(1-EXP(-LN(2)/25))/(LN(2)/25)*Calculateur!V43*Calculateur!X43*VLOOKUP('Données projet'!$B$9,Paramètres!$A$1:$I$89,3,0)*0.475*44/12</f>
        <v>20.093263948826696</v>
      </c>
      <c r="AB43" s="23">
        <f>EXP(-LN(2)/2)*AB42+(1-EXP(-LN(2)/2))/(LN(2)/2)*V43*Y43*VLOOKUP('Données projet'!$B$9,Paramètres!$A$1:$I$89,3,0)*0.475*44/12</f>
        <v>3.0821430293812706</v>
      </c>
      <c r="AC43" s="24">
        <f t="shared" si="3"/>
        <v>48.255963825196361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16.544285714285714</v>
      </c>
      <c r="N44" s="14">
        <f>IF('Données projet'!$A$36&gt;35,N43+M44-V43,IF(A44&lt;'Données projet'!$A$36,$K$205^A44,IF(A44='Données projet'!$A$36,'Données projet'!$B$36,N43+M44-V43)))</f>
        <v>317.78142857142848</v>
      </c>
      <c r="O44" s="14">
        <f>N44*VLOOKUP('Données projet'!$B$9,Paramètres!$A$1:$I$89,3,0)*VLOOKUP('Données projet'!$B$9,Paramètres!$A$1:$I$89,5,0)</f>
        <v>190.03329428571425</v>
      </c>
      <c r="P44" s="14">
        <f t="shared" si="33"/>
        <v>47.547313670014375</v>
      </c>
      <c r="Q44" s="22">
        <f t="shared" si="53"/>
        <v>413.78622552289403</v>
      </c>
      <c r="R44" s="62">
        <f t="shared" si="0"/>
        <v>707.11955885622729</v>
      </c>
      <c r="S44" s="62">
        <f ca="1">AVERAGE(OFFSET($R$3,0,0,'Données projet'!$E$9+1,1))-AVERAGE(OFFSET($H$3,0,0,'Données projet'!$E$9+1,1))</f>
        <v>232.18344481135546</v>
      </c>
      <c r="T44" s="62">
        <f t="shared" si="34"/>
        <v>227.64962876101072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24.58874242484811</v>
      </c>
      <c r="AA44" s="23">
        <f>EXP(-LN(2)/25)*AA43+(1-EXP(-LN(2)/25))/(LN(2)/25)*Calculateur!V44*Calculateur!X44*VLOOKUP('Données projet'!$B$9,Paramètres!$A$1:$I$89,3,0)*0.475*44/12</f>
        <v>19.543812589487203</v>
      </c>
      <c r="AB44" s="23">
        <f>EXP(-LN(2)/2)*AB43+(1-EXP(-LN(2)/2))/(LN(2)/2)*V44*Y44*VLOOKUP('Données projet'!$B$9,Paramètres!$A$1:$I$89,3,0)*0.475*44/12</f>
        <v>2.1794042366623452</v>
      </c>
      <c r="AC44" s="24">
        <f t="shared" si="3"/>
        <v>46.311959250997653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16.544285714285714</v>
      </c>
      <c r="N45" s="14">
        <f>IF('Données projet'!$A$36&gt;35,N44+M45-V44,IF(A45&lt;'Données projet'!$A$36,$K$205^A45,IF(A45='Données projet'!$A$36,'Données projet'!$B$36,N44+M45-V44)))</f>
        <v>334.32571428571418</v>
      </c>
      <c r="O45" s="14">
        <f>N45*VLOOKUP('Données projet'!$B$9,Paramètres!$A$1:$I$89,3,0)*VLOOKUP('Données projet'!$B$9,Paramètres!$A$1:$I$89,5,0)</f>
        <v>199.92677714285711</v>
      </c>
      <c r="P45" s="14">
        <f t="shared" si="33"/>
        <v>49.728075214682342</v>
      </c>
      <c r="Q45" s="22">
        <f t="shared" si="53"/>
        <v>434.81553452271447</v>
      </c>
      <c r="R45" s="62">
        <f t="shared" si="0"/>
        <v>728.14886785604779</v>
      </c>
      <c r="S45" s="62">
        <f ca="1">AVERAGE(OFFSET($R$3,0,0,'Données projet'!$E$9+1,1))-AVERAGE(OFFSET($H$3,0,0,'Données projet'!$E$9+1,1))</f>
        <v>232.18344481135546</v>
      </c>
      <c r="T45" s="62">
        <f t="shared" si="34"/>
        <v>227.64962876101072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24.106572183548824</v>
      </c>
      <c r="AA45" s="23">
        <f>EXP(-LN(2)/25)*AA44+(1-EXP(-LN(2)/25))/(LN(2)/25)*Calculateur!V45*Calculateur!X45*VLOOKUP('Données projet'!$B$9,Paramètres!$A$1:$I$89,3,0)*0.475*44/12</f>
        <v>19.009386006463238</v>
      </c>
      <c r="AB45" s="23">
        <f>EXP(-LN(2)/2)*AB44+(1-EXP(-LN(2)/2))/(LN(2)/2)*V45*Y45*VLOOKUP('Données projet'!$B$9,Paramètres!$A$1:$I$89,3,0)*0.475*44/12</f>
        <v>1.5410715146906357</v>
      </c>
      <c r="AC45" s="24">
        <f t="shared" si="3"/>
        <v>44.657029704702701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>
        <f>VLOOKUP(A46,'Données projet'!$A$35:$I$55,2,0)</f>
        <v>350.87</v>
      </c>
      <c r="L46" s="13">
        <f>VLOOKUP(A46,'Données projet'!$A$35:$I$55,9,0)</f>
        <v>16.544285714285714</v>
      </c>
      <c r="M46" s="13">
        <f t="array" ref="M46">INDEX(L:L,MIN(IF(ISNUMBER(L46:L242),ROW(L46:L242),"")))</f>
        <v>16.544285714285714</v>
      </c>
      <c r="N46" s="14">
        <f>IF('Données projet'!$A$36&gt;35,N45+M46-V45,IF(A46&lt;'Données projet'!$A$36,$K$205^A46,IF(A46='Données projet'!$A$36,'Données projet'!$B$36,N45+M46-V45)))</f>
        <v>350.86999999999989</v>
      </c>
      <c r="O46" s="14">
        <f>N46*VLOOKUP('Données projet'!$B$9,Paramètres!$A$1:$I$89,3,0)*VLOOKUP('Données projet'!$B$9,Paramètres!$A$1:$I$89,5,0)</f>
        <v>209.82025999999996</v>
      </c>
      <c r="P46" s="14">
        <f t="shared" si="33"/>
        <v>51.89630602891846</v>
      </c>
      <c r="Q46" s="22">
        <f t="shared" si="53"/>
        <v>455.8230191670329</v>
      </c>
      <c r="R46" s="62">
        <f t="shared" si="0"/>
        <v>749.15635250036621</v>
      </c>
      <c r="S46" s="62">
        <f ca="1">AVERAGE(OFFSET($R$3,0,0,'Données projet'!$E$9+1,1))-AVERAGE(OFFSET($H$3,0,0,'Données projet'!$E$9+1,1))</f>
        <v>232.18344481135546</v>
      </c>
      <c r="T46" s="62">
        <f t="shared" si="34"/>
        <v>227.64962876101072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23.633857006586609</v>
      </c>
      <c r="AA46" s="23">
        <f>EXP(-LN(2)/25)*AA45+(1-EXP(-LN(2)/25))/(LN(2)/25)*Calculateur!V46*Calculateur!X46*VLOOKUP('Données projet'!$B$9,Paramètres!$A$1:$I$89,3,0)*0.475*44/12</f>
        <v>18.489573346456336</v>
      </c>
      <c r="AB46" s="23">
        <f>EXP(-LN(2)/2)*AB45+(1-EXP(-LN(2)/2))/(LN(2)/2)*V46*Y46*VLOOKUP('Données projet'!$B$9,Paramètres!$A$1:$I$89,3,0)*0.475*44/12</f>
        <v>1.0897021183311728</v>
      </c>
      <c r="AC46" s="24">
        <f t="shared" si="3"/>
        <v>43.213132471374124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367.35</v>
      </c>
      <c r="L47" s="13">
        <f>VLOOKUP(A47,'Données projet'!$A$35:$I$55,9,0)</f>
        <v>16.480000000000018</v>
      </c>
      <c r="M47" s="13">
        <f t="array" ref="M47">INDEX(L:L,MIN(IF(ISNUMBER(L47:L243),ROW(L47:L243),"")))</f>
        <v>16.480000000000018</v>
      </c>
      <c r="N47" s="14">
        <f>IF('Données projet'!$A$36&gt;35,N46+M47-V46,IF(A47&lt;'Données projet'!$A$36,$K$205^A47,IF(A47='Données projet'!$A$36,'Données projet'!$B$36,N46+M47-V46)))</f>
        <v>367.34999999999991</v>
      </c>
      <c r="O47" s="14">
        <f>N47*VLOOKUP('Données projet'!$B$9,Paramètres!$A$1:$I$89,3,0)*VLOOKUP('Données projet'!$B$9,Paramètres!$A$1:$I$89,5,0)</f>
        <v>219.67529999999996</v>
      </c>
      <c r="P47" s="14">
        <f t="shared" si="33"/>
        <v>54.044307714561441</v>
      </c>
      <c r="Q47" s="22">
        <f t="shared" si="53"/>
        <v>476.72831676952774</v>
      </c>
      <c r="R47" s="62">
        <f t="shared" si="0"/>
        <v>770.06165010286099</v>
      </c>
      <c r="S47" s="62">
        <f ca="1">AVERAGE(OFFSET($R$3,0,0,'Données projet'!$E$9+1,1))-AVERAGE(OFFSET($H$3,0,0,'Données projet'!$E$9+1,1))</f>
        <v>232.18344481135546</v>
      </c>
      <c r="T47" s="62">
        <f t="shared" si="34"/>
        <v>227.64962876101072</v>
      </c>
      <c r="U47" s="16">
        <f>IF(ISNA(VLOOKUP(A47,'Données projet'!$A$35:$I$55,3,0)),0,VLOOKUP(A47,'Données projet'!$A$35:$I$55,3,0))</f>
        <v>5</v>
      </c>
      <c r="V47" s="16">
        <f>IF(ISNA(VLOOKUP(A47,'Données projet'!$A$35:$I$55,4,0)),0,VLOOKUP(A47,'Données projet'!$A$35:$I$55,4,0))</f>
        <v>77.91</v>
      </c>
      <c r="W47" s="17">
        <f>IF(ISNA(VLOOKUP(A47,'Données projet'!$A$35:$I$55,5,0)),0%,VLOOKUP(A47,'Données projet'!$A$35:$I$55,5,0)*VLOOKUP('Données projet'!$B$9,Paramètres!$A$1:$I$89,7,0))</f>
        <v>0.27</v>
      </c>
      <c r="X47" s="17">
        <f>IF(ISNA(VLOOKUP(A47,'Données projet'!$A$35:$I$55,6,0)),0%,VLOOKUP(A47,'Données projet'!$A$35:$I$55,6,0)*VLOOKUP('Données projet'!$B$9,Paramètres!$A$1:$I$89,7,0))</f>
        <v>9.9000000000000005E-2</v>
      </c>
      <c r="Y47" s="17">
        <f>IF(ISNA(VLOOKUP(A47,'Données projet'!$A$35:$I$55,7,0)),0%,VLOOKUP(A47,'Données projet'!$A$35:$I$55,7,0))</f>
        <v>0.18</v>
      </c>
      <c r="Z47" s="23">
        <f>EXP(-LN(2)/35)*Z46+(1-EXP(-LN(2)/35))/(LN(2)/35)*V47*W47*VLOOKUP('Données projet'!$B$9,Paramètres!$A$1:$I$89,3,0)*0.475*44/12</f>
        <v>39.857728211259975</v>
      </c>
      <c r="AA47" s="23">
        <f>EXP(-LN(2)/25)*AA46+(1-EXP(-LN(2)/25))/(LN(2)/25)*Calculateur!V47*Calculateur!X47*VLOOKUP('Données projet'!$B$9,Paramètres!$A$1:$I$89,3,0)*0.475*44/12</f>
        <v>24.078566204683831</v>
      </c>
      <c r="AB47" s="23">
        <f>EXP(-LN(2)/2)*AB46+(1-EXP(-LN(2)/2))/(LN(2)/2)*V47*Y47*VLOOKUP('Données projet'!$B$9,Paramètres!$A$1:$I$89,3,0)*0.475*44/12</f>
        <v>10.265698935188206</v>
      </c>
      <c r="AC47" s="24">
        <f t="shared" si="3"/>
        <v>74.201993351132018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14.64374999999999</v>
      </c>
      <c r="N48" s="14">
        <f>IF('Données projet'!$A$36&gt;35,N47+M48-V47,IF(A48&lt;'Données projet'!$A$36,$K$205^A48,IF(A48='Données projet'!$A$36,'Données projet'!$B$36,N47+M48-V47)))</f>
        <v>304.0837499999999</v>
      </c>
      <c r="O48" s="14">
        <f>N48*VLOOKUP('Données projet'!$B$9,Paramètres!$A$1:$I$89,3,0)*VLOOKUP('Données projet'!$B$9,Paramètres!$A$1:$I$89,5,0)</f>
        <v>181.84208249999998</v>
      </c>
      <c r="P48" s="14">
        <f t="shared" si="33"/>
        <v>45.731772411922861</v>
      </c>
      <c r="Q48" s="22">
        <f t="shared" si="53"/>
        <v>396.35779730493226</v>
      </c>
      <c r="R48" s="62">
        <f t="shared" si="0"/>
        <v>689.69113063826558</v>
      </c>
      <c r="S48" s="62">
        <f ca="1">AVERAGE(OFFSET($R$3,0,0,'Données projet'!$E$9+1,1))-AVERAGE(OFFSET($H$3,0,0,'Données projet'!$E$9+1,1))</f>
        <v>232.18344481135546</v>
      </c>
      <c r="T48" s="62">
        <f t="shared" si="34"/>
        <v>227.64962876101072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39.076142471850879</v>
      </c>
      <c r="AA48" s="23">
        <f>EXP(-LN(2)/25)*AA47+(1-EXP(-LN(2)/25))/(LN(2)/25)*Calculateur!V48*Calculateur!X48*VLOOKUP('Données projet'!$B$9,Paramètres!$A$1:$I$89,3,0)*0.475*44/12</f>
        <v>23.420136545579986</v>
      </c>
      <c r="AB48" s="23">
        <f>EXP(-LN(2)/2)*AB47+(1-EXP(-LN(2)/2))/(LN(2)/2)*V48*Y48*VLOOKUP('Données projet'!$B$9,Paramètres!$A$1:$I$89,3,0)*0.475*44/12</f>
        <v>7.2589453306911018</v>
      </c>
      <c r="AC48" s="24">
        <f t="shared" si="3"/>
        <v>69.75522434812197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14.64374999999999</v>
      </c>
      <c r="N49" s="14">
        <f>IF('Données projet'!$A$36&gt;35,N48+M49-V48,IF(A49&lt;'Données projet'!$A$36,$K$205^A49,IF(A49='Données projet'!$A$36,'Données projet'!$B$36,N48+M49-V48)))</f>
        <v>318.72749999999991</v>
      </c>
      <c r="O49" s="14">
        <f>N49*VLOOKUP('Données projet'!$B$9,Paramètres!$A$1:$I$89,3,0)*VLOOKUP('Données projet'!$B$9,Paramètres!$A$1:$I$89,5,0)</f>
        <v>190.59904499999996</v>
      </c>
      <c r="P49" s="14">
        <f t="shared" si="33"/>
        <v>47.672368921426973</v>
      </c>
      <c r="Q49" s="22">
        <f t="shared" si="53"/>
        <v>414.98937924648521</v>
      </c>
      <c r="R49" s="62">
        <f t="shared" si="0"/>
        <v>708.32271257981847</v>
      </c>
      <c r="S49" s="62">
        <f ca="1">AVERAGE(OFFSET($R$3,0,0,'Données projet'!$E$9+1,1))-AVERAGE(OFFSET($H$3,0,0,'Données projet'!$E$9+1,1))</f>
        <v>232.18344481135546</v>
      </c>
      <c r="T49" s="62">
        <f t="shared" si="34"/>
        <v>227.64962876101072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38.309883152071372</v>
      </c>
      <c r="AA49" s="23">
        <f>EXP(-LN(2)/25)*AA48+(1-EXP(-LN(2)/25))/(LN(2)/25)*Calculateur!V49*Calculateur!X49*VLOOKUP('Données projet'!$B$9,Paramètres!$A$1:$I$89,3,0)*0.475*44/12</f>
        <v>22.779711680129648</v>
      </c>
      <c r="AB49" s="23">
        <f>EXP(-LN(2)/2)*AB48+(1-EXP(-LN(2)/2))/(LN(2)/2)*V49*Y49*VLOOKUP('Données projet'!$B$9,Paramètres!$A$1:$I$89,3,0)*0.475*44/12</f>
        <v>5.1328494675941041</v>
      </c>
      <c r="AC49" s="24">
        <f t="shared" si="3"/>
        <v>66.222444299795114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14.64374999999999</v>
      </c>
      <c r="N50" s="14">
        <f>IF('Données projet'!$A$36&gt;35,N49+M50-V49,IF(A50&lt;'Données projet'!$A$36,$K$205^A50,IF(A50='Données projet'!$A$36,'Données projet'!$B$36,N49+M50-V49)))</f>
        <v>333.37124999999992</v>
      </c>
      <c r="O50" s="14">
        <f>N50*VLOOKUP('Données projet'!$B$9,Paramètres!$A$1:$I$89,3,0)*VLOOKUP('Données projet'!$B$9,Paramètres!$A$1:$I$89,5,0)</f>
        <v>199.35600749999998</v>
      </c>
      <c r="P50" s="14">
        <f t="shared" si="33"/>
        <v>49.602611110771242</v>
      </c>
      <c r="Q50" s="22">
        <f t="shared" si="53"/>
        <v>433.6029274137598</v>
      </c>
      <c r="R50" s="62">
        <f t="shared" si="0"/>
        <v>726.93626074709312</v>
      </c>
      <c r="S50" s="62">
        <f ca="1">AVERAGE(OFFSET($R$3,0,0,'Données projet'!$E$9+1,1))-AVERAGE(OFFSET($H$3,0,0,'Données projet'!$E$9+1,1))</f>
        <v>232.18344481135546</v>
      </c>
      <c r="T50" s="62">
        <f t="shared" si="34"/>
        <v>227.64962876101072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37.558649710180703</v>
      </c>
      <c r="AA50" s="23">
        <f>EXP(-LN(2)/25)*AA49+(1-EXP(-LN(2)/25))/(LN(2)/25)*Calculateur!V50*Calculateur!X50*VLOOKUP('Données projet'!$B$9,Paramètres!$A$1:$I$89,3,0)*0.475*44/12</f>
        <v>22.15679926630353</v>
      </c>
      <c r="AB50" s="23">
        <f>EXP(-LN(2)/2)*AB49+(1-EXP(-LN(2)/2))/(LN(2)/2)*V50*Y50*VLOOKUP('Données projet'!$B$9,Paramètres!$A$1:$I$89,3,0)*0.475*44/12</f>
        <v>3.6294726653455514</v>
      </c>
      <c r="AC50" s="24">
        <f t="shared" si="3"/>
        <v>63.344921641829785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14.64374999999999</v>
      </c>
      <c r="N51" s="14">
        <f>IF('Données projet'!$A$36&gt;35,N50+M51-V50,IF(A51&lt;'Données projet'!$A$36,$K$205^A51,IF(A51='Données projet'!$A$36,'Données projet'!$B$36,N50+M51-V50)))</f>
        <v>348.01499999999993</v>
      </c>
      <c r="O51" s="14">
        <f>N51*VLOOKUP('Données projet'!$B$9,Paramètres!$A$1:$I$89,3,0)*VLOOKUP('Données projet'!$B$9,Paramètres!$A$1:$I$89,5,0)</f>
        <v>208.11296999999999</v>
      </c>
      <c r="P51" s="14">
        <f t="shared" si="33"/>
        <v>51.52300578513217</v>
      </c>
      <c r="Q51" s="22">
        <f t="shared" si="53"/>
        <v>452.19932449243839</v>
      </c>
      <c r="R51" s="62">
        <f t="shared" si="0"/>
        <v>745.53265782577171</v>
      </c>
      <c r="S51" s="62">
        <f ca="1">AVERAGE(OFFSET($R$3,0,0,'Données projet'!$E$9+1,1))-AVERAGE(OFFSET($H$3,0,0,'Données projet'!$E$9+1,1))</f>
        <v>232.18344481135546</v>
      </c>
      <c r="T51" s="62">
        <f t="shared" si="34"/>
        <v>227.64962876101072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36.822147497878355</v>
      </c>
      <c r="AA51" s="23">
        <f>EXP(-LN(2)/25)*AA50+(1-EXP(-LN(2)/25))/(LN(2)/25)*Calculateur!V51*Calculateur!X51*VLOOKUP('Données projet'!$B$9,Paramètres!$A$1:$I$89,3,0)*0.475*44/12</f>
        <v>21.550920425191027</v>
      </c>
      <c r="AB51" s="23">
        <f>EXP(-LN(2)/2)*AB50+(1-EXP(-LN(2)/2))/(LN(2)/2)*V51*Y51*VLOOKUP('Données projet'!$B$9,Paramètres!$A$1:$I$89,3,0)*0.475*44/12</f>
        <v>2.5664247337970525</v>
      </c>
      <c r="AC51" s="24">
        <f t="shared" si="3"/>
        <v>60.939492656866435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14.64374999999999</v>
      </c>
      <c r="N52" s="14">
        <f>IF('Données projet'!$A$36&gt;35,N51+M52-V51,IF(A52&lt;'Données projet'!$A$36,$K$205^A52,IF(A52='Données projet'!$A$36,'Données projet'!$B$36,N51+M52-V51)))</f>
        <v>362.65874999999994</v>
      </c>
      <c r="O52" s="14">
        <f>N52*VLOOKUP('Données projet'!$B$9,Paramètres!$A$1:$I$89,3,0)*VLOOKUP('Données projet'!$B$9,Paramètres!$A$1:$I$89,5,0)</f>
        <v>216.86993249999998</v>
      </c>
      <c r="P52" s="14">
        <f t="shared" si="33"/>
        <v>53.434014686329654</v>
      </c>
      <c r="Q52" s="22">
        <f t="shared" si="53"/>
        <v>470.77937468285745</v>
      </c>
      <c r="R52" s="62">
        <f t="shared" si="0"/>
        <v>764.11270801619071</v>
      </c>
      <c r="S52" s="62">
        <f ca="1">AVERAGE(OFFSET($R$3,0,0,'Données projet'!$E$9+1,1))-AVERAGE(OFFSET($H$3,0,0,'Données projet'!$E$9+1,1))</f>
        <v>232.18344481135546</v>
      </c>
      <c r="T52" s="62">
        <f t="shared" si="34"/>
        <v>227.64962876101072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36.100087644737265</v>
      </c>
      <c r="AA52" s="23">
        <f>EXP(-LN(2)/25)*AA51+(1-EXP(-LN(2)/25))/(LN(2)/25)*Calculateur!V52*Calculateur!X52*VLOOKUP('Données projet'!$B$9,Paramètres!$A$1:$I$89,3,0)*0.475*44/12</f>
        <v>20.961609372850528</v>
      </c>
      <c r="AB52" s="23">
        <f>EXP(-LN(2)/2)*AB51+(1-EXP(-LN(2)/2))/(LN(2)/2)*V52*Y52*VLOOKUP('Données projet'!$B$9,Paramètres!$A$1:$I$89,3,0)*0.475*44/12</f>
        <v>1.8147363326727759</v>
      </c>
      <c r="AC52" s="24">
        <f t="shared" si="3"/>
        <v>58.876433350260562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14.64374999999999</v>
      </c>
      <c r="N53" s="14">
        <f>IF('Données projet'!$A$36&gt;35,N52+M53-V52,IF(A53&lt;'Données projet'!$A$36,$K$205^A53,IF(A53='Données projet'!$A$36,'Données projet'!$B$36,N52+M53-V52)))</f>
        <v>377.30249999999995</v>
      </c>
      <c r="O53" s="14">
        <f>N53*VLOOKUP('Données projet'!$B$9,Paramètres!$A$1:$I$89,3,0)*VLOOKUP('Données projet'!$B$9,Paramètres!$A$1:$I$89,5,0)</f>
        <v>225.62689499999999</v>
      </c>
      <c r="P53" s="14">
        <f t="shared" si="33"/>
        <v>55.336060156511813</v>
      </c>
      <c r="Q53" s="22">
        <f t="shared" si="53"/>
        <v>489.34381356425803</v>
      </c>
      <c r="R53" s="62">
        <f t="shared" si="0"/>
        <v>782.67714689759134</v>
      </c>
      <c r="S53" s="62">
        <f ca="1">AVERAGE(OFFSET($R$3,0,0,'Données projet'!$E$9+1,1))-AVERAGE(OFFSET($H$3,0,0,'Données projet'!$E$9+1,1))</f>
        <v>232.18344481135546</v>
      </c>
      <c r="T53" s="62">
        <f t="shared" si="34"/>
        <v>227.64962876101072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35.392186944903244</v>
      </c>
      <c r="AA53" s="23">
        <f>EXP(-LN(2)/25)*AA52+(1-EXP(-LN(2)/25))/(LN(2)/25)*Calculateur!V53*Calculateur!X53*VLOOKUP('Données projet'!$B$9,Paramètres!$A$1:$I$89,3,0)*0.475*44/12</f>
        <v>20.388413062226803</v>
      </c>
      <c r="AB53" s="23">
        <f>EXP(-LN(2)/2)*AB52+(1-EXP(-LN(2)/2))/(LN(2)/2)*V53*Y53*VLOOKUP('Données projet'!$B$9,Paramètres!$A$1:$I$89,3,0)*0.475*44/12</f>
        <v>1.2832123668985262</v>
      </c>
      <c r="AC53" s="24">
        <f t="shared" si="3"/>
        <v>57.063812374028572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14.64374999999999</v>
      </c>
      <c r="N54" s="14">
        <f>IF('Données projet'!$A$36&gt;35,N53+M54-V53,IF(A54&lt;'Données projet'!$A$36,$K$205^A54,IF(A54='Données projet'!$A$36,'Données projet'!$B$36,N53+M54-V53)))</f>
        <v>391.94624999999996</v>
      </c>
      <c r="O54" s="14">
        <f>N54*VLOOKUP('Données projet'!$B$9,Paramètres!$A$1:$I$89,3,0)*VLOOKUP('Données projet'!$B$9,Paramètres!$A$1:$I$89,5,0)</f>
        <v>234.3838575</v>
      </c>
      <c r="P54" s="14">
        <f t="shared" si="33"/>
        <v>57.229529897835612</v>
      </c>
      <c r="Q54" s="22">
        <f t="shared" si="53"/>
        <v>507.89331638456366</v>
      </c>
      <c r="R54" s="62">
        <f t="shared" si="0"/>
        <v>801.22664971789698</v>
      </c>
      <c r="S54" s="62">
        <f ca="1">AVERAGE(OFFSET($R$3,0,0,'Données projet'!$E$9+1,1))-AVERAGE(OFFSET($H$3,0,0,'Données projet'!$E$9+1,1))</f>
        <v>232.18344481135546</v>
      </c>
      <c r="T54" s="62">
        <f t="shared" si="34"/>
        <v>227.64962876101072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34.698167746016182</v>
      </c>
      <c r="AA54" s="23">
        <f>EXP(-LN(2)/25)*AA53+(1-EXP(-LN(2)/25))/(LN(2)/25)*Calculateur!V54*Calculateur!X54*VLOOKUP('Données projet'!$B$9,Paramètres!$A$1:$I$89,3,0)*0.475*44/12</f>
        <v>19.830890834860167</v>
      </c>
      <c r="AB54" s="23">
        <f>EXP(-LN(2)/2)*AB53+(1-EXP(-LN(2)/2))/(LN(2)/2)*V54*Y54*VLOOKUP('Données projet'!$B$9,Paramètres!$A$1:$I$89,3,0)*0.475*44/12</f>
        <v>0.90736816633638795</v>
      </c>
      <c r="AC54" s="24">
        <f t="shared" si="3"/>
        <v>55.436426747212742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>
        <f>VLOOKUP(A55,'Données projet'!$A$35:$I$55,2,0)</f>
        <v>406.59</v>
      </c>
      <c r="L55" s="13">
        <f>VLOOKUP(A55,'Données projet'!$A$35:$I$55,9,0)</f>
        <v>14.64374999999999</v>
      </c>
      <c r="M55" s="13">
        <f t="array" ref="M55">INDEX(L:L,MIN(IF(ISNUMBER(L55:L251),ROW(L55:L251),"")))</f>
        <v>14.64374999999999</v>
      </c>
      <c r="N55" s="14">
        <f>IF('Données projet'!$A$36&gt;35,N54+M55-V54,IF(A55&lt;'Données projet'!$A$36,$K$205^A55,IF(A55='Données projet'!$A$36,'Données projet'!$B$36,N54+M55-V54)))</f>
        <v>406.59</v>
      </c>
      <c r="O55" s="14">
        <f>N55*VLOOKUP('Données projet'!$B$9,Paramètres!$A$1:$I$89,3,0)*VLOOKUP('Données projet'!$B$9,Paramètres!$A$1:$I$89,5,0)</f>
        <v>243.14081999999999</v>
      </c>
      <c r="P55" s="14">
        <f t="shared" si="33"/>
        <v>59.114781000830845</v>
      </c>
      <c r="Q55" s="22">
        <f t="shared" si="53"/>
        <v>526.42850507644698</v>
      </c>
      <c r="R55" s="62">
        <f t="shared" si="0"/>
        <v>819.76183840978024</v>
      </c>
      <c r="S55" s="62">
        <f ca="1">AVERAGE(OFFSET($R$3,0,0,'Données projet'!$E$9+1,1))-AVERAGE(OFFSET($H$3,0,0,'Données projet'!$E$9+1,1))</f>
        <v>232.18344481135546</v>
      </c>
      <c r="T55" s="62">
        <f t="shared" si="34"/>
        <v>227.64962876101072</v>
      </c>
      <c r="U55" s="16">
        <f>IF(ISNA(VLOOKUP(A55,'Données projet'!$A$35:$I$55,3,0)),0,VLOOKUP(A55,'Données projet'!$A$35:$I$55,3,0))</f>
        <v>6</v>
      </c>
      <c r="V55" s="16">
        <f>IF(ISNA(VLOOKUP(A55,'Données projet'!$A$35:$I$55,4,0)),0,VLOOKUP(A55,'Données projet'!$A$35:$I$55,4,0))</f>
        <v>75.37</v>
      </c>
      <c r="W55" s="17">
        <f>IF(ISNA(VLOOKUP(A55,'Données projet'!$A$35:$I$55,5,0)),0%,VLOOKUP(A55,'Données projet'!$A$35:$I$55,5,0)*VLOOKUP('Données projet'!$B$9,Paramètres!$A$1:$I$89,7,0))</f>
        <v>0.315</v>
      </c>
      <c r="X55" s="17">
        <f>IF(ISNA(VLOOKUP(A55,'Données projet'!$A$35:$I$55,6,0)),0%,VLOOKUP(A55,'Données projet'!$A$35:$I$55,6,0)*VLOOKUP('Données projet'!$B$9,Paramètres!$A$1:$I$89,7,0))</f>
        <v>7.6500000000000012E-2</v>
      </c>
      <c r="Y55" s="17">
        <f>IF(ISNA(VLOOKUP(A55,'Données projet'!$A$35:$I$55,7,0)),0%,VLOOKUP(A55,'Données projet'!$A$35:$I$55,7,0))</f>
        <v>0.13</v>
      </c>
      <c r="Z55" s="23">
        <f>EXP(-LN(2)/35)*Z54+(1-EXP(-LN(2)/35))/(LN(2)/35)*V55*W55*VLOOKUP('Données projet'!$B$9,Paramètres!$A$1:$I$89,3,0)*0.475*44/12</f>
        <v>52.851586255839663</v>
      </c>
      <c r="AA55" s="23">
        <f>EXP(-LN(2)/25)*AA54+(1-EXP(-LN(2)/25))/(LN(2)/25)*Calculateur!V55*Calculateur!X55*VLOOKUP('Données projet'!$B$9,Paramètres!$A$1:$I$89,3,0)*0.475*44/12</f>
        <v>23.844534535915706</v>
      </c>
      <c r="AB55" s="23">
        <f>EXP(-LN(2)/2)*AB54+(1-EXP(-LN(2)/2))/(LN(2)/2)*V55*Y55*VLOOKUP('Données projet'!$B$9,Paramètres!$A$1:$I$89,3,0)*0.475*44/12</f>
        <v>7.2756538975369143</v>
      </c>
      <c r="AC55" s="24">
        <f t="shared" si="3"/>
        <v>83.971774689292275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13.14</v>
      </c>
      <c r="N56" s="14">
        <f>IF('Données projet'!$A$36&gt;35,N55+M56-V55,IF(A56&lt;'Données projet'!$A$36,$K$205^A56,IF(A56='Données projet'!$A$36,'Données projet'!$B$36,N55+M56-V55)))</f>
        <v>344.35999999999996</v>
      </c>
      <c r="O56" s="14">
        <f>N56*VLOOKUP('Données projet'!$B$9,Paramètres!$A$1:$I$89,3,0)*VLOOKUP('Données projet'!$B$9,Paramètres!$A$1:$I$89,5,0)</f>
        <v>205.92728</v>
      </c>
      <c r="P56" s="14">
        <f t="shared" si="33"/>
        <v>51.04458202864172</v>
      </c>
      <c r="Q56" s="22">
        <f t="shared" si="53"/>
        <v>447.55932636655098</v>
      </c>
      <c r="R56" s="62">
        <f t="shared" si="0"/>
        <v>740.89265969988423</v>
      </c>
      <c r="S56" s="62">
        <f ca="1">AVERAGE(OFFSET($R$3,0,0,'Données projet'!$E$9+1,1))-AVERAGE(OFFSET($H$3,0,0,'Données projet'!$E$9+1,1))</f>
        <v>232.18344481135546</v>
      </c>
      <c r="T56" s="62">
        <f t="shared" si="34"/>
        <v>227.64962876101072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51.815198885647192</v>
      </c>
      <c r="AA56" s="23">
        <f>EXP(-LN(2)/25)*AA55+(1-EXP(-LN(2)/25))/(LN(2)/25)*Calculateur!V56*Calculateur!X56*VLOOKUP('Données projet'!$B$9,Paramètres!$A$1:$I$89,3,0)*0.475*44/12</f>
        <v>23.192504485101516</v>
      </c>
      <c r="AB56" s="23">
        <f>EXP(-LN(2)/2)*AB55+(1-EXP(-LN(2)/2))/(LN(2)/2)*V56*Y56*VLOOKUP('Données projet'!$B$9,Paramètres!$A$1:$I$89,3,0)*0.475*44/12</f>
        <v>5.144664208514687</v>
      </c>
      <c r="AC56" s="24">
        <f t="shared" si="3"/>
        <v>80.152367579263398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13.14</v>
      </c>
      <c r="N57" s="14">
        <f>IF('Données projet'!$A$36&gt;35,N56+M57-V56,IF(A57&lt;'Données projet'!$A$36,$K$205^A57,IF(A57='Données projet'!$A$36,'Données projet'!$B$36,N56+M57-V56)))</f>
        <v>357.49999999999994</v>
      </c>
      <c r="O57" s="14">
        <f>N57*VLOOKUP('Données projet'!$B$9,Paramètres!$A$1:$I$89,3,0)*VLOOKUP('Données projet'!$B$9,Paramètres!$A$1:$I$89,5,0)</f>
        <v>213.785</v>
      </c>
      <c r="P57" s="14">
        <f t="shared" si="33"/>
        <v>52.761841557402377</v>
      </c>
      <c r="Q57" s="22">
        <f t="shared" si="53"/>
        <v>464.23574904580914</v>
      </c>
      <c r="R57" s="62">
        <f t="shared" si="0"/>
        <v>757.5690823791424</v>
      </c>
      <c r="S57" s="62">
        <f ca="1">AVERAGE(OFFSET($R$3,0,0,'Données projet'!$E$9+1,1))-AVERAGE(OFFSET($H$3,0,0,'Données projet'!$E$9+1,1))</f>
        <v>232.18344481135546</v>
      </c>
      <c r="T57" s="62">
        <f t="shared" si="34"/>
        <v>227.64962876101072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50.799134439650317</v>
      </c>
      <c r="AA57" s="23">
        <f>EXP(-LN(2)/25)*AA56+(1-EXP(-LN(2)/25))/(LN(2)/25)*Calculateur!V57*Calculateur!X57*VLOOKUP('Données projet'!$B$9,Paramètres!$A$1:$I$89,3,0)*0.475*44/12</f>
        <v>22.55830423031561</v>
      </c>
      <c r="AB57" s="23">
        <f>EXP(-LN(2)/2)*AB56+(1-EXP(-LN(2)/2))/(LN(2)/2)*V57*Y57*VLOOKUP('Données projet'!$B$9,Paramètres!$A$1:$I$89,3,0)*0.475*44/12</f>
        <v>3.6378269487684576</v>
      </c>
      <c r="AC57" s="24">
        <f t="shared" si="3"/>
        <v>76.995265618734393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13.14</v>
      </c>
      <c r="N58" s="14">
        <f>IF('Données projet'!$A$36&gt;35,N57+M58-V57,IF(A58&lt;'Données projet'!$A$36,$K$205^A58,IF(A58='Données projet'!$A$36,'Données projet'!$B$36,N57+M58-V57)))</f>
        <v>370.63999999999993</v>
      </c>
      <c r="O58" s="14">
        <f>N58*VLOOKUP('Données projet'!$B$9,Paramètres!$A$1:$I$89,3,0)*VLOOKUP('Données projet'!$B$9,Paramètres!$A$1:$I$89,5,0)</f>
        <v>221.64272</v>
      </c>
      <c r="P58" s="14">
        <f t="shared" si="33"/>
        <v>54.471768066609272</v>
      </c>
      <c r="Q58" s="22">
        <f t="shared" si="53"/>
        <v>480.89940004934442</v>
      </c>
      <c r="R58" s="62">
        <f t="shared" si="0"/>
        <v>774.23273338267768</v>
      </c>
      <c r="S58" s="62">
        <f ca="1">AVERAGE(OFFSET($R$3,0,0,'Données projet'!$E$9+1,1))-AVERAGE(OFFSET($H$3,0,0,'Données projet'!$E$9+1,1))</f>
        <v>232.18344481135546</v>
      </c>
      <c r="T58" s="62">
        <f t="shared" si="34"/>
        <v>227.64962876101072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49.802994397701326</v>
      </c>
      <c r="AA58" s="23">
        <f>EXP(-LN(2)/25)*AA57+(1-EXP(-LN(2)/25))/(LN(2)/25)*Calculateur!V58*Calculateur!X58*VLOOKUP('Données projet'!$B$9,Paramètres!$A$1:$I$89,3,0)*0.475*44/12</f>
        <v>21.941446214847968</v>
      </c>
      <c r="AB58" s="23">
        <f>EXP(-LN(2)/2)*AB57+(1-EXP(-LN(2)/2))/(LN(2)/2)*V58*Y58*VLOOKUP('Données projet'!$B$9,Paramètres!$A$1:$I$89,3,0)*0.475*44/12</f>
        <v>2.5723321042573439</v>
      </c>
      <c r="AC58" s="24">
        <f t="shared" si="3"/>
        <v>74.316772716806639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13.14</v>
      </c>
      <c r="N59" s="14">
        <f>IF('Données projet'!$A$36&gt;35,N58+M59-V58,IF(A59&lt;'Données projet'!$A$36,$K$205^A59,IF(A59='Données projet'!$A$36,'Données projet'!$B$36,N58+M59-V58)))</f>
        <v>383.77999999999992</v>
      </c>
      <c r="O59" s="14">
        <f>N59*VLOOKUP('Données projet'!$B$9,Paramètres!$A$1:$I$89,3,0)*VLOOKUP('Données projet'!$B$9,Paramètres!$A$1:$I$89,5,0)</f>
        <v>229.50043999999997</v>
      </c>
      <c r="P59" s="14">
        <f t="shared" si="33"/>
        <v>56.174651313961498</v>
      </c>
      <c r="Q59" s="22">
        <f t="shared" si="53"/>
        <v>497.55078403848285</v>
      </c>
      <c r="R59" s="62">
        <f t="shared" si="0"/>
        <v>790.88411737181616</v>
      </c>
      <c r="S59" s="62">
        <f ca="1">AVERAGE(OFFSET($R$3,0,0,'Données projet'!$E$9+1,1))-AVERAGE(OFFSET($H$3,0,0,'Données projet'!$E$9+1,1))</f>
        <v>232.18344481135546</v>
      </c>
      <c r="T59" s="62">
        <f t="shared" si="34"/>
        <v>227.64962876101072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48.826388054389525</v>
      </c>
      <c r="AA59" s="23">
        <f>EXP(-LN(2)/25)*AA58+(1-EXP(-LN(2)/25))/(LN(2)/25)*Calculateur!V59*Calculateur!X59*VLOOKUP('Données projet'!$B$9,Paramètres!$A$1:$I$89,3,0)*0.475*44/12</f>
        <v>21.341456214252442</v>
      </c>
      <c r="AB59" s="23">
        <f>EXP(-LN(2)/2)*AB58+(1-EXP(-LN(2)/2))/(LN(2)/2)*V59*Y59*VLOOKUP('Données projet'!$B$9,Paramètres!$A$1:$I$89,3,0)*0.475*44/12</f>
        <v>1.8189134743842292</v>
      </c>
      <c r="AC59" s="24">
        <f t="shared" si="3"/>
        <v>71.986757743026203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13.14</v>
      </c>
      <c r="N60" s="14">
        <f>IF('Données projet'!$A$36&gt;35,N59+M60-V59,IF(A60&lt;'Données projet'!$A$36,$K$205^A60,IF(A60='Données projet'!$A$36,'Données projet'!$B$36,N59+M60-V59)))</f>
        <v>396.9199999999999</v>
      </c>
      <c r="O60" s="14">
        <f>N60*VLOOKUP('Données projet'!$B$9,Paramètres!$A$1:$I$89,3,0)*VLOOKUP('Données projet'!$B$9,Paramètres!$A$1:$I$89,5,0)</f>
        <v>237.35815999999997</v>
      </c>
      <c r="P60" s="14">
        <f t="shared" si="33"/>
        <v>57.870760090028412</v>
      </c>
      <c r="Q60" s="22">
        <f t="shared" si="53"/>
        <v>514.19036915679942</v>
      </c>
      <c r="R60" s="62">
        <f t="shared" si="0"/>
        <v>807.52370249013279</v>
      </c>
      <c r="S60" s="62">
        <f ca="1">AVERAGE(OFFSET($R$3,0,0,'Données projet'!$E$9+1,1))-AVERAGE(OFFSET($H$3,0,0,'Données projet'!$E$9+1,1))</f>
        <v>232.18344481135546</v>
      </c>
      <c r="T60" s="62">
        <f t="shared" si="34"/>
        <v>227.64962876101072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47.868932365799019</v>
      </c>
      <c r="AA60" s="23">
        <f>EXP(-LN(2)/25)*AA59+(1-EXP(-LN(2)/25))/(LN(2)/25)*Calculateur!V60*Calculateur!X60*VLOOKUP('Données projet'!$B$9,Paramètres!$A$1:$I$89,3,0)*0.475*44/12</f>
        <v>20.757872971775303</v>
      </c>
      <c r="AB60" s="23">
        <f>EXP(-LN(2)/2)*AB59+(1-EXP(-LN(2)/2))/(LN(2)/2)*V60*Y60*VLOOKUP('Données projet'!$B$9,Paramètres!$A$1:$I$89,3,0)*0.475*44/12</f>
        <v>1.2861660521286722</v>
      </c>
      <c r="AC60" s="24">
        <f t="shared" si="3"/>
        <v>69.912971389703003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13.14</v>
      </c>
      <c r="N61" s="14">
        <f>IF('Données projet'!$A$36&gt;35,N60+M61-V60,IF(A61&lt;'Données projet'!$A$36,$K$205^A61,IF(A61='Données projet'!$A$36,'Données projet'!$B$36,N60+M61-V60)))</f>
        <v>410.05999999999989</v>
      </c>
      <c r="O61" s="14">
        <f>N61*VLOOKUP('Données projet'!$B$9,Paramètres!$A$1:$I$89,3,0)*VLOOKUP('Données projet'!$B$9,Paramètres!$A$1:$I$89,5,0)</f>
        <v>245.21587999999994</v>
      </c>
      <c r="P61" s="14">
        <f t="shared" si="33"/>
        <v>59.560344378839609</v>
      </c>
      <c r="Q61" s="22">
        <f t="shared" si="53"/>
        <v>530.81859079314563</v>
      </c>
      <c r="R61" s="62">
        <f t="shared" si="0"/>
        <v>824.15192412647889</v>
      </c>
      <c r="S61" s="62">
        <f ca="1">AVERAGE(OFFSET($R$3,0,0,'Données projet'!$E$9+1,1))-AVERAGE(OFFSET($H$3,0,0,'Données projet'!$E$9+1,1))</f>
        <v>232.18344481135546</v>
      </c>
      <c r="T61" s="62">
        <f t="shared" si="34"/>
        <v>227.64962876101072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46.93025179927146</v>
      </c>
      <c r="AA61" s="23">
        <f>EXP(-LN(2)/25)*AA60+(1-EXP(-LN(2)/25))/(LN(2)/25)*Calculateur!V61*Calculateur!X61*VLOOKUP('Données projet'!$B$9,Paramètres!$A$1:$I$89,3,0)*0.475*44/12</f>
        <v>20.19024784375301</v>
      </c>
      <c r="AB61" s="23">
        <f>EXP(-LN(2)/2)*AB60+(1-EXP(-LN(2)/2))/(LN(2)/2)*V61*Y61*VLOOKUP('Données projet'!$B$9,Paramètres!$A$1:$I$89,3,0)*0.475*44/12</f>
        <v>0.90945673719211473</v>
      </c>
      <c r="AC61" s="24">
        <f t="shared" si="3"/>
        <v>68.029956380216589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13.14</v>
      </c>
      <c r="N62" s="14">
        <f>IF('Données projet'!$A$36&gt;35,N61+M62-V61,IF(A62&lt;'Données projet'!$A$36,$K$205^A62,IF(A62='Données projet'!$A$36,'Données projet'!$B$36,N61+M62-V61)))</f>
        <v>423.19999999999987</v>
      </c>
      <c r="O62" s="14">
        <f>N62*VLOOKUP('Données projet'!$B$9,Paramètres!$A$1:$I$89,3,0)*VLOOKUP('Données projet'!$B$9,Paramètres!$A$1:$I$89,5,0)</f>
        <v>253.07359999999994</v>
      </c>
      <c r="P62" s="14">
        <f t="shared" si="33"/>
        <v>61.243637233758619</v>
      </c>
      <c r="Q62" s="22">
        <f t="shared" si="53"/>
        <v>547.43585484879611</v>
      </c>
      <c r="R62" s="62">
        <f t="shared" si="0"/>
        <v>840.76918818212948</v>
      </c>
      <c r="S62" s="62">
        <f ca="1">AVERAGE(OFFSET($R$3,0,0,'Données projet'!$E$9+1,1))-AVERAGE(OFFSET($H$3,0,0,'Données projet'!$E$9+1,1))</f>
        <v>232.18344481135546</v>
      </c>
      <c r="T62" s="62">
        <f t="shared" si="34"/>
        <v>227.64962876101072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46.0099781861149</v>
      </c>
      <c r="AA62" s="23">
        <f>EXP(-LN(2)/25)*AA61+(1-EXP(-LN(2)/25))/(LN(2)/25)*Calculateur!V62*Calculateur!X62*VLOOKUP('Données projet'!$B$9,Paramètres!$A$1:$I$89,3,0)*0.475*44/12</f>
        <v>19.638144454706595</v>
      </c>
      <c r="AB62" s="23">
        <f>EXP(-LN(2)/2)*AB61+(1-EXP(-LN(2)/2))/(LN(2)/2)*V62*Y62*VLOOKUP('Données projet'!$B$9,Paramètres!$A$1:$I$89,3,0)*0.475*44/12</f>
        <v>0.64308302606433621</v>
      </c>
      <c r="AC62" s="24">
        <f t="shared" si="3"/>
        <v>66.29120566688583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436.34</v>
      </c>
      <c r="L63" s="13">
        <f>VLOOKUP(A63,'Données projet'!$A$35:$I$55,9,0)</f>
        <v>13.14</v>
      </c>
      <c r="M63" s="13">
        <f t="array" ref="M63">INDEX(L:L,MIN(IF(ISNUMBER(L63:L259),ROW(L63:L259),"")))</f>
        <v>13.14</v>
      </c>
      <c r="N63" s="14">
        <f>IF('Données projet'!$A$36&gt;35,N62+M63-V62,IF(A63&lt;'Données projet'!$A$36,$K$205^A63,IF(A63='Données projet'!$A$36,'Données projet'!$B$36,N62+M63-V62)))</f>
        <v>436.33999999999986</v>
      </c>
      <c r="O63" s="14">
        <f>N63*VLOOKUP('Données projet'!$B$9,Paramètres!$A$1:$I$89,3,0)*VLOOKUP('Données projet'!$B$9,Paramètres!$A$1:$I$89,5,0)</f>
        <v>260.93131999999991</v>
      </c>
      <c r="P63" s="14">
        <f t="shared" si="33"/>
        <v>62.92085641383472</v>
      </c>
      <c r="Q63" s="22">
        <f t="shared" si="53"/>
        <v>564.04254058742856</v>
      </c>
      <c r="R63" s="62">
        <f t="shared" si="0"/>
        <v>857.37587392076193</v>
      </c>
      <c r="S63" s="62">
        <f ca="1">AVERAGE(OFFSET($R$3,0,0,'Données projet'!$E$9+1,1))-AVERAGE(OFFSET($H$3,0,0,'Données projet'!$E$9+1,1))</f>
        <v>232.18344481135546</v>
      </c>
      <c r="T63" s="62">
        <f t="shared" si="34"/>
        <v>227.64962876101072</v>
      </c>
      <c r="U63" s="16">
        <f>IF(ISNA(VLOOKUP(A63,'Données projet'!$A$35:$I$55,3,0)),0,VLOOKUP(A63,'Données projet'!$A$35:$I$55,3,0))</f>
        <v>7</v>
      </c>
      <c r="V63" s="16">
        <f>IF(ISNA(VLOOKUP(A63,'Données projet'!$A$35:$I$55,4,0)),0,VLOOKUP(A63,'Données projet'!$A$35:$I$55,4,0))</f>
        <v>436.34</v>
      </c>
      <c r="W63" s="17">
        <f>IF(ISNA(VLOOKUP(A63,'Données projet'!$A$35:$I$55,5,0)),0%,VLOOKUP(A63,'Données projet'!$A$35:$I$55,5,0)*VLOOKUP('Données projet'!$B$9,Paramètres!$A$1:$I$89,7,0))</f>
        <v>0.36000000000000004</v>
      </c>
      <c r="X63" s="17">
        <f>IF(ISNA(VLOOKUP(A63,'Données projet'!$A$35:$I$55,6,0)),0%,VLOOKUP(A63,'Données projet'!$A$35:$I$55,6,0)*VLOOKUP('Données projet'!$B$9,Paramètres!$A$1:$I$89,7,0))</f>
        <v>4.9500000000000002E-2</v>
      </c>
      <c r="Y63" s="17">
        <f>IF(ISNA(VLOOKUP(A63,'Données projet'!$A$35:$I$55,7,0)),0%,VLOOKUP(A63,'Données projet'!$A$35:$I$55,7,0))</f>
        <v>0.09</v>
      </c>
      <c r="Z63" s="23">
        <f>EXP(-LN(2)/35)*Z62+(1-EXP(-LN(2)/35))/(LN(2)/35)*V63*W63*VLOOKUP('Données projet'!$B$9,Paramètres!$A$1:$I$89,3,0)*0.475*44/12</f>
        <v>169.71894776945223</v>
      </c>
      <c r="AA63" s="23">
        <f>EXP(-LN(2)/25)*AA62+(1-EXP(-LN(2)/25))/(LN(2)/25)*Calculateur!V63*Calculateur!X63*VLOOKUP('Données projet'!$B$9,Paramètres!$A$1:$I$89,3,0)*0.475*44/12</f>
        <v>36.167714733261079</v>
      </c>
      <c r="AB63" s="23">
        <f>EXP(-LN(2)/2)*AB62+(1-EXP(-LN(2)/2))/(LN(2)/2)*V63*Y63*VLOOKUP('Données projet'!$B$9,Paramètres!$A$1:$I$89,3,0)*0.475*44/12</f>
        <v>27.043866483215265</v>
      </c>
      <c r="AC63" s="24">
        <f t="shared" si="3"/>
        <v>232.93052898592856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-1.1368683772161603E-13</v>
      </c>
      <c r="O64" s="14">
        <f>N64*VLOOKUP('Données projet'!$B$9,Paramètres!$A$1:$I$89,3,0)*VLOOKUP('Données projet'!$B$9,Paramètres!$A$1:$I$89,5,0)</f>
        <v>-6.7984728957526396E-14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232.18344481135546</v>
      </c>
      <c r="T64" s="62">
        <f t="shared" si="34"/>
        <v>227.64962876101072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166.39086272202982</v>
      </c>
      <c r="AA64" s="23">
        <f>EXP(-LN(2)/25)*AA63+(1-EXP(-LN(2)/25))/(LN(2)/25)*Calculateur!V64*Calculateur!X64*VLOOKUP('Données projet'!$B$9,Paramètres!$A$1:$I$89,3,0)*0.475*44/12</f>
        <v>35.178706671902596</v>
      </c>
      <c r="AB64" s="23">
        <f>EXP(-LN(2)/2)*AB63+(1-EXP(-LN(2)/2))/(LN(2)/2)*V64*Y64*VLOOKUP('Données projet'!$B$9,Paramètres!$A$1:$I$89,3,0)*0.475*44/12</f>
        <v>19.122901379785105</v>
      </c>
      <c r="AC64" s="24">
        <f t="shared" si="3"/>
        <v>220.69247077371753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-1.1368683772161603E-13</v>
      </c>
      <c r="O65" s="14">
        <f>N65*VLOOKUP('Données projet'!$B$9,Paramètres!$A$1:$I$89,3,0)*VLOOKUP('Données projet'!$B$9,Paramètres!$A$1:$I$89,5,0)</f>
        <v>-6.7984728957526396E-14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232.18344481135546</v>
      </c>
      <c r="T65" s="62">
        <f t="shared" si="34"/>
        <v>227.64962876101072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163.12803939245592</v>
      </c>
      <c r="AA65" s="23">
        <f>EXP(-LN(2)/25)*AA64+(1-EXP(-LN(2)/25))/(LN(2)/25)*Calculateur!V65*Calculateur!X65*VLOOKUP('Données projet'!$B$9,Paramètres!$A$1:$I$89,3,0)*0.475*44/12</f>
        <v>34.216743087991638</v>
      </c>
      <c r="AB65" s="23">
        <f>EXP(-LN(2)/2)*AB64+(1-EXP(-LN(2)/2))/(LN(2)/2)*V65*Y65*VLOOKUP('Données projet'!$B$9,Paramètres!$A$1:$I$89,3,0)*0.475*44/12</f>
        <v>13.521933241607636</v>
      </c>
      <c r="AC65" s="24">
        <f t="shared" si="3"/>
        <v>210.86671572205518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-1.1368683772161603E-13</v>
      </c>
      <c r="O66" s="14">
        <f>N66*VLOOKUP('Données projet'!$B$9,Paramètres!$A$1:$I$89,3,0)*VLOOKUP('Données projet'!$B$9,Paramètres!$A$1:$I$89,5,0)</f>
        <v>-6.7984728957526396E-14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232.18344481135546</v>
      </c>
      <c r="T66" s="62">
        <f t="shared" si="34"/>
        <v>227.64962876101072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159.92919803824924</v>
      </c>
      <c r="AA66" s="23">
        <f>EXP(-LN(2)/25)*AA65+(1-EXP(-LN(2)/25))/(LN(2)/25)*Calculateur!V66*Calculateur!X66*VLOOKUP('Données projet'!$B$9,Paramètres!$A$1:$I$89,3,0)*0.475*44/12</f>
        <v>33.281084448870189</v>
      </c>
      <c r="AB66" s="23">
        <f>EXP(-LN(2)/2)*AB65+(1-EXP(-LN(2)/2))/(LN(2)/2)*V66*Y66*VLOOKUP('Données projet'!$B$9,Paramètres!$A$1:$I$89,3,0)*0.475*44/12</f>
        <v>9.5614506898925544</v>
      </c>
      <c r="AC66" s="24">
        <f t="shared" si="3"/>
        <v>202.77173317701198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-1.1368683772161603E-13</v>
      </c>
      <c r="O67" s="14">
        <f>N67*VLOOKUP('Données projet'!$B$9,Paramètres!$A$1:$I$89,3,0)*VLOOKUP('Données projet'!$B$9,Paramètres!$A$1:$I$89,5,0)</f>
        <v>-6.7984728957526396E-14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232.18344481135546</v>
      </c>
      <c r="T67" s="62">
        <f t="shared" si="34"/>
        <v>227.64962876101072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156.793084011898</v>
      </c>
      <c r="AA67" s="23">
        <f>EXP(-LN(2)/25)*AA66+(1-EXP(-LN(2)/25))/(LN(2)/25)*Calculateur!V67*Calculateur!X67*VLOOKUP('Données projet'!$B$9,Paramètres!$A$1:$I$89,3,0)*0.475*44/12</f>
        <v>32.371011444439667</v>
      </c>
      <c r="AB67" s="23">
        <f>EXP(-LN(2)/2)*AB66+(1-EXP(-LN(2)/2))/(LN(2)/2)*V67*Y67*VLOOKUP('Données projet'!$B$9,Paramètres!$A$1:$I$89,3,0)*0.475*44/12</f>
        <v>6.7609666208038188</v>
      </c>
      <c r="AC67" s="24">
        <f t="shared" si="3"/>
        <v>195.92506207714149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-1.1368683772161603E-13</v>
      </c>
      <c r="O68" s="14">
        <f>N68*VLOOKUP('Données projet'!$B$9,Paramètres!$A$1:$I$89,3,0)*VLOOKUP('Données projet'!$B$9,Paramètres!$A$1:$I$89,5,0)</f>
        <v>-6.7984728957526396E-14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232.18344481135546</v>
      </c>
      <c r="T68" s="62">
        <f t="shared" si="34"/>
        <v>227.64962876101072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153.71846726876282</v>
      </c>
      <c r="AA68" s="23">
        <f>EXP(-LN(2)/25)*AA67+(1-EXP(-LN(2)/25))/(LN(2)/25)*Calculateur!V68*Calculateur!X68*VLOOKUP('Données projet'!$B$9,Paramètres!$A$1:$I$89,3,0)*0.475*44/12</f>
        <v>31.485824434173956</v>
      </c>
      <c r="AB68" s="23">
        <f>EXP(-LN(2)/2)*AB67+(1-EXP(-LN(2)/2))/(LN(2)/2)*V68*Y68*VLOOKUP('Données projet'!$B$9,Paramètres!$A$1:$I$89,3,0)*0.475*44/12</f>
        <v>4.7807253449462781</v>
      </c>
      <c r="AC68" s="24">
        <f t="shared" ref="AC68:AC131" si="57">SUM(Z68:AB68)</f>
        <v>189.98501704788308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-1.1368683772161603E-13</v>
      </c>
      <c r="O69" s="14">
        <f>N69*VLOOKUP('Données projet'!$B$9,Paramètres!$A$1:$I$89,3,0)*VLOOKUP('Données projet'!$B$9,Paramètres!$A$1:$I$89,5,0)</f>
        <v>-6.7984728957526396E-14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232.18344481135546</v>
      </c>
      <c r="T69" s="62">
        <f t="shared" ref="T69:T132" si="88">$T$3</f>
        <v>227.64962876101072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150.70414188462948</v>
      </c>
      <c r="AA69" s="23">
        <f>EXP(-LN(2)/25)*AA68+(1-EXP(-LN(2)/25))/(LN(2)/25)*Calculateur!V69*Calculateur!X69*VLOOKUP('Données projet'!$B$9,Paramètres!$A$1:$I$89,3,0)*0.475*44/12</f>
        <v>30.624842909253925</v>
      </c>
      <c r="AB69" s="23">
        <f>EXP(-LN(2)/2)*AB68+(1-EXP(-LN(2)/2))/(LN(2)/2)*V69*Y69*VLOOKUP('Données projet'!$B$9,Paramètres!$A$1:$I$89,3,0)*0.475*44/12</f>
        <v>3.3804833104019099</v>
      </c>
      <c r="AC69" s="24">
        <f t="shared" si="57"/>
        <v>184.70946810428529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-1.1368683772161603E-13</v>
      </c>
      <c r="O70" s="14">
        <f>N70*VLOOKUP('Données projet'!$B$9,Paramètres!$A$1:$I$89,3,0)*VLOOKUP('Données projet'!$B$9,Paramètres!$A$1:$I$89,5,0)</f>
        <v>-6.7984728957526396E-14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232.18344481135546</v>
      </c>
      <c r="T70" s="62">
        <f t="shared" si="88"/>
        <v>227.64962876101072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147.74892558272205</v>
      </c>
      <c r="AA70" s="23">
        <f>EXP(-LN(2)/25)*AA69+(1-EXP(-LN(2)/25))/(LN(2)/25)*Calculateur!V70*Calculateur!X70*VLOOKUP('Données projet'!$B$9,Paramètres!$A$1:$I$89,3,0)*0.475*44/12</f>
        <v>29.787404969409881</v>
      </c>
      <c r="AB70" s="23">
        <f>EXP(-LN(2)/2)*AB69+(1-EXP(-LN(2)/2))/(LN(2)/2)*V70*Y70*VLOOKUP('Données projet'!$B$9,Paramètres!$A$1:$I$89,3,0)*0.475*44/12</f>
        <v>2.390362672473139</v>
      </c>
      <c r="AC70" s="24">
        <f t="shared" si="57"/>
        <v>179.92669322460509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-1.1368683772161603E-13</v>
      </c>
      <c r="O71" s="14">
        <f>N71*VLOOKUP('Données projet'!$B$9,Paramètres!$A$1:$I$89,3,0)*VLOOKUP('Données projet'!$B$9,Paramètres!$A$1:$I$89,5,0)</f>
        <v>-6.7984728957526396E-14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232.18344481135546</v>
      </c>
      <c r="T71" s="62">
        <f t="shared" si="88"/>
        <v>227.64962876101072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144.85165926999107</v>
      </c>
      <c r="AA71" s="23">
        <f>EXP(-LN(2)/25)*AA70+(1-EXP(-LN(2)/25))/(LN(2)/25)*Calculateur!V71*Calculateur!X71*VLOOKUP('Données projet'!$B$9,Paramètres!$A$1:$I$89,3,0)*0.475*44/12</f>
        <v>28.972866814069821</v>
      </c>
      <c r="AB71" s="23">
        <f>EXP(-LN(2)/2)*AB70+(1-EXP(-LN(2)/2))/(LN(2)/2)*V71*Y71*VLOOKUP('Données projet'!$B$9,Paramètres!$A$1:$I$89,3,0)*0.475*44/12</f>
        <v>1.6902416552009549</v>
      </c>
      <c r="AC71" s="24">
        <f t="shared" si="57"/>
        <v>175.51476773926186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-1.1368683772161603E-13</v>
      </c>
      <c r="O72" s="14">
        <f>N72*VLOOKUP('Données projet'!$B$9,Paramètres!$A$1:$I$89,3,0)*VLOOKUP('Données projet'!$B$9,Paramètres!$A$1:$I$89,5,0)</f>
        <v>-6.7984728957526396E-14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232.18344481135546</v>
      </c>
      <c r="T72" s="62">
        <f t="shared" si="88"/>
        <v>227.64962876101072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142.01120658249479</v>
      </c>
      <c r="AA72" s="23">
        <f>EXP(-LN(2)/25)*AA71+(1-EXP(-LN(2)/25))/(LN(2)/25)*Calculateur!V72*Calculateur!X72*VLOOKUP('Données projet'!$B$9,Paramètres!$A$1:$I$89,3,0)*0.475*44/12</f>
        <v>28.180602247422236</v>
      </c>
      <c r="AB72" s="23">
        <f>EXP(-LN(2)/2)*AB71+(1-EXP(-LN(2)/2))/(LN(2)/2)*V72*Y72*VLOOKUP('Données projet'!$B$9,Paramètres!$A$1:$I$89,3,0)*0.475*44/12</f>
        <v>1.1951813362365695</v>
      </c>
      <c r="AC72" s="24">
        <f t="shared" si="57"/>
        <v>171.38699016615359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-1.1368683772161603E-13</v>
      </c>
      <c r="O73" s="14">
        <f>N73*VLOOKUP('Données projet'!$B$9,Paramètres!$A$1:$I$89,3,0)*VLOOKUP('Données projet'!$B$9,Paramètres!$A$1:$I$89,5,0)</f>
        <v>-6.7984728957526396E-14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232.18344481135546</v>
      </c>
      <c r="T73" s="62">
        <f t="shared" si="88"/>
        <v>227.64962876101072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139.22645343969523</v>
      </c>
      <c r="AA73" s="23">
        <f>EXP(-LN(2)/25)*AA72+(1-EXP(-LN(2)/25))/(LN(2)/25)*Calculateur!V73*Calculateur!X73*VLOOKUP('Données projet'!$B$9,Paramètres!$A$1:$I$89,3,0)*0.475*44/12</f>
        <v>27.410002197013011</v>
      </c>
      <c r="AB73" s="23">
        <f>EXP(-LN(2)/2)*AB72+(1-EXP(-LN(2)/2))/(LN(2)/2)*V73*Y73*VLOOKUP('Données projet'!$B$9,Paramètres!$A$1:$I$89,3,0)*0.475*44/12</f>
        <v>0.84512082760047746</v>
      </c>
      <c r="AC73" s="24">
        <f t="shared" si="57"/>
        <v>167.48157646430872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-1.1368683772161603E-13</v>
      </c>
      <c r="O74" s="14">
        <f>N74*VLOOKUP('Données projet'!$B$9,Paramètres!$A$1:$I$89,3,0)*VLOOKUP('Données projet'!$B$9,Paramètres!$A$1:$I$89,5,0)</f>
        <v>-6.7984728957526396E-14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232.18344481135546</v>
      </c>
      <c r="T74" s="62">
        <f t="shared" si="88"/>
        <v>227.64962876101072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136.49630760749429</v>
      </c>
      <c r="AA74" s="23">
        <f>EXP(-LN(2)/25)*AA73+(1-EXP(-LN(2)/25))/(LN(2)/25)*Calculateur!V74*Calculateur!X74*VLOOKUP('Données projet'!$B$9,Paramètres!$A$1:$I$89,3,0)*0.475*44/12</f>
        <v>26.660474245506322</v>
      </c>
      <c r="AB74" s="23">
        <f>EXP(-LN(2)/2)*AB73+(1-EXP(-LN(2)/2))/(LN(2)/2)*V74*Y74*VLOOKUP('Données projet'!$B$9,Paramètres!$A$1:$I$89,3,0)*0.475*44/12</f>
        <v>0.59759066811828476</v>
      </c>
      <c r="AC74" s="24">
        <f t="shared" si="57"/>
        <v>163.75437252111888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-1.1368683772161603E-13</v>
      </c>
      <c r="O75" s="14">
        <f>N75*VLOOKUP('Données projet'!$B$9,Paramètres!$A$1:$I$89,3,0)*VLOOKUP('Données projet'!$B$9,Paramètres!$A$1:$I$89,5,0)</f>
        <v>-6.7984728957526396E-14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232.18344481135546</v>
      </c>
      <c r="T75" s="62">
        <f t="shared" si="88"/>
        <v>227.64962876101072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133.81969826983826</v>
      </c>
      <c r="AA75" s="23">
        <f>EXP(-LN(2)/25)*AA74+(1-EXP(-LN(2)/25))/(LN(2)/25)*Calculateur!V75*Calculateur!X75*VLOOKUP('Données projet'!$B$9,Paramètres!$A$1:$I$89,3,0)*0.475*44/12</f>
        <v>25.931442175249543</v>
      </c>
      <c r="AB75" s="23">
        <f>EXP(-LN(2)/2)*AB74+(1-EXP(-LN(2)/2))/(LN(2)/2)*V75*Y75*VLOOKUP('Données projet'!$B$9,Paramètres!$A$1:$I$89,3,0)*0.475*44/12</f>
        <v>0.42256041380023873</v>
      </c>
      <c r="AC75" s="24">
        <f t="shared" si="57"/>
        <v>160.17370085888803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-1.1368683772161603E-13</v>
      </c>
      <c r="O76" s="14">
        <f>N76*VLOOKUP('Données projet'!$B$9,Paramètres!$A$1:$I$89,3,0)*VLOOKUP('Données projet'!$B$9,Paramètres!$A$1:$I$89,5,0)</f>
        <v>-6.7984728957526396E-14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232.18344481135546</v>
      </c>
      <c r="T76" s="62">
        <f t="shared" si="88"/>
        <v>227.64962876101072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131.19557560872317</v>
      </c>
      <c r="AA76" s="23">
        <f>EXP(-LN(2)/25)*AA75+(1-EXP(-LN(2)/25))/(LN(2)/25)*Calculateur!V76*Calculateur!X76*VLOOKUP('Données projet'!$B$9,Paramètres!$A$1:$I$89,3,0)*0.475*44/12</f>
        <v>25.222345525292067</v>
      </c>
      <c r="AB76" s="23">
        <f>EXP(-LN(2)/2)*AB75+(1-EXP(-LN(2)/2))/(LN(2)/2)*V76*Y76*VLOOKUP('Données projet'!$B$9,Paramètres!$A$1:$I$89,3,0)*0.475*44/12</f>
        <v>0.29879533405914238</v>
      </c>
      <c r="AC76" s="24">
        <f t="shared" si="57"/>
        <v>156.7167164680744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-1.1368683772161603E-13</v>
      </c>
      <c r="O77" s="14">
        <f>N77*VLOOKUP('Données projet'!$B$9,Paramètres!$A$1:$I$89,3,0)*VLOOKUP('Données projet'!$B$9,Paramètres!$A$1:$I$89,5,0)</f>
        <v>-6.7984728957526396E-14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232.18344481135546</v>
      </c>
      <c r="T77" s="62">
        <f t="shared" si="88"/>
        <v>227.64962876101072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128.62291039243578</v>
      </c>
      <c r="AA77" s="23">
        <f>EXP(-LN(2)/25)*AA76+(1-EXP(-LN(2)/25))/(LN(2)/25)*Calculateur!V77*Calculateur!X77*VLOOKUP('Données projet'!$B$9,Paramètres!$A$1:$I$89,3,0)*0.475*44/12</f>
        <v>24.532639160517451</v>
      </c>
      <c r="AB77" s="23">
        <f>EXP(-LN(2)/2)*AB76+(1-EXP(-LN(2)/2))/(LN(2)/2)*V77*Y77*VLOOKUP('Données projet'!$B$9,Paramètres!$A$1:$I$89,3,0)*0.475*44/12</f>
        <v>0.21128020690011937</v>
      </c>
      <c r="AC77" s="24">
        <f t="shared" si="57"/>
        <v>153.36682975985335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-1.1368683772161603E-13</v>
      </c>
      <c r="O78" s="14">
        <f>N78*VLOOKUP('Données projet'!$B$9,Paramètres!$A$1:$I$89,3,0)*VLOOKUP('Données projet'!$B$9,Paramètres!$A$1:$I$89,5,0)</f>
        <v>-6.7984728957526396E-14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232.18344481135546</v>
      </c>
      <c r="T78" s="62">
        <f t="shared" si="88"/>
        <v>227.64962876101072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126.10069357186894</v>
      </c>
      <c r="AA78" s="23">
        <f>EXP(-LN(2)/25)*AA77+(1-EXP(-LN(2)/25))/(LN(2)/25)*Calculateur!V78*Calculateur!X78*VLOOKUP('Données projet'!$B$9,Paramètres!$A$1:$I$89,3,0)*0.475*44/12</f>
        <v>23.861792852557677</v>
      </c>
      <c r="AB78" s="23">
        <f>EXP(-LN(2)/2)*AB77+(1-EXP(-LN(2)/2))/(LN(2)/2)*V78*Y78*VLOOKUP('Données projet'!$B$9,Paramètres!$A$1:$I$89,3,0)*0.475*44/12</f>
        <v>0.14939766702957119</v>
      </c>
      <c r="AC78" s="24">
        <f t="shared" si="57"/>
        <v>150.1118840914562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-1.1368683772161603E-13</v>
      </c>
      <c r="O79" s="14">
        <f>N79*VLOOKUP('Données projet'!$B$9,Paramètres!$A$1:$I$89,3,0)*VLOOKUP('Données projet'!$B$9,Paramètres!$A$1:$I$89,5,0)</f>
        <v>-6.7984728957526396E-14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232.18344481135546</v>
      </c>
      <c r="T79" s="62">
        <f t="shared" si="88"/>
        <v>227.64962876101072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123.62793588475306</v>
      </c>
      <c r="AA79" s="23">
        <f>EXP(-LN(2)/25)*AA78+(1-EXP(-LN(2)/25))/(LN(2)/25)*Calculateur!V79*Calculateur!X79*VLOOKUP('Données projet'!$B$9,Paramètres!$A$1:$I$89,3,0)*0.475*44/12</f>
        <v>23.209290872167337</v>
      </c>
      <c r="AB79" s="23">
        <f>EXP(-LN(2)/2)*AB78+(1-EXP(-LN(2)/2))/(LN(2)/2)*V79*Y79*VLOOKUP('Données projet'!$B$9,Paramètres!$A$1:$I$89,3,0)*0.475*44/12</f>
        <v>0.10564010345005968</v>
      </c>
      <c r="AC79" s="24">
        <f t="shared" si="57"/>
        <v>146.94286686037046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-1.1368683772161603E-13</v>
      </c>
      <c r="O80" s="14">
        <f>N80*VLOOKUP('Données projet'!$B$9,Paramètres!$A$1:$I$89,3,0)*VLOOKUP('Données projet'!$B$9,Paramètres!$A$1:$I$89,5,0)</f>
        <v>-6.7984728957526396E-14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232.18344481135546</v>
      </c>
      <c r="T80" s="62">
        <f t="shared" si="88"/>
        <v>227.64962876101072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121.20366746764826</v>
      </c>
      <c r="AA80" s="23">
        <f>EXP(-LN(2)/25)*AA79+(1-EXP(-LN(2)/25))/(LN(2)/25)*Calculateur!V80*Calculateur!X80*VLOOKUP('Données projet'!$B$9,Paramètres!$A$1:$I$89,3,0)*0.475*44/12</f>
        <v>22.57463159274436</v>
      </c>
      <c r="AB80" s="23">
        <f>EXP(-LN(2)/2)*AB79+(1-EXP(-LN(2)/2))/(LN(2)/2)*V80*Y80*VLOOKUP('Données projet'!$B$9,Paramètres!$A$1:$I$89,3,0)*0.475*44/12</f>
        <v>7.4698833514785595E-2</v>
      </c>
      <c r="AC80" s="24">
        <f t="shared" si="57"/>
        <v>143.8529978939074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-1.1368683772161603E-13</v>
      </c>
      <c r="O81" s="14">
        <f>N81*VLOOKUP('Données projet'!$B$9,Paramètres!$A$1:$I$89,3,0)*VLOOKUP('Données projet'!$B$9,Paramètres!$A$1:$I$89,5,0)</f>
        <v>-6.7984728957526396E-14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232.18344481135546</v>
      </c>
      <c r="T81" s="62">
        <f t="shared" si="88"/>
        <v>227.64962876101072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118.82693747554515</v>
      </c>
      <c r="AA81" s="23">
        <f>EXP(-LN(2)/25)*AA80+(1-EXP(-LN(2)/25))/(LN(2)/25)*Calculateur!V81*Calculateur!X81*VLOOKUP('Données projet'!$B$9,Paramètres!$A$1:$I$89,3,0)*0.475*44/12</f>
        <v>21.957327104692485</v>
      </c>
      <c r="AB81" s="23">
        <f>EXP(-LN(2)/2)*AB80+(1-EXP(-LN(2)/2))/(LN(2)/2)*V81*Y81*VLOOKUP('Données projet'!$B$9,Paramètres!$A$1:$I$89,3,0)*0.475*44/12</f>
        <v>5.2820051725029842E-2</v>
      </c>
      <c r="AC81" s="24">
        <f t="shared" si="57"/>
        <v>140.83708463196268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-1.1368683772161603E-13</v>
      </c>
      <c r="O82" s="14">
        <f>N82*VLOOKUP('Données projet'!$B$9,Paramètres!$A$1:$I$89,3,0)*VLOOKUP('Données projet'!$B$9,Paramètres!$A$1:$I$89,5,0)</f>
        <v>-6.7984728957526396E-14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232.18344481135546</v>
      </c>
      <c r="T82" s="62">
        <f t="shared" si="88"/>
        <v>227.64962876101072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116.49681370892503</v>
      </c>
      <c r="AA82" s="23">
        <f>EXP(-LN(2)/25)*AA81+(1-EXP(-LN(2)/25))/(LN(2)/25)*Calculateur!V82*Calculateur!X82*VLOOKUP('Données projet'!$B$9,Paramètres!$A$1:$I$89,3,0)*0.475*44/12</f>
        <v>21.35690284032902</v>
      </c>
      <c r="AB82" s="23">
        <f>EXP(-LN(2)/2)*AB81+(1-EXP(-LN(2)/2))/(LN(2)/2)*V82*Y82*VLOOKUP('Données projet'!$B$9,Paramètres!$A$1:$I$89,3,0)*0.475*44/12</f>
        <v>3.7349416757392798E-2</v>
      </c>
      <c r="AC82" s="24">
        <f t="shared" si="57"/>
        <v>137.89106596601144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-1.1368683772161603E-13</v>
      </c>
      <c r="O83" s="14">
        <f>N83*VLOOKUP('Données projet'!$B$9,Paramètres!$A$1:$I$89,3,0)*VLOOKUP('Données projet'!$B$9,Paramètres!$A$1:$I$89,5,0)</f>
        <v>-6.7984728957526396E-14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232.18344481135546</v>
      </c>
      <c r="T83" s="62">
        <f t="shared" si="88"/>
        <v>227.64962876101072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114.21238224813317</v>
      </c>
      <c r="AA83" s="23">
        <f>EXP(-LN(2)/25)*AA82+(1-EXP(-LN(2)/25))/(LN(2)/25)*Calculateur!V83*Calculateur!X83*VLOOKUP('Données projet'!$B$9,Paramètres!$A$1:$I$89,3,0)*0.475*44/12</f>
        <v>20.772897209049514</v>
      </c>
      <c r="AB83" s="23">
        <f>EXP(-LN(2)/2)*AB82+(1-EXP(-LN(2)/2))/(LN(2)/2)*V83*Y83*VLOOKUP('Données projet'!$B$9,Paramètres!$A$1:$I$89,3,0)*0.475*44/12</f>
        <v>2.6410025862514921E-2</v>
      </c>
      <c r="AC83" s="24">
        <f t="shared" si="57"/>
        <v>135.01168948304519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-1.1368683772161603E-13</v>
      </c>
      <c r="O84" s="14">
        <f>N84*VLOOKUP('Données projet'!$B$9,Paramètres!$A$1:$I$89,3,0)*VLOOKUP('Données projet'!$B$9,Paramètres!$A$1:$I$89,5,0)</f>
        <v>-6.7984728957526396E-14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232.18344481135546</v>
      </c>
      <c r="T84" s="62">
        <f t="shared" si="88"/>
        <v>227.64962876101072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111.97274709492183</v>
      </c>
      <c r="AA84" s="23">
        <f>EXP(-LN(2)/25)*AA83+(1-EXP(-LN(2)/25))/(LN(2)/25)*Calculateur!V84*Calculateur!X84*VLOOKUP('Données projet'!$B$9,Paramètres!$A$1:$I$89,3,0)*0.475*44/12</f>
        <v>20.204861242468869</v>
      </c>
      <c r="AB84" s="23">
        <f>EXP(-LN(2)/2)*AB83+(1-EXP(-LN(2)/2))/(LN(2)/2)*V84*Y84*VLOOKUP('Données projet'!$B$9,Paramètres!$A$1:$I$89,3,0)*0.475*44/12</f>
        <v>1.8674708378696399E-2</v>
      </c>
      <c r="AC84" s="24">
        <f t="shared" si="57"/>
        <v>132.19628304576938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-1.1368683772161603E-13</v>
      </c>
      <c r="O85" s="14">
        <f>N85*VLOOKUP('Données projet'!$B$9,Paramètres!$A$1:$I$89,3,0)*VLOOKUP('Données projet'!$B$9,Paramètres!$A$1:$I$89,5,0)</f>
        <v>-6.7984728957526396E-14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232.18344481135546</v>
      </c>
      <c r="T85" s="62">
        <f t="shared" si="88"/>
        <v>227.64962876101072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109.77702982102241</v>
      </c>
      <c r="AA85" s="23">
        <f>EXP(-LN(2)/25)*AA84+(1-EXP(-LN(2)/25))/(LN(2)/25)*Calculateur!V85*Calculateur!X85*VLOOKUP('Données projet'!$B$9,Paramètres!$A$1:$I$89,3,0)*0.475*44/12</f>
        <v>19.652358249266083</v>
      </c>
      <c r="AB85" s="23">
        <f>EXP(-LN(2)/2)*AB84+(1-EXP(-LN(2)/2))/(LN(2)/2)*V85*Y85*VLOOKUP('Données projet'!$B$9,Paramètres!$A$1:$I$89,3,0)*0.475*44/12</f>
        <v>1.320501293125746E-2</v>
      </c>
      <c r="AC85" s="24">
        <f t="shared" si="57"/>
        <v>129.44259308321975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-1.1368683772161603E-13</v>
      </c>
      <c r="O86" s="14">
        <f>N86*VLOOKUP('Données projet'!$B$9,Paramètres!$A$1:$I$89,3,0)*VLOOKUP('Données projet'!$B$9,Paramètres!$A$1:$I$89,5,0)</f>
        <v>-6.7984728957526396E-14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232.18344481135546</v>
      </c>
      <c r="T86" s="62">
        <f t="shared" si="88"/>
        <v>227.64962876101072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107.62436922360887</v>
      </c>
      <c r="AA86" s="23">
        <f>EXP(-LN(2)/25)*AA85+(1-EXP(-LN(2)/25))/(LN(2)/25)*Calculateur!V86*Calculateur!X86*VLOOKUP('Données projet'!$B$9,Paramètres!$A$1:$I$89,3,0)*0.475*44/12</f>
        <v>19.114963479467299</v>
      </c>
      <c r="AB86" s="23">
        <f>EXP(-LN(2)/2)*AB85+(1-EXP(-LN(2)/2))/(LN(2)/2)*V86*Y86*VLOOKUP('Données projet'!$B$9,Paramètres!$A$1:$I$89,3,0)*0.475*44/12</f>
        <v>9.3373541893481994E-3</v>
      </c>
      <c r="AC86" s="24">
        <f t="shared" si="57"/>
        <v>126.74867005726551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-1.1368683772161603E-13</v>
      </c>
      <c r="O87" s="14">
        <f>N87*VLOOKUP('Données projet'!$B$9,Paramètres!$A$1:$I$89,3,0)*VLOOKUP('Données projet'!$B$9,Paramètres!$A$1:$I$89,5,0)</f>
        <v>-6.7984728957526396E-14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232.18344481135546</v>
      </c>
      <c r="T87" s="62">
        <f t="shared" si="88"/>
        <v>227.64962876101072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105.51392098751728</v>
      </c>
      <c r="AA87" s="23">
        <f>EXP(-LN(2)/25)*AA86+(1-EXP(-LN(2)/25))/(LN(2)/25)*Calculateur!V87*Calculateur!X87*VLOOKUP('Données projet'!$B$9,Paramètres!$A$1:$I$89,3,0)*0.475*44/12</f>
        <v>18.592263797909023</v>
      </c>
      <c r="AB87" s="23">
        <f>EXP(-LN(2)/2)*AB86+(1-EXP(-LN(2)/2))/(LN(2)/2)*V87*Y87*VLOOKUP('Données projet'!$B$9,Paramètres!$A$1:$I$89,3,0)*0.475*44/12</f>
        <v>6.6025064656287302E-3</v>
      </c>
      <c r="AC87" s="24">
        <f t="shared" si="57"/>
        <v>124.11278729189193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-1.1368683772161603E-13</v>
      </c>
      <c r="O88" s="14">
        <f>N88*VLOOKUP('Données projet'!$B$9,Paramètres!$A$1:$I$89,3,0)*VLOOKUP('Données projet'!$B$9,Paramètres!$A$1:$I$89,5,0)</f>
        <v>-6.7984728957526396E-14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232.18344481135546</v>
      </c>
      <c r="T88" s="62">
        <f t="shared" si="88"/>
        <v>227.64962876101072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103.44485735408912</v>
      </c>
      <c r="AA88" s="23">
        <f>EXP(-LN(2)/25)*AA87+(1-EXP(-LN(2)/25))/(LN(2)/25)*Calculateur!V88*Calculateur!X88*VLOOKUP('Données projet'!$B$9,Paramètres!$A$1:$I$89,3,0)*0.475*44/12</f>
        <v>18.083857366630539</v>
      </c>
      <c r="AB88" s="23">
        <f>EXP(-LN(2)/2)*AB87+(1-EXP(-LN(2)/2))/(LN(2)/2)*V88*Y88*VLOOKUP('Données projet'!$B$9,Paramètres!$A$1:$I$89,3,0)*0.475*44/12</f>
        <v>4.6686770946740997E-3</v>
      </c>
      <c r="AC88" s="24">
        <f t="shared" si="57"/>
        <v>121.53338339781433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-1.1368683772161603E-13</v>
      </c>
      <c r="O89" s="14">
        <f>N89*VLOOKUP('Données projet'!$B$9,Paramètres!$A$1:$I$89,3,0)*VLOOKUP('Données projet'!$B$9,Paramètres!$A$1:$I$89,5,0)</f>
        <v>-6.7984728957526396E-14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232.18344481135546</v>
      </c>
      <c r="T89" s="62">
        <f t="shared" si="88"/>
        <v>227.64962876101072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101.4163667965083</v>
      </c>
      <c r="AA89" s="23">
        <f>EXP(-LN(2)/25)*AA88+(1-EXP(-LN(2)/25))/(LN(2)/25)*Calculateur!V89*Calculateur!X89*VLOOKUP('Données projet'!$B$9,Paramètres!$A$1:$I$89,3,0)*0.475*44/12</f>
        <v>17.589353335951298</v>
      </c>
      <c r="AB89" s="23">
        <f>EXP(-LN(2)/2)*AB88+(1-EXP(-LN(2)/2))/(LN(2)/2)*V89*Y89*VLOOKUP('Données projet'!$B$9,Paramètres!$A$1:$I$89,3,0)*0.475*44/12</f>
        <v>3.3012532328143651E-3</v>
      </c>
      <c r="AC89" s="24">
        <f t="shared" si="57"/>
        <v>119.00902138569242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-1.1368683772161603E-13</v>
      </c>
      <c r="O90" s="14">
        <f>N90*VLOOKUP('Données projet'!$B$9,Paramètres!$A$1:$I$89,3,0)*VLOOKUP('Données projet'!$B$9,Paramètres!$A$1:$I$89,5,0)</f>
        <v>-6.7984728957526396E-14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232.18344481135546</v>
      </c>
      <c r="T90" s="62">
        <f t="shared" si="88"/>
        <v>227.64962876101072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99.427653701504553</v>
      </c>
      <c r="AA90" s="23">
        <f>EXP(-LN(2)/25)*AA89+(1-EXP(-LN(2)/25))/(LN(2)/25)*Calculateur!V90*Calculateur!X90*VLOOKUP('Données projet'!$B$9,Paramètres!$A$1:$I$89,3,0)*0.475*44/12</f>
        <v>17.108371543995819</v>
      </c>
      <c r="AB90" s="23">
        <f>EXP(-LN(2)/2)*AB89+(1-EXP(-LN(2)/2))/(LN(2)/2)*V90*Y90*VLOOKUP('Données projet'!$B$9,Paramètres!$A$1:$I$89,3,0)*0.475*44/12</f>
        <v>2.3343385473370499E-3</v>
      </c>
      <c r="AC90" s="24">
        <f t="shared" si="57"/>
        <v>116.53835958404771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-1.1368683772161603E-13</v>
      </c>
      <c r="O91" s="14">
        <f>N91*VLOOKUP('Données projet'!$B$9,Paramètres!$A$1:$I$89,3,0)*VLOOKUP('Données projet'!$B$9,Paramètres!$A$1:$I$89,5,0)</f>
        <v>-6.7984728957526396E-14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232.18344481135546</v>
      </c>
      <c r="T91" s="62">
        <f t="shared" si="88"/>
        <v>227.64962876101072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97.477938057298616</v>
      </c>
      <c r="AA91" s="23">
        <f>EXP(-LN(2)/25)*AA90+(1-EXP(-LN(2)/25))/(LN(2)/25)*Calculateur!V91*Calculateur!X91*VLOOKUP('Données projet'!$B$9,Paramètres!$A$1:$I$89,3,0)*0.475*44/12</f>
        <v>16.640542224435094</v>
      </c>
      <c r="AB91" s="23">
        <f>EXP(-LN(2)/2)*AB90+(1-EXP(-LN(2)/2))/(LN(2)/2)*V91*Y91*VLOOKUP('Données projet'!$B$9,Paramètres!$A$1:$I$89,3,0)*0.475*44/12</f>
        <v>1.6506266164071825E-3</v>
      </c>
      <c r="AC91" s="24">
        <f t="shared" si="57"/>
        <v>114.12013090835012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-1.1368683772161603E-13</v>
      </c>
      <c r="O92" s="14">
        <f>N92*VLOOKUP('Données projet'!$B$9,Paramètres!$A$1:$I$89,3,0)*VLOOKUP('Données projet'!$B$9,Paramètres!$A$1:$I$89,5,0)</f>
        <v>-6.7984728957526396E-14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232.18344481135546</v>
      </c>
      <c r="T92" s="62">
        <f t="shared" si="88"/>
        <v>227.64962876101072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95.566455147666446</v>
      </c>
      <c r="AA92" s="23">
        <f>EXP(-LN(2)/25)*AA91+(1-EXP(-LN(2)/25))/(LN(2)/25)*Calculateur!V92*Calculateur!X92*VLOOKUP('Données projet'!$B$9,Paramètres!$A$1:$I$89,3,0)*0.475*44/12</f>
        <v>16.185505722219833</v>
      </c>
      <c r="AB92" s="23">
        <f>EXP(-LN(2)/2)*AB91+(1-EXP(-LN(2)/2))/(LN(2)/2)*V92*Y92*VLOOKUP('Données projet'!$B$9,Paramètres!$A$1:$I$89,3,0)*0.475*44/12</f>
        <v>1.1671692736685249E-3</v>
      </c>
      <c r="AC92" s="24">
        <f t="shared" si="57"/>
        <v>111.75312803915995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-1.1368683772161603E-13</v>
      </c>
      <c r="O93" s="14">
        <f>N93*VLOOKUP('Données projet'!$B$9,Paramètres!$A$1:$I$89,3,0)*VLOOKUP('Données projet'!$B$9,Paramètres!$A$1:$I$89,5,0)</f>
        <v>-6.7984728957526396E-14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232.18344481135546</v>
      </c>
      <c r="T93" s="62">
        <f t="shared" si="88"/>
        <v>227.64962876101072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93.692455252002702</v>
      </c>
      <c r="AA93" s="23">
        <f>EXP(-LN(2)/25)*AA92+(1-EXP(-LN(2)/25))/(LN(2)/25)*Calculateur!V93*Calculateur!X93*VLOOKUP('Données projet'!$B$9,Paramètres!$A$1:$I$89,3,0)*0.475*44/12</f>
        <v>15.742912217086978</v>
      </c>
      <c r="AB93" s="23">
        <f>EXP(-LN(2)/2)*AB92+(1-EXP(-LN(2)/2))/(LN(2)/2)*V93*Y93*VLOOKUP('Données projet'!$B$9,Paramètres!$A$1:$I$89,3,0)*0.475*44/12</f>
        <v>8.2531330820359127E-4</v>
      </c>
      <c r="AC93" s="24">
        <f t="shared" si="57"/>
        <v>109.43619278239788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-1.1368683772161603E-13</v>
      </c>
      <c r="O94" s="14">
        <f>N94*VLOOKUP('Données projet'!$B$9,Paramètres!$A$1:$I$89,3,0)*VLOOKUP('Données projet'!$B$9,Paramètres!$A$1:$I$89,5,0)</f>
        <v>-6.7984728957526396E-14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232.18344481135546</v>
      </c>
      <c r="T94" s="62">
        <f t="shared" si="88"/>
        <v>227.64962876101072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91.855203351265857</v>
      </c>
      <c r="AA94" s="23">
        <f>EXP(-LN(2)/25)*AA93+(1-EXP(-LN(2)/25))/(LN(2)/25)*Calculateur!V94*Calculateur!X94*VLOOKUP('Données projet'!$B$9,Paramètres!$A$1:$I$89,3,0)*0.475*44/12</f>
        <v>15.312421454626962</v>
      </c>
      <c r="AB94" s="23">
        <f>EXP(-LN(2)/2)*AB93+(1-EXP(-LN(2)/2))/(LN(2)/2)*V94*Y94*VLOOKUP('Données projet'!$B$9,Paramètres!$A$1:$I$89,3,0)*0.475*44/12</f>
        <v>5.8358463683426246E-4</v>
      </c>
      <c r="AC94" s="24">
        <f t="shared" si="57"/>
        <v>107.16820839052964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-1.1368683772161603E-13</v>
      </c>
      <c r="O95" s="14">
        <f>N95*VLOOKUP('Données projet'!$B$9,Paramètres!$A$1:$I$89,3,0)*VLOOKUP('Données projet'!$B$9,Paramètres!$A$1:$I$89,5,0)</f>
        <v>-6.7984728957526396E-14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232.18344481135546</v>
      </c>
      <c r="T95" s="62">
        <f t="shared" si="88"/>
        <v>227.64962876101072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90.053978839689449</v>
      </c>
      <c r="AA95" s="23">
        <f>EXP(-LN(2)/25)*AA94+(1-EXP(-LN(2)/25))/(LN(2)/25)*Calculateur!V95*Calculateur!X95*VLOOKUP('Données projet'!$B$9,Paramètres!$A$1:$I$89,3,0)*0.475*44/12</f>
        <v>14.89370248470494</v>
      </c>
      <c r="AB95" s="23">
        <f>EXP(-LN(2)/2)*AB94+(1-EXP(-LN(2)/2))/(LN(2)/2)*V95*Y95*VLOOKUP('Données projet'!$B$9,Paramètres!$A$1:$I$89,3,0)*0.475*44/12</f>
        <v>4.1265665410179564E-4</v>
      </c>
      <c r="AC95" s="24">
        <f t="shared" si="57"/>
        <v>104.9480939810485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-1.1368683772161603E-13</v>
      </c>
      <c r="O96" s="14">
        <f>N96*VLOOKUP('Données projet'!$B$9,Paramètres!$A$1:$I$89,3,0)*VLOOKUP('Données projet'!$B$9,Paramètres!$A$1:$I$89,5,0)</f>
        <v>-6.7984728957526396E-14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232.18344481135546</v>
      </c>
      <c r="T96" s="62">
        <f t="shared" si="88"/>
        <v>227.64962876101072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88.28807524214659</v>
      </c>
      <c r="AA96" s="23">
        <f>EXP(-LN(2)/25)*AA95+(1-EXP(-LN(2)/25))/(LN(2)/25)*Calculateur!V96*Calculateur!X96*VLOOKUP('Données projet'!$B$9,Paramètres!$A$1:$I$89,3,0)*0.475*44/12</f>
        <v>14.486433407034911</v>
      </c>
      <c r="AB96" s="23">
        <f>EXP(-LN(2)/2)*AB95+(1-EXP(-LN(2)/2))/(LN(2)/2)*V96*Y96*VLOOKUP('Données projet'!$B$9,Paramètres!$A$1:$I$89,3,0)*0.475*44/12</f>
        <v>2.9179231841713123E-4</v>
      </c>
      <c r="AC96" s="24">
        <f t="shared" si="57"/>
        <v>102.77480044149992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-1.1368683772161603E-13</v>
      </c>
      <c r="O97" s="14">
        <f>N97*VLOOKUP('Données projet'!$B$9,Paramètres!$A$1:$I$89,3,0)*VLOOKUP('Données projet'!$B$9,Paramètres!$A$1:$I$89,5,0)</f>
        <v>-6.7984728957526396E-14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232.18344481135546</v>
      </c>
      <c r="T97" s="62">
        <f t="shared" si="88"/>
        <v>227.64962876101072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86.556799937056709</v>
      </c>
      <c r="AA97" s="23">
        <f>EXP(-LN(2)/25)*AA96+(1-EXP(-LN(2)/25))/(LN(2)/25)*Calculateur!V97*Calculateur!X97*VLOOKUP('Données projet'!$B$9,Paramètres!$A$1:$I$89,3,0)*0.475*44/12</f>
        <v>14.090301123711118</v>
      </c>
      <c r="AB97" s="23">
        <f>EXP(-LN(2)/2)*AB96+(1-EXP(-LN(2)/2))/(LN(2)/2)*V97*Y97*VLOOKUP('Données projet'!$B$9,Paramètres!$A$1:$I$89,3,0)*0.475*44/12</f>
        <v>2.0632832705089782E-4</v>
      </c>
      <c r="AC97" s="24">
        <f t="shared" si="57"/>
        <v>100.64730738909488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-1.1368683772161603E-13</v>
      </c>
      <c r="O98" s="14">
        <f>N98*VLOOKUP('Données projet'!$B$9,Paramètres!$A$1:$I$89,3,0)*VLOOKUP('Données projet'!$B$9,Paramètres!$A$1:$I$89,5,0)</f>
        <v>-6.7984728957526396E-14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232.18344481135546</v>
      </c>
      <c r="T98" s="62">
        <f t="shared" si="88"/>
        <v>227.64962876101072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84.859473884725972</v>
      </c>
      <c r="AA98" s="23">
        <f>EXP(-LN(2)/25)*AA97+(1-EXP(-LN(2)/25))/(LN(2)/25)*Calculateur!V98*Calculateur!X98*VLOOKUP('Données projet'!$B$9,Paramètres!$A$1:$I$89,3,0)*0.475*44/12</f>
        <v>13.705001098506505</v>
      </c>
      <c r="AB98" s="23">
        <f>EXP(-LN(2)/2)*AB97+(1-EXP(-LN(2)/2))/(LN(2)/2)*V98*Y98*VLOOKUP('Données projet'!$B$9,Paramètres!$A$1:$I$89,3,0)*0.475*44/12</f>
        <v>1.4589615920856562E-4</v>
      </c>
      <c r="AC98" s="24">
        <f t="shared" si="57"/>
        <v>98.564620879391683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-1.1368683772161603E-13</v>
      </c>
      <c r="O99" s="14">
        <f>N99*VLOOKUP('Données projet'!$B$9,Paramètres!$A$1:$I$89,3,0)*VLOOKUP('Données projet'!$B$9,Paramètres!$A$1:$I$89,5,0)</f>
        <v>-6.7984728957526396E-14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232.18344481135546</v>
      </c>
      <c r="T99" s="62">
        <f t="shared" si="88"/>
        <v>227.64962876101072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83.195431361014769</v>
      </c>
      <c r="AA99" s="23">
        <f>EXP(-LN(2)/25)*AA98+(1-EXP(-LN(2)/25))/(LN(2)/25)*Calculateur!V99*Calculateur!X99*VLOOKUP('Données projet'!$B$9,Paramètres!$A$1:$I$89,3,0)*0.475*44/12</f>
        <v>13.330237122753161</v>
      </c>
      <c r="AB99" s="23">
        <f>EXP(-LN(2)/2)*AB98+(1-EXP(-LN(2)/2))/(LN(2)/2)*V99*Y99*VLOOKUP('Données projet'!$B$9,Paramètres!$A$1:$I$89,3,0)*0.475*44/12</f>
        <v>1.0316416352544891E-4</v>
      </c>
      <c r="AC99" s="24">
        <f t="shared" si="57"/>
        <v>96.52577164793145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-1.1368683772161603E-13</v>
      </c>
      <c r="O100" s="14">
        <f>N100*VLOOKUP('Données projet'!$B$9,Paramètres!$A$1:$I$89,3,0)*VLOOKUP('Données projet'!$B$9,Paramètres!$A$1:$I$89,5,0)</f>
        <v>-6.7984728957526396E-14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232.18344481135546</v>
      </c>
      <c r="T100" s="62">
        <f t="shared" si="88"/>
        <v>227.64962876101072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81.564019696227831</v>
      </c>
      <c r="AA100" s="23">
        <f>EXP(-LN(2)/25)*AA99+(1-EXP(-LN(2)/25))/(LN(2)/25)*Calculateur!V100*Calculateur!X100*VLOOKUP('Données projet'!$B$9,Paramètres!$A$1:$I$89,3,0)*0.475*44/12</f>
        <v>12.965721087624772</v>
      </c>
      <c r="AB100" s="23">
        <f>EXP(-LN(2)/2)*AB99+(1-EXP(-LN(2)/2))/(LN(2)/2)*V100*Y100*VLOOKUP('Données projet'!$B$9,Paramètres!$A$1:$I$89,3,0)*0.475*44/12</f>
        <v>7.2948079604282808E-5</v>
      </c>
      <c r="AC100" s="24">
        <f t="shared" si="57"/>
        <v>94.529813731932208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-1.1368683772161603E-13</v>
      </c>
      <c r="O101" s="14">
        <f>N101*VLOOKUP('Données projet'!$B$9,Paramètres!$A$1:$I$89,3,0)*VLOOKUP('Données projet'!$B$9,Paramètres!$A$1:$I$89,5,0)</f>
        <v>-6.7984728957526396E-14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232.18344481135546</v>
      </c>
      <c r="T101" s="62">
        <f t="shared" si="88"/>
        <v>227.64962876101072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79.964599019124492</v>
      </c>
      <c r="AA101" s="23">
        <f>EXP(-LN(2)/25)*AA100+(1-EXP(-LN(2)/25))/(LN(2)/25)*Calculateur!V101*Calculateur!X101*VLOOKUP('Données projet'!$B$9,Paramètres!$A$1:$I$89,3,0)*0.475*44/12</f>
        <v>12.611172762646033</v>
      </c>
      <c r="AB101" s="23">
        <f>EXP(-LN(2)/2)*AB100+(1-EXP(-LN(2)/2))/(LN(2)/2)*V101*Y101*VLOOKUP('Données projet'!$B$9,Paramètres!$A$1:$I$89,3,0)*0.475*44/12</f>
        <v>5.1582081762724455E-5</v>
      </c>
      <c r="AC101" s="24">
        <f t="shared" si="57"/>
        <v>92.575823363852294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-1.1368683772161603E-13</v>
      </c>
      <c r="O102" s="14">
        <f>N102*VLOOKUP('Données projet'!$B$9,Paramètres!$A$1:$I$89,3,0)*VLOOKUP('Données projet'!$B$9,Paramètres!$A$1:$I$89,5,0)</f>
        <v>-6.7984728957526396E-14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232.18344481135546</v>
      </c>
      <c r="T102" s="62">
        <f t="shared" si="88"/>
        <v>227.64962876101072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78.396542005948874</v>
      </c>
      <c r="AA102" s="23">
        <f>EXP(-LN(2)/25)*AA101+(1-EXP(-LN(2)/25))/(LN(2)/25)*Calculateur!V102*Calculateur!X102*VLOOKUP('Données projet'!$B$9,Paramètres!$A$1:$I$89,3,0)*0.475*44/12</f>
        <v>12.266319580258726</v>
      </c>
      <c r="AB102" s="23">
        <f>EXP(-LN(2)/2)*AB101+(1-EXP(-LN(2)/2))/(LN(2)/2)*V102*Y102*VLOOKUP('Données projet'!$B$9,Paramètres!$A$1:$I$89,3,0)*0.475*44/12</f>
        <v>3.6474039802141404E-5</v>
      </c>
      <c r="AC102" s="24">
        <f t="shared" si="57"/>
        <v>90.6628980602474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-1.1368683772161603E-13</v>
      </c>
      <c r="O103" s="14">
        <f>N103*VLOOKUP('Données projet'!$B$9,Paramètres!$A$1:$I$89,3,0)*VLOOKUP('Données projet'!$B$9,Paramètres!$A$1:$I$89,5,0)</f>
        <v>-6.7984728957526396E-14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232.18344481135546</v>
      </c>
      <c r="T103" s="62">
        <f t="shared" si="88"/>
        <v>227.64962876101072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76.859233634381283</v>
      </c>
      <c r="AA103" s="23">
        <f>EXP(-LN(2)/25)*AA102+(1-EXP(-LN(2)/25))/(LN(2)/25)*Calculateur!V103*Calculateur!X103*VLOOKUP('Données projet'!$B$9,Paramètres!$A$1:$I$89,3,0)*0.475*44/12</f>
        <v>11.930896426278839</v>
      </c>
      <c r="AB103" s="23">
        <f>EXP(-LN(2)/2)*AB102+(1-EXP(-LN(2)/2))/(LN(2)/2)*V103*Y103*VLOOKUP('Données projet'!$B$9,Paramètres!$A$1:$I$89,3,0)*0.475*44/12</f>
        <v>2.5791040881362227E-5</v>
      </c>
      <c r="AC103" s="24">
        <f t="shared" si="57"/>
        <v>88.790155851701002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-6.7984728957526396E-14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232.18344481135546</v>
      </c>
      <c r="T104" s="62">
        <f t="shared" si="88"/>
        <v>227.64962876101072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75.352070942314612</v>
      </c>
      <c r="AA104" s="23">
        <f>EXP(-LN(2)/25)*AA103+(1-EXP(-LN(2)/25))/(LN(2)/25)*Calculateur!V104*Calculateur!X104*VLOOKUP('Données projet'!$B$9,Paramètres!$A$1:$I$89,3,0)*0.475*44/12</f>
        <v>11.604645436083668</v>
      </c>
      <c r="AB104" s="23">
        <f>EXP(-LN(2)/2)*AB103+(1-EXP(-LN(2)/2))/(LN(2)/2)*V104*Y104*VLOOKUP('Données projet'!$B$9,Paramètres!$A$1:$I$89,3,0)*0.475*44/12</f>
        <v>1.8237019901070702E-5</v>
      </c>
      <c r="AC104" s="24">
        <f t="shared" si="57"/>
        <v>86.956734615418185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-6.7984728957526396E-14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232.18344481135546</v>
      </c>
      <c r="T105" s="62">
        <f t="shared" si="88"/>
        <v>227.64962876101072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73.874462791360898</v>
      </c>
      <c r="AA105" s="23">
        <f>EXP(-LN(2)/25)*AA104+(1-EXP(-LN(2)/25))/(LN(2)/25)*Calculateur!V105*Calculateur!X105*VLOOKUP('Données projet'!$B$9,Paramètres!$A$1:$I$89,3,0)*0.475*44/12</f>
        <v>11.28731579637218</v>
      </c>
      <c r="AB105" s="23">
        <f>EXP(-LN(2)/2)*AB104+(1-EXP(-LN(2)/2))/(LN(2)/2)*V105*Y105*VLOOKUP('Données projet'!$B$9,Paramètres!$A$1:$I$89,3,0)*0.475*44/12</f>
        <v>1.2895520440681114E-5</v>
      </c>
      <c r="AC105" s="24">
        <f t="shared" si="57"/>
        <v>85.161791483253523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-6.7984728957526396E-14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232.18344481135546</v>
      </c>
      <c r="T106" s="62">
        <f t="shared" si="88"/>
        <v>227.64962876101072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72.425829634995409</v>
      </c>
      <c r="AA106" s="23">
        <f>EXP(-LN(2)/25)*AA105+(1-EXP(-LN(2)/25))/(LN(2)/25)*Calculateur!V106*Calculateur!X106*VLOOKUP('Données projet'!$B$9,Paramètres!$A$1:$I$89,3,0)*0.475*44/12</f>
        <v>10.978663552346243</v>
      </c>
      <c r="AB106" s="23">
        <f>EXP(-LN(2)/2)*AB105+(1-EXP(-LN(2)/2))/(LN(2)/2)*V106*Y106*VLOOKUP('Données projet'!$B$9,Paramètres!$A$1:$I$89,3,0)*0.475*44/12</f>
        <v>9.118509950535351E-6</v>
      </c>
      <c r="AC106" s="24">
        <f t="shared" si="57"/>
        <v>83.404502305851608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-6.7984728957526396E-14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232.18344481135546</v>
      </c>
      <c r="T107" s="62">
        <f t="shared" si="88"/>
        <v>227.64962876101072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71.005603291247269</v>
      </c>
      <c r="AA107" s="23">
        <f>EXP(-LN(2)/25)*AA106+(1-EXP(-LN(2)/25))/(LN(2)/25)*Calculateur!V107*Calculateur!X107*VLOOKUP('Données projet'!$B$9,Paramètres!$A$1:$I$89,3,0)*0.475*44/12</f>
        <v>10.67845142016451</v>
      </c>
      <c r="AB107" s="23">
        <f>EXP(-LN(2)/2)*AB106+(1-EXP(-LN(2)/2))/(LN(2)/2)*V107*Y107*VLOOKUP('Données projet'!$B$9,Paramètres!$A$1:$I$89,3,0)*0.475*44/12</f>
        <v>6.4477602203405568E-6</v>
      </c>
      <c r="AC107" s="24">
        <f t="shared" si="57"/>
        <v>81.684061159171989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-6.7984728957526396E-14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232.18344481135546</v>
      </c>
      <c r="T108" s="62">
        <f t="shared" si="88"/>
        <v>227.64962876101072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69.613226719847489</v>
      </c>
      <c r="AA108" s="23">
        <f>EXP(-LN(2)/25)*AA107+(1-EXP(-LN(2)/25))/(LN(2)/25)*Calculateur!V108*Calculateur!X108*VLOOKUP('Données projet'!$B$9,Paramètres!$A$1:$I$89,3,0)*0.475*44/12</f>
        <v>10.386448604524757</v>
      </c>
      <c r="AB108" s="23">
        <f>EXP(-LN(2)/2)*AB107+(1-EXP(-LN(2)/2))/(LN(2)/2)*V108*Y108*VLOOKUP('Données projet'!$B$9,Paramètres!$A$1:$I$89,3,0)*0.475*44/12</f>
        <v>4.5592549752676755E-6</v>
      </c>
      <c r="AC108" s="24">
        <f t="shared" si="57"/>
        <v>79.999679883627223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-6.7984728957526396E-14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232.18344481135546</v>
      </c>
      <c r="T109" s="62">
        <f t="shared" si="88"/>
        <v>227.64962876101072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68.248153803747016</v>
      </c>
      <c r="AA109" s="23">
        <f>EXP(-LN(2)/25)*AA108+(1-EXP(-LN(2)/25))/(LN(2)/25)*Calculateur!V109*Calculateur!X109*VLOOKUP('Données projet'!$B$9,Paramètres!$A$1:$I$89,3,0)*0.475*44/12</f>
        <v>10.102430621234435</v>
      </c>
      <c r="AB109" s="23">
        <f>EXP(-LN(2)/2)*AB108+(1-EXP(-LN(2)/2))/(LN(2)/2)*V109*Y109*VLOOKUP('Données projet'!$B$9,Paramètres!$A$1:$I$89,3,0)*0.475*44/12</f>
        <v>3.2238801101702784E-6</v>
      </c>
      <c r="AC109" s="24">
        <f t="shared" si="57"/>
        <v>78.350587648861563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-6.7984728957526396E-14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232.18344481135546</v>
      </c>
      <c r="T110" s="62">
        <f t="shared" si="88"/>
        <v>227.64962876101072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66.909849134919</v>
      </c>
      <c r="AA110" s="23">
        <f>EXP(-LN(2)/25)*AA109+(1-EXP(-LN(2)/25))/(LN(2)/25)*Calculateur!V110*Calculateur!X110*VLOOKUP('Données projet'!$B$9,Paramètres!$A$1:$I$89,3,0)*0.475*44/12</f>
        <v>9.8261791246330414</v>
      </c>
      <c r="AB110" s="23">
        <f>EXP(-LN(2)/2)*AB109+(1-EXP(-LN(2)/2))/(LN(2)/2)*V110*Y110*VLOOKUP('Données projet'!$B$9,Paramètres!$A$1:$I$89,3,0)*0.475*44/12</f>
        <v>2.2796274876338377E-6</v>
      </c>
      <c r="AC110" s="24">
        <f t="shared" si="57"/>
        <v>76.736030539179524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-6.7984728957526396E-14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232.18344481135546</v>
      </c>
      <c r="T111" s="62">
        <f t="shared" si="88"/>
        <v>227.64962876101072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65.59778780436146</v>
      </c>
      <c r="AA111" s="23">
        <f>EXP(-LN(2)/25)*AA110+(1-EXP(-LN(2)/25))/(LN(2)/25)*Calculateur!V111*Calculateur!X111*VLOOKUP('Données projet'!$B$9,Paramètres!$A$1:$I$89,3,0)*0.475*44/12</f>
        <v>9.5574817397336496</v>
      </c>
      <c r="AB111" s="23">
        <f>EXP(-LN(2)/2)*AB110+(1-EXP(-LN(2)/2))/(LN(2)/2)*V111*Y111*VLOOKUP('Données projet'!$B$9,Paramètres!$A$1:$I$89,3,0)*0.475*44/12</f>
        <v>1.6119400550851392E-6</v>
      </c>
      <c r="AC111" s="24">
        <f t="shared" si="57"/>
        <v>75.155271156035155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645.75062351225802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-6.7984728957526396E-14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232.18344481135546</v>
      </c>
      <c r="T112" s="62">
        <f t="shared" si="88"/>
        <v>227.64962876101072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64.311455196217764</v>
      </c>
      <c r="AA112" s="23">
        <f>EXP(-LN(2)/25)*AA111+(1-EXP(-LN(2)/25))/(LN(2)/25)*Calculateur!V112*Calculateur!X112*VLOOKUP('Données projet'!$B$9,Paramètres!$A$1:$I$89,3,0)*0.475*44/12</f>
        <v>9.2961318989545116</v>
      </c>
      <c r="AB112" s="23">
        <f>EXP(-LN(2)/2)*AB111+(1-EXP(-LN(2)/2))/(LN(2)/2)*V112*Y112*VLOOKUP('Données projet'!$B$9,Paramètres!$A$1:$I$89,3,0)*0.475*44/12</f>
        <v>1.1398137438169189E-6</v>
      </c>
      <c r="AC112" s="24">
        <f t="shared" si="57"/>
        <v>73.607588234986025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-6.7984728957526396E-14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232.18344481135546</v>
      </c>
      <c r="T113" s="62">
        <f t="shared" si="88"/>
        <v>227.64962876101072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63.050346785934344</v>
      </c>
      <c r="AA113" s="23">
        <f>EXP(-LN(2)/25)*AA112+(1-EXP(-LN(2)/25))/(LN(2)/25)*Calculateur!V113*Calculateur!X113*VLOOKUP('Données projet'!$B$9,Paramètres!$A$1:$I$89,3,0)*0.475*44/12</f>
        <v>9.0419286833152697</v>
      </c>
      <c r="AB113" s="23">
        <f>EXP(-LN(2)/2)*AB112+(1-EXP(-LN(2)/2))/(LN(2)/2)*V113*Y113*VLOOKUP('Données projet'!$B$9,Paramètres!$A$1:$I$89,3,0)*0.475*44/12</f>
        <v>8.059700275425696E-7</v>
      </c>
      <c r="AC113" s="24">
        <f t="shared" si="57"/>
        <v>72.092276275219646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-6.7984728957526396E-14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232.18344481135546</v>
      </c>
      <c r="T114" s="62">
        <f t="shared" si="88"/>
        <v>227.64962876101072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61.813967942376408</v>
      </c>
      <c r="AA114" s="23">
        <f>EXP(-LN(2)/25)*AA113+(1-EXP(-LN(2)/25))/(LN(2)/25)*Calculateur!V114*Calculateur!X114*VLOOKUP('Données projet'!$B$9,Paramètres!$A$1:$I$89,3,0)*0.475*44/12</f>
        <v>8.794676667975649</v>
      </c>
      <c r="AB114" s="23">
        <f>EXP(-LN(2)/2)*AB113+(1-EXP(-LN(2)/2))/(LN(2)/2)*V114*Y114*VLOOKUP('Données projet'!$B$9,Paramètres!$A$1:$I$89,3,0)*0.475*44/12</f>
        <v>5.6990687190845944E-7</v>
      </c>
      <c r="AC114" s="24">
        <f t="shared" si="57"/>
        <v>70.608645180258932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-6.7984728957526396E-14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232.18344481135546</v>
      </c>
      <c r="T115" s="62">
        <f t="shared" si="88"/>
        <v>227.64962876101072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60.601833733824009</v>
      </c>
      <c r="AA115" s="23">
        <f>EXP(-LN(2)/25)*AA114+(1-EXP(-LN(2)/25))/(LN(2)/25)*Calculateur!V115*Calculateur!X115*VLOOKUP('Données projet'!$B$9,Paramètres!$A$1:$I$89,3,0)*0.475*44/12</f>
        <v>8.5541857719979095</v>
      </c>
      <c r="AB115" s="23">
        <f>EXP(-LN(2)/2)*AB114+(1-EXP(-LN(2)/2))/(LN(2)/2)*V115*Y115*VLOOKUP('Données projet'!$B$9,Paramètres!$A$1:$I$89,3,0)*0.475*44/12</f>
        <v>4.029850137712848E-7</v>
      </c>
      <c r="AC115" s="24">
        <f t="shared" si="57"/>
        <v>69.156019908806925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-6.7984728957526396E-14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232.18344481135546</v>
      </c>
      <c r="T116" s="62">
        <f t="shared" si="88"/>
        <v>227.64962876101072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59.413468737772455</v>
      </c>
      <c r="AA116" s="23">
        <f>EXP(-LN(2)/25)*AA115+(1-EXP(-LN(2)/25))/(LN(2)/25)*Calculateur!V116*Calculateur!X116*VLOOKUP('Données projet'!$B$9,Paramètres!$A$1:$I$89,3,0)*0.475*44/12</f>
        <v>8.3202711122175472</v>
      </c>
      <c r="AB116" s="23">
        <f>EXP(-LN(2)/2)*AB115+(1-EXP(-LN(2)/2))/(LN(2)/2)*V116*Y116*VLOOKUP('Données projet'!$B$9,Paramètres!$A$1:$I$89,3,0)*0.475*44/12</f>
        <v>2.8495343595422972E-7</v>
      </c>
      <c r="AC116" s="24">
        <f t="shared" si="57"/>
        <v>67.733740134943432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-6.7984728957526396E-14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232.18344481135546</v>
      </c>
      <c r="T117" s="62">
        <f t="shared" si="88"/>
        <v>227.64962876101072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58.248406854462395</v>
      </c>
      <c r="AA117" s="23">
        <f>EXP(-LN(2)/25)*AA116+(1-EXP(-LN(2)/25))/(LN(2)/25)*Calculateur!V117*Calculateur!X117*VLOOKUP('Données projet'!$B$9,Paramètres!$A$1:$I$89,3,0)*0.475*44/12</f>
        <v>8.0927528611099167</v>
      </c>
      <c r="AB117" s="23">
        <f>EXP(-LN(2)/2)*AB116+(1-EXP(-LN(2)/2))/(LN(2)/2)*V117*Y117*VLOOKUP('Données projet'!$B$9,Paramètres!$A$1:$I$89,3,0)*0.475*44/12</f>
        <v>2.014925068856424E-7</v>
      </c>
      <c r="AC117" s="24">
        <f t="shared" si="57"/>
        <v>66.341159917064829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-6.7984728957526396E-14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232.18344481135546</v>
      </c>
      <c r="T118" s="62">
        <f t="shared" si="88"/>
        <v>227.64962876101072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57.10619112406647</v>
      </c>
      <c r="AA118" s="23">
        <f>EXP(-LN(2)/25)*AA117+(1-EXP(-LN(2)/25))/(LN(2)/25)*Calculateur!V118*Calculateur!X118*VLOOKUP('Données projet'!$B$9,Paramètres!$A$1:$I$89,3,0)*0.475*44/12</f>
        <v>7.8714561085434891</v>
      </c>
      <c r="AB118" s="23">
        <f>EXP(-LN(2)/2)*AB117+(1-EXP(-LN(2)/2))/(LN(2)/2)*V118*Y118*VLOOKUP('Données projet'!$B$9,Paramètres!$A$1:$I$89,3,0)*0.475*44/12</f>
        <v>1.4247671797711486E-7</v>
      </c>
      <c r="AC118" s="24">
        <f t="shared" si="57"/>
        <v>64.977647375086676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-6.7984728957526396E-14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232.18344481135546</v>
      </c>
      <c r="T119" s="62">
        <f t="shared" si="88"/>
        <v>227.64962876101072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55.986373547460801</v>
      </c>
      <c r="AA119" s="23">
        <f>EXP(-LN(2)/25)*AA118+(1-EXP(-LN(2)/25))/(LN(2)/25)*Calculateur!V119*Calculateur!X119*VLOOKUP('Données projet'!$B$9,Paramètres!$A$1:$I$89,3,0)*0.475*44/12</f>
        <v>7.6562107273134812</v>
      </c>
      <c r="AB119" s="23">
        <f>EXP(-LN(2)/2)*AB118+(1-EXP(-LN(2)/2))/(LN(2)/2)*V119*Y119*VLOOKUP('Données projet'!$B$9,Paramètres!$A$1:$I$89,3,0)*0.475*44/12</f>
        <v>1.007462534428212E-7</v>
      </c>
      <c r="AC119" s="24">
        <f t="shared" si="57"/>
        <v>63.642584375520535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-6.7984728957526396E-14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232.18344481135546</v>
      </c>
      <c r="T120" s="62">
        <f t="shared" si="88"/>
        <v>227.64962876101072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54.888514910511091</v>
      </c>
      <c r="AA120" s="23">
        <f>EXP(-LN(2)/25)*AA119+(1-EXP(-LN(2)/25))/(LN(2)/25)*Calculateur!V120*Calculateur!X120*VLOOKUP('Données projet'!$B$9,Paramètres!$A$1:$I$89,3,0)*0.475*44/12</f>
        <v>7.4468512423524702</v>
      </c>
      <c r="AB120" s="23">
        <f>EXP(-LN(2)/2)*AB119+(1-EXP(-LN(2)/2))/(LN(2)/2)*V120*Y120*VLOOKUP('Données projet'!$B$9,Paramètres!$A$1:$I$89,3,0)*0.475*44/12</f>
        <v>7.123835898855743E-8</v>
      </c>
      <c r="AC120" s="24">
        <f t="shared" si="57"/>
        <v>62.335366224101925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-6.7984728957526396E-14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232.18344481135546</v>
      </c>
      <c r="T121" s="62">
        <f t="shared" si="88"/>
        <v>227.64962876101072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53.812184611804319</v>
      </c>
      <c r="AA121" s="23">
        <f>EXP(-LN(2)/25)*AA120+(1-EXP(-LN(2)/25))/(LN(2)/25)*Calculateur!V121*Calculateur!X121*VLOOKUP('Données projet'!$B$9,Paramètres!$A$1:$I$89,3,0)*0.475*44/12</f>
        <v>7.2432167035174553</v>
      </c>
      <c r="AB121" s="23">
        <f>EXP(-LN(2)/2)*AB120+(1-EXP(-LN(2)/2))/(LN(2)/2)*V121*Y121*VLOOKUP('Données projet'!$B$9,Paramètres!$A$1:$I$89,3,0)*0.475*44/12</f>
        <v>5.03731267214106E-8</v>
      </c>
      <c r="AC121" s="24">
        <f t="shared" si="57"/>
        <v>61.055401365694898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-6.7984728957526396E-14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232.18344481135546</v>
      </c>
      <c r="T122" s="62">
        <f t="shared" si="88"/>
        <v>227.64962876101072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52.756960493758527</v>
      </c>
      <c r="AA122" s="23">
        <f>EXP(-LN(2)/25)*AA121+(1-EXP(-LN(2)/25))/(LN(2)/25)*Calculateur!V122*Calculateur!X122*VLOOKUP('Données projet'!$B$9,Paramètres!$A$1:$I$89,3,0)*0.475*44/12</f>
        <v>7.045150561855559</v>
      </c>
      <c r="AB122" s="23">
        <f>EXP(-LN(2)/2)*AB121+(1-EXP(-LN(2)/2))/(LN(2)/2)*V122*Y122*VLOOKUP('Données projet'!$B$9,Paramètres!$A$1:$I$89,3,0)*0.475*44/12</f>
        <v>3.5619179494278715E-8</v>
      </c>
      <c r="AC122" s="24">
        <f t="shared" si="57"/>
        <v>59.802111091233265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-6.7984728957526396E-14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232.18344481135546</v>
      </c>
      <c r="T123" s="62">
        <f t="shared" si="88"/>
        <v>227.64962876101072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51.722428677044455</v>
      </c>
      <c r="AA123" s="23">
        <f>EXP(-LN(2)/25)*AA122+(1-EXP(-LN(2)/25))/(LN(2)/25)*Calculateur!V123*Calculateur!X123*VLOOKUP('Données projet'!$B$9,Paramètres!$A$1:$I$89,3,0)*0.475*44/12</f>
        <v>6.8525005492532527</v>
      </c>
      <c r="AB123" s="23">
        <f>EXP(-LN(2)/2)*AB122+(1-EXP(-LN(2)/2))/(LN(2)/2)*V123*Y123*VLOOKUP('Données projet'!$B$9,Paramètres!$A$1:$I$89,3,0)*0.475*44/12</f>
        <v>2.51865633607053E-8</v>
      </c>
      <c r="AC123" s="24">
        <f t="shared" si="57"/>
        <v>58.574929251484271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-6.7984728957526396E-14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232.18344481135546</v>
      </c>
      <c r="T124" s="62">
        <f t="shared" si="88"/>
        <v>227.64962876101072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50.708183398254043</v>
      </c>
      <c r="AA124" s="23">
        <f>EXP(-LN(2)/25)*AA123+(1-EXP(-LN(2)/25))/(LN(2)/25)*Calculateur!V124*Calculateur!X124*VLOOKUP('Données projet'!$B$9,Paramètres!$A$1:$I$89,3,0)*0.475*44/12</f>
        <v>6.6651185613765804</v>
      </c>
      <c r="AB124" s="23">
        <f>EXP(-LN(2)/2)*AB123+(1-EXP(-LN(2)/2))/(LN(2)/2)*V124*Y124*VLOOKUP('Données projet'!$B$9,Paramètres!$A$1:$I$89,3,0)*0.475*44/12</f>
        <v>1.7809589747139357E-8</v>
      </c>
      <c r="AC124" s="24">
        <f t="shared" si="57"/>
        <v>57.373301977440214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-6.7984728957526396E-14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232.18344481135546</v>
      </c>
      <c r="T125" s="62">
        <f t="shared" si="88"/>
        <v>227.64962876101072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49.713826850752177</v>
      </c>
      <c r="AA125" s="23">
        <f>EXP(-LN(2)/25)*AA124+(1-EXP(-LN(2)/25))/(LN(2)/25)*Calculateur!V125*Calculateur!X125*VLOOKUP('Données projet'!$B$9,Paramètres!$A$1:$I$89,3,0)*0.475*44/12</f>
        <v>6.4828605438123859</v>
      </c>
      <c r="AB125" s="23">
        <f>EXP(-LN(2)/2)*AB124+(1-EXP(-LN(2)/2))/(LN(2)/2)*V125*Y125*VLOOKUP('Données projet'!$B$9,Paramètres!$A$1:$I$89,3,0)*0.475*44/12</f>
        <v>1.259328168035265E-8</v>
      </c>
      <c r="AC125" s="24">
        <f t="shared" si="57"/>
        <v>56.196687407157846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-6.7984728957526396E-14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232.18344481135546</v>
      </c>
      <c r="T126" s="62">
        <f t="shared" si="88"/>
        <v>227.64962876101072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48.738969028649215</v>
      </c>
      <c r="AA126" s="23">
        <f>EXP(-LN(2)/25)*AA125+(1-EXP(-LN(2)/25))/(LN(2)/25)*Calculateur!V126*Calculateur!X126*VLOOKUP('Données projet'!$B$9,Paramètres!$A$1:$I$89,3,0)*0.475*44/12</f>
        <v>6.3055863813230166</v>
      </c>
      <c r="AB126" s="23">
        <f>EXP(-LN(2)/2)*AB125+(1-EXP(-LN(2)/2))/(LN(2)/2)*V126*Y126*VLOOKUP('Données projet'!$B$9,Paramètres!$A$1:$I$89,3,0)*0.475*44/12</f>
        <v>8.9047948735696787E-9</v>
      </c>
      <c r="AC126" s="24">
        <f t="shared" si="57"/>
        <v>55.044555418877025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-6.7984728957526396E-14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232.18344481135546</v>
      </c>
      <c r="T127" s="62">
        <f t="shared" si="88"/>
        <v>227.64962876101072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47.78322757383313</v>
      </c>
      <c r="AA127" s="23">
        <f>EXP(-LN(2)/25)*AA126+(1-EXP(-LN(2)/25))/(LN(2)/25)*Calculateur!V127*Calculateur!X127*VLOOKUP('Données projet'!$B$9,Paramètres!$A$1:$I$89,3,0)*0.475*44/12</f>
        <v>6.1331597901293629</v>
      </c>
      <c r="AB127" s="23">
        <f>EXP(-LN(2)/2)*AB126+(1-EXP(-LN(2)/2))/(LN(2)/2)*V127*Y127*VLOOKUP('Données projet'!$B$9,Paramètres!$A$1:$I$89,3,0)*0.475*44/12</f>
        <v>6.296640840176325E-9</v>
      </c>
      <c r="AC127" s="24">
        <f t="shared" si="57"/>
        <v>53.91638737025913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-6.7984728957526396E-14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232.18344481135546</v>
      </c>
      <c r="T128" s="62">
        <f t="shared" si="88"/>
        <v>227.64962876101072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46.846227626001266</v>
      </c>
      <c r="AA128" s="23">
        <f>EXP(-LN(2)/25)*AA127+(1-EXP(-LN(2)/25))/(LN(2)/25)*Calculateur!V128*Calculateur!X128*VLOOKUP('Données projet'!$B$9,Paramètres!$A$1:$I$89,3,0)*0.475*44/12</f>
        <v>5.9654482131394193</v>
      </c>
      <c r="AB128" s="23">
        <f>EXP(-LN(2)/2)*AB127+(1-EXP(-LN(2)/2))/(LN(2)/2)*V128*Y128*VLOOKUP('Données projet'!$B$9,Paramètres!$A$1:$I$89,3,0)*0.475*44/12</f>
        <v>4.4523974367848393E-9</v>
      </c>
      <c r="AC128" s="24">
        <f t="shared" si="57"/>
        <v>52.811675843593079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-6.7984728957526396E-14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232.18344481135546</v>
      </c>
      <c r="T129" s="62">
        <f t="shared" si="88"/>
        <v>227.64962876101072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45.927601675632843</v>
      </c>
      <c r="AA129" s="23">
        <f>EXP(-LN(2)/25)*AA128+(1-EXP(-LN(2)/25))/(LN(2)/25)*Calculateur!V129*Calculateur!X129*VLOOKUP('Données projet'!$B$9,Paramètres!$A$1:$I$89,3,0)*0.475*44/12</f>
        <v>5.8023227180418342</v>
      </c>
      <c r="AB129" s="23">
        <f>EXP(-LN(2)/2)*AB128+(1-EXP(-LN(2)/2))/(LN(2)/2)*V129*Y129*VLOOKUP('Données projet'!$B$9,Paramètres!$A$1:$I$89,3,0)*0.475*44/12</f>
        <v>3.1483204200881625E-9</v>
      </c>
      <c r="AC129" s="24">
        <f t="shared" si="57"/>
        <v>51.729924396823002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-6.7984728957526396E-14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232.18344481135546</v>
      </c>
      <c r="T130" s="62">
        <f t="shared" si="88"/>
        <v>227.64962876101072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45.026989419844647</v>
      </c>
      <c r="AA130" s="23">
        <f>EXP(-LN(2)/25)*AA129+(1-EXP(-LN(2)/25))/(LN(2)/25)*Calculateur!V130*Calculateur!X130*VLOOKUP('Données projet'!$B$9,Paramètres!$A$1:$I$89,3,0)*0.475*44/12</f>
        <v>5.6436578981860901</v>
      </c>
      <c r="AB130" s="23">
        <f>EXP(-LN(2)/2)*AB129+(1-EXP(-LN(2)/2))/(LN(2)/2)*V130*Y130*VLOOKUP('Données projet'!$B$9,Paramètres!$A$1:$I$89,3,0)*0.475*44/12</f>
        <v>2.2261987183924197E-9</v>
      </c>
      <c r="AC130" s="24">
        <f t="shared" si="57"/>
        <v>50.67064732025694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-6.7984728957526396E-14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232.18344481135546</v>
      </c>
      <c r="T131" s="62">
        <f t="shared" si="88"/>
        <v>227.64962876101072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44.144037621073217</v>
      </c>
      <c r="AA131" s="23">
        <f>EXP(-LN(2)/25)*AA130+(1-EXP(-LN(2)/25))/(LN(2)/25)*Calculateur!V131*Calculateur!X131*VLOOKUP('Données projet'!$B$9,Paramètres!$A$1:$I$89,3,0)*0.475*44/12</f>
        <v>5.4893317761731213</v>
      </c>
      <c r="AB131" s="23">
        <f>EXP(-LN(2)/2)*AB130+(1-EXP(-LN(2)/2))/(LN(2)/2)*V131*Y131*VLOOKUP('Données projet'!$B$9,Paramètres!$A$1:$I$89,3,0)*0.475*44/12</f>
        <v>1.5741602100440813E-9</v>
      </c>
      <c r="AC131" s="24">
        <f t="shared" si="57"/>
        <v>49.633369398820498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-6.7984728957526396E-14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232.18344481135546</v>
      </c>
      <c r="T132" s="62">
        <f t="shared" si="88"/>
        <v>227.64962876101072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43.278399968528277</v>
      </c>
      <c r="AA132" s="23">
        <f>EXP(-LN(2)/25)*AA131+(1-EXP(-LN(2)/25))/(LN(2)/25)*Calculateur!V132*Calculateur!X132*VLOOKUP('Données projet'!$B$9,Paramètres!$A$1:$I$89,3,0)*0.475*44/12</f>
        <v>5.3392257100822551</v>
      </c>
      <c r="AB132" s="23">
        <f>EXP(-LN(2)/2)*AB131+(1-EXP(-LN(2)/2))/(LN(2)/2)*V132*Y132*VLOOKUP('Données projet'!$B$9,Paramètres!$A$1:$I$89,3,0)*0.475*44/12</f>
        <v>1.1130993591962098E-9</v>
      </c>
      <c r="AC132" s="24">
        <f t="shared" ref="AC132:AC153" si="111">SUM(Z132:AB132)</f>
        <v>48.617625679723631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-6.7984728957526396E-14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232.18344481135546</v>
      </c>
      <c r="T133" s="62">
        <f t="shared" ref="T133:T196" si="142">$T$3</f>
        <v>227.64962876101072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42.429736942362908</v>
      </c>
      <c r="AA133" s="23">
        <f>EXP(-LN(2)/25)*AA132+(1-EXP(-LN(2)/25))/(LN(2)/25)*Calculateur!V133*Calculateur!X133*VLOOKUP('Données projet'!$B$9,Paramètres!$A$1:$I$89,3,0)*0.475*44/12</f>
        <v>5.1932243022623785</v>
      </c>
      <c r="AB133" s="23">
        <f>EXP(-LN(2)/2)*AB132+(1-EXP(-LN(2)/2))/(LN(2)/2)*V133*Y133*VLOOKUP('Données projet'!$B$9,Paramètres!$A$1:$I$89,3,0)*0.475*44/12</f>
        <v>7.8708010502204063E-10</v>
      </c>
      <c r="AC133" s="24">
        <f t="shared" si="111"/>
        <v>47.62296124541237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-6.7984728957526396E-14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232.18344481135546</v>
      </c>
      <c r="T134" s="62">
        <f t="shared" si="142"/>
        <v>227.64962876101072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41.597715680507307</v>
      </c>
      <c r="AA134" s="23">
        <f>EXP(-LN(2)/25)*AA133+(1-EXP(-LN(2)/25))/(LN(2)/25)*Calculateur!V134*Calculateur!X134*VLOOKUP('Données projet'!$B$9,Paramètres!$A$1:$I$89,3,0)*0.475*44/12</f>
        <v>5.0512153106172173</v>
      </c>
      <c r="AB134" s="23">
        <f>EXP(-LN(2)/2)*AB133+(1-EXP(-LN(2)/2))/(LN(2)/2)*V134*Y134*VLOOKUP('Données projet'!$B$9,Paramètres!$A$1:$I$89,3,0)*0.475*44/12</f>
        <v>5.5654967959810492E-10</v>
      </c>
      <c r="AC134" s="24">
        <f t="shared" si="111"/>
        <v>46.64893099168107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-6.7984728957526396E-14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232.18344481135546</v>
      </c>
      <c r="T135" s="62">
        <f t="shared" si="142"/>
        <v>227.64962876101072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40.782009848113837</v>
      </c>
      <c r="AA135" s="23">
        <f>EXP(-LN(2)/25)*AA134+(1-EXP(-LN(2)/25))/(LN(2)/25)*Calculateur!V135*Calculateur!X135*VLOOKUP('Données projet'!$B$9,Paramètres!$A$1:$I$89,3,0)*0.475*44/12</f>
        <v>4.9130895623165207</v>
      </c>
      <c r="AB135" s="23">
        <f>EXP(-LN(2)/2)*AB134+(1-EXP(-LN(2)/2))/(LN(2)/2)*V135*Y135*VLOOKUP('Données projet'!$B$9,Paramètres!$A$1:$I$89,3,0)*0.475*44/12</f>
        <v>3.9354005251102031E-10</v>
      </c>
      <c r="AC135" s="24">
        <f t="shared" si="111"/>
        <v>45.6950994108239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-6.7984728957526396E-14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232.18344481135546</v>
      </c>
      <c r="T136" s="62">
        <f t="shared" si="142"/>
        <v>227.64962876101072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39.982299509562175</v>
      </c>
      <c r="AA136" s="23">
        <f>EXP(-LN(2)/25)*AA135+(1-EXP(-LN(2)/25))/(LN(2)/25)*Calculateur!V136*Calculateur!X136*VLOOKUP('Données projet'!$B$9,Paramètres!$A$1:$I$89,3,0)*0.475*44/12</f>
        <v>4.7787408698668248</v>
      </c>
      <c r="AB136" s="23">
        <f>EXP(-LN(2)/2)*AB135+(1-EXP(-LN(2)/2))/(LN(2)/2)*V136*Y136*VLOOKUP('Données projet'!$B$9,Paramètres!$A$1:$I$89,3,0)*0.475*44/12</f>
        <v>2.7827483979905246E-10</v>
      </c>
      <c r="AC136" s="24">
        <f t="shared" si="111"/>
        <v>44.761040379707275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-6.7984728957526396E-14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232.18344481135546</v>
      </c>
      <c r="T137" s="62">
        <f t="shared" si="142"/>
        <v>227.64962876101072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39.198271002974366</v>
      </c>
      <c r="AA137" s="23">
        <f>EXP(-LN(2)/25)*AA136+(1-EXP(-LN(2)/25))/(LN(2)/25)*Calculateur!V137*Calculateur!X137*VLOOKUP('Données projet'!$B$9,Paramètres!$A$1:$I$89,3,0)*0.475*44/12</f>
        <v>4.6480659494772558</v>
      </c>
      <c r="AB137" s="23">
        <f>EXP(-LN(2)/2)*AB136+(1-EXP(-LN(2)/2))/(LN(2)/2)*V137*Y137*VLOOKUP('Données projet'!$B$9,Paramètres!$A$1:$I$89,3,0)*0.475*44/12</f>
        <v>1.9677002625551016E-10</v>
      </c>
      <c r="AC137" s="24">
        <f t="shared" si="111"/>
        <v>43.846336952648393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-6.7984728957526396E-14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232.18344481135546</v>
      </c>
      <c r="T138" s="62">
        <f t="shared" si="142"/>
        <v>227.64962876101072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38.429616817190571</v>
      </c>
      <c r="AA138" s="23">
        <f>EXP(-LN(2)/25)*AA137+(1-EXP(-LN(2)/25))/(LN(2)/25)*Calculateur!V138*Calculateur!X138*VLOOKUP('Données projet'!$B$9,Paramètres!$A$1:$I$89,3,0)*0.475*44/12</f>
        <v>4.5209643416576348</v>
      </c>
      <c r="AB138" s="23">
        <f>EXP(-LN(2)/2)*AB137+(1-EXP(-LN(2)/2))/(LN(2)/2)*V138*Y138*VLOOKUP('Données projet'!$B$9,Paramètres!$A$1:$I$89,3,0)*0.475*44/12</f>
        <v>1.3913741989952623E-10</v>
      </c>
      <c r="AC138" s="24">
        <f t="shared" si="111"/>
        <v>42.950581158987347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-6.7984728957526396E-14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232.18344481135546</v>
      </c>
      <c r="T139" s="62">
        <f t="shared" si="142"/>
        <v>227.64962876101072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37.676035471157242</v>
      </c>
      <c r="AA139" s="23">
        <f>EXP(-LN(2)/25)*AA138+(1-EXP(-LN(2)/25))/(LN(2)/25)*Calculateur!V139*Calculateur!X139*VLOOKUP('Données projet'!$B$9,Paramètres!$A$1:$I$89,3,0)*0.475*44/12</f>
        <v>4.3973383339878245</v>
      </c>
      <c r="AB139" s="23">
        <f>EXP(-LN(2)/2)*AB138+(1-EXP(-LN(2)/2))/(LN(2)/2)*V139*Y139*VLOOKUP('Données projet'!$B$9,Paramètres!$A$1:$I$89,3,0)*0.475*44/12</f>
        <v>9.8385013127755079E-11</v>
      </c>
      <c r="AC139" s="24">
        <f t="shared" si="111"/>
        <v>42.073373805243449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-6.7984728957526396E-14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232.18344481135546</v>
      </c>
      <c r="T140" s="62">
        <f t="shared" si="142"/>
        <v>227.64962876101072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36.937231395680385</v>
      </c>
      <c r="AA140" s="23">
        <f>EXP(-LN(2)/25)*AA139+(1-EXP(-LN(2)/25))/(LN(2)/25)*Calculateur!V140*Calculateur!X140*VLOOKUP('Données projet'!$B$9,Paramètres!$A$1:$I$89,3,0)*0.475*44/12</f>
        <v>4.2770928859989548</v>
      </c>
      <c r="AB140" s="23">
        <f>EXP(-LN(2)/2)*AB139+(1-EXP(-LN(2)/2))/(LN(2)/2)*V140*Y140*VLOOKUP('Données projet'!$B$9,Paramètres!$A$1:$I$89,3,0)*0.475*44/12</f>
        <v>6.9568709949763115E-11</v>
      </c>
      <c r="AC140" s="24">
        <f t="shared" si="111"/>
        <v>41.214324281748908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-6.7984728957526396E-14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232.18344481135546</v>
      </c>
      <c r="T141" s="62">
        <f t="shared" si="142"/>
        <v>227.64962876101072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36.212914817497641</v>
      </c>
      <c r="AA141" s="23">
        <f>EXP(-LN(2)/25)*AA140+(1-EXP(-LN(2)/25))/(LN(2)/25)*Calculateur!V141*Calculateur!X141*VLOOKUP('Données projet'!$B$9,Paramètres!$A$1:$I$89,3,0)*0.475*44/12</f>
        <v>4.1601355561087736</v>
      </c>
      <c r="AB141" s="23">
        <f>EXP(-LN(2)/2)*AB140+(1-EXP(-LN(2)/2))/(LN(2)/2)*V141*Y141*VLOOKUP('Données projet'!$B$9,Paramètres!$A$1:$I$89,3,0)*0.475*44/12</f>
        <v>4.9192506563877539E-11</v>
      </c>
      <c r="AC141" s="24">
        <f t="shared" si="111"/>
        <v>40.373050373655609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-6.7984728957526396E-14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232.18344481135546</v>
      </c>
      <c r="T142" s="62">
        <f t="shared" si="142"/>
        <v>227.64962876101072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35.50280164562357</v>
      </c>
      <c r="AA142" s="23">
        <f>EXP(-LN(2)/25)*AA141+(1-EXP(-LN(2)/25))/(LN(2)/25)*Calculateur!V142*Calculateur!X142*VLOOKUP('Données projet'!$B$9,Paramètres!$A$1:$I$89,3,0)*0.475*44/12</f>
        <v>4.0463764305549583</v>
      </c>
      <c r="AB142" s="23">
        <f>EXP(-LN(2)/2)*AB141+(1-EXP(-LN(2)/2))/(LN(2)/2)*V142*Y142*VLOOKUP('Données projet'!$B$9,Paramètres!$A$1:$I$89,3,0)*0.475*44/12</f>
        <v>3.4784354974881557E-11</v>
      </c>
      <c r="AC142" s="24">
        <f t="shared" si="111"/>
        <v>39.549178076213309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-6.7984728957526396E-14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232.18344481135546</v>
      </c>
      <c r="T143" s="62">
        <f t="shared" si="142"/>
        <v>227.64962876101072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34.806613359923688</v>
      </c>
      <c r="AA143" s="23">
        <f>EXP(-LN(2)/25)*AA142+(1-EXP(-LN(2)/25))/(LN(2)/25)*Calculateur!V143*Calculateur!X143*VLOOKUP('Données projet'!$B$9,Paramètres!$A$1:$I$89,3,0)*0.475*44/12</f>
        <v>3.9357280542717445</v>
      </c>
      <c r="AB143" s="23">
        <f>EXP(-LN(2)/2)*AB142+(1-EXP(-LN(2)/2))/(LN(2)/2)*V143*Y143*VLOOKUP('Données projet'!$B$9,Paramètres!$A$1:$I$89,3,0)*0.475*44/12</f>
        <v>2.459625328193877E-11</v>
      </c>
      <c r="AC143" s="24">
        <f t="shared" si="111"/>
        <v>38.742341414220029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-6.7984728957526396E-14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232.18344481135546</v>
      </c>
      <c r="T144" s="62">
        <f t="shared" si="142"/>
        <v>227.64962876101072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34.124076901873451</v>
      </c>
      <c r="AA144" s="23">
        <f>EXP(-LN(2)/25)*AA143+(1-EXP(-LN(2)/25))/(LN(2)/25)*Calculateur!V144*Calculateur!X144*VLOOKUP('Données projet'!$B$9,Paramètres!$A$1:$I$89,3,0)*0.475*44/12</f>
        <v>3.8281053636567406</v>
      </c>
      <c r="AB144" s="23">
        <f>EXP(-LN(2)/2)*AB143+(1-EXP(-LN(2)/2))/(LN(2)/2)*V144*Y144*VLOOKUP('Données projet'!$B$9,Paramètres!$A$1:$I$89,3,0)*0.475*44/12</f>
        <v>1.7392177487440779E-11</v>
      </c>
      <c r="AC144" s="24">
        <f t="shared" si="111"/>
        <v>37.952182265547584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-6.7984728957526396E-14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232.18344481135546</v>
      </c>
      <c r="T145" s="62">
        <f t="shared" si="142"/>
        <v>227.64962876101072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33.45492456745945</v>
      </c>
      <c r="AA145" s="23">
        <f>EXP(-LN(2)/25)*AA144+(1-EXP(-LN(2)/25))/(LN(2)/25)*Calculateur!V145*Calculateur!X145*VLOOKUP('Données projet'!$B$9,Paramètres!$A$1:$I$89,3,0)*0.475*44/12</f>
        <v>3.7234256211762351</v>
      </c>
      <c r="AB145" s="23">
        <f>EXP(-LN(2)/2)*AB144+(1-EXP(-LN(2)/2))/(LN(2)/2)*V145*Y145*VLOOKUP('Données projet'!$B$9,Paramètres!$A$1:$I$89,3,0)*0.475*44/12</f>
        <v>1.2298126640969385E-11</v>
      </c>
      <c r="AC145" s="24">
        <f t="shared" si="111"/>
        <v>37.178350188647983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-6.7984728957526396E-14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232.18344481135546</v>
      </c>
      <c r="T146" s="62">
        <f t="shared" si="142"/>
        <v>227.64962876101072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32.79889390218068</v>
      </c>
      <c r="AA146" s="23">
        <f>EXP(-LN(2)/25)*AA145+(1-EXP(-LN(2)/25))/(LN(2)/25)*Calculateur!V146*Calculateur!X146*VLOOKUP('Données projet'!$B$9,Paramètres!$A$1:$I$89,3,0)*0.475*44/12</f>
        <v>3.6216083517587276</v>
      </c>
      <c r="AB146" s="23">
        <f>EXP(-LN(2)/2)*AB145+(1-EXP(-LN(2)/2))/(LN(2)/2)*V146*Y146*VLOOKUP('Données projet'!$B$9,Paramètres!$A$1:$I$89,3,0)*0.475*44/12</f>
        <v>8.6960887437203894E-12</v>
      </c>
      <c r="AC146" s="24">
        <f t="shared" si="111"/>
        <v>36.420502253948108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-6.7984728957526396E-14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232.18344481135546</v>
      </c>
      <c r="T147" s="62">
        <f t="shared" si="142"/>
        <v>227.64962876101072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32.155727598108832</v>
      </c>
      <c r="AA147" s="23">
        <f>EXP(-LN(2)/25)*AA146+(1-EXP(-LN(2)/25))/(LN(2)/25)*Calculateur!V147*Calculateur!X147*VLOOKUP('Données projet'!$B$9,Paramètres!$A$1:$I$89,3,0)*0.475*44/12</f>
        <v>3.5225752809277795</v>
      </c>
      <c r="AB147" s="23">
        <f>EXP(-LN(2)/2)*AB146+(1-EXP(-LN(2)/2))/(LN(2)/2)*V147*Y147*VLOOKUP('Données projet'!$B$9,Paramètres!$A$1:$I$89,3,0)*0.475*44/12</f>
        <v>6.1490633204846924E-12</v>
      </c>
      <c r="AC147" s="24">
        <f t="shared" si="111"/>
        <v>35.678302879042761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-6.7984728957526396E-14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232.18344481135546</v>
      </c>
      <c r="T148" s="62">
        <f t="shared" si="142"/>
        <v>227.64962876101072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31.525173392967126</v>
      </c>
      <c r="AA148" s="23">
        <f>EXP(-LN(2)/25)*AA147+(1-EXP(-LN(2)/25))/(LN(2)/25)*Calculateur!V148*Calculateur!X148*VLOOKUP('Données projet'!$B$9,Paramètres!$A$1:$I$89,3,0)*0.475*44/12</f>
        <v>3.4262502746266263</v>
      </c>
      <c r="AB148" s="23">
        <f>EXP(-LN(2)/2)*AB147+(1-EXP(-LN(2)/2))/(LN(2)/2)*V148*Y148*VLOOKUP('Données projet'!$B$9,Paramètres!$A$1:$I$89,3,0)*0.475*44/12</f>
        <v>4.3480443718601947E-12</v>
      </c>
      <c r="AC148" s="24">
        <f t="shared" si="111"/>
        <v>34.9514236675981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-6.7984728957526396E-14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232.18344481135546</v>
      </c>
      <c r="T149" s="62">
        <f t="shared" si="142"/>
        <v>227.64962876101072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30.906983971188158</v>
      </c>
      <c r="AA149" s="23">
        <f>EXP(-LN(2)/25)*AA148+(1-EXP(-LN(2)/25))/(LN(2)/25)*Calculateur!V149*Calculateur!X149*VLOOKUP('Données projet'!$B$9,Paramètres!$A$1:$I$89,3,0)*0.475*44/12</f>
        <v>3.3325592806882902</v>
      </c>
      <c r="AB149" s="23">
        <f>EXP(-LN(2)/2)*AB148+(1-EXP(-LN(2)/2))/(LN(2)/2)*V149*Y149*VLOOKUP('Données projet'!$B$9,Paramètres!$A$1:$I$89,3,0)*0.475*44/12</f>
        <v>3.0745316602423462E-12</v>
      </c>
      <c r="AC149" s="24">
        <f t="shared" si="111"/>
        <v>34.239543251879525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-6.7984728957526396E-14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232.18344481135546</v>
      </c>
      <c r="T150" s="62">
        <f t="shared" si="142"/>
        <v>227.64962876101072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30.300916866911958</v>
      </c>
      <c r="AA150" s="23">
        <f>EXP(-LN(2)/25)*AA149+(1-EXP(-LN(2)/25))/(LN(2)/25)*Calculateur!V150*Calculateur!X150*VLOOKUP('Données projet'!$B$9,Paramètres!$A$1:$I$89,3,0)*0.475*44/12</f>
        <v>3.2414302719061929</v>
      </c>
      <c r="AB150" s="23">
        <f>EXP(-LN(2)/2)*AB149+(1-EXP(-LN(2)/2))/(LN(2)/2)*V150*Y150*VLOOKUP('Données projet'!$B$9,Paramètres!$A$1:$I$89,3,0)*0.475*44/12</f>
        <v>2.1740221859300973E-12</v>
      </c>
      <c r="AC150" s="24">
        <f t="shared" si="111"/>
        <v>33.542347138820325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-6.7984728957526396E-14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232.18344481135546</v>
      </c>
      <c r="T151" s="62">
        <f t="shared" si="142"/>
        <v>227.64962876101072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29.706734368886185</v>
      </c>
      <c r="AA151" s="23">
        <f>EXP(-LN(2)/25)*AA150+(1-EXP(-LN(2)/25))/(LN(2)/25)*Calculateur!V151*Calculateur!X151*VLOOKUP('Données projet'!$B$9,Paramètres!$A$1:$I$89,3,0)*0.475*44/12</f>
        <v>3.1527931906615083</v>
      </c>
      <c r="AB151" s="23">
        <f>EXP(-LN(2)/2)*AB150+(1-EXP(-LN(2)/2))/(LN(2)/2)*V151*Y151*VLOOKUP('Données projet'!$B$9,Paramètres!$A$1:$I$89,3,0)*0.475*44/12</f>
        <v>1.5372658301211731E-12</v>
      </c>
      <c r="AC151" s="24">
        <f t="shared" si="111"/>
        <v>32.859527559549228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-6.7984728957526396E-14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232.18344481135546</v>
      </c>
      <c r="T152" s="62">
        <f t="shared" si="142"/>
        <v>227.64962876101072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29.124203427231159</v>
      </c>
      <c r="AA152" s="23">
        <f>EXP(-LN(2)/25)*AA151+(1-EXP(-LN(2)/25))/(LN(2)/25)*Calculateur!V152*Calculateur!X152*VLOOKUP('Données projet'!$B$9,Paramètres!$A$1:$I$89,3,0)*0.475*44/12</f>
        <v>3.0665798950646814</v>
      </c>
      <c r="AB152" s="23">
        <f>EXP(-LN(2)/2)*AB151+(1-EXP(-LN(2)/2))/(LN(2)/2)*V152*Y152*VLOOKUP('Données projet'!$B$9,Paramètres!$A$1:$I$89,3,0)*0.475*44/12</f>
        <v>1.0870110929650487E-12</v>
      </c>
      <c r="AC152" s="24">
        <f t="shared" si="111"/>
        <v>32.19078332229693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-6.7984728957526396E-14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232.18344481135546</v>
      </c>
      <c r="T153" s="62">
        <f t="shared" si="142"/>
        <v>227.64962876101072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28.553095562033196</v>
      </c>
      <c r="AA153" s="23">
        <f>EXP(-LN(2)/25)*AA152+(1-EXP(-LN(2)/25))/(LN(2)/25)*Calculateur!V153*Calculateur!X153*VLOOKUP('Données projet'!$B$9,Paramètres!$A$1:$I$89,3,0)*0.475*44/12</f>
        <v>2.9827241065697097</v>
      </c>
      <c r="AB153" s="23">
        <f>EXP(-LN(2)/2)*AB152+(1-EXP(-LN(2)/2))/(LN(2)/2)*V153*Y153*VLOOKUP('Données projet'!$B$9,Paramètres!$A$1:$I$89,3,0)*0.475*44/12</f>
        <v>7.6863291506058655E-13</v>
      </c>
      <c r="AC153" s="24">
        <f t="shared" si="111"/>
        <v>31.535819668603672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-6.7984728957526396E-14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232.18344481135546</v>
      </c>
      <c r="T154" s="62">
        <f t="shared" si="142"/>
        <v>227.64962876101072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27.993186773730365</v>
      </c>
      <c r="AA154" s="23">
        <f>EXP(-LN(2)/25)*AA153+(1-EXP(-LN(2)/25))/(LN(2)/25)*Calculateur!V154*Calculateur!X154*VLOOKUP('Données projet'!$B$9,Paramètres!$A$1:$I$89,3,0)*0.475*44/12</f>
        <v>2.9011613590209171</v>
      </c>
      <c r="AB154" s="23">
        <f>EXP(-LN(2)/2)*AB153+(1-EXP(-LN(2)/2))/(LN(2)/2)*V154*Y154*VLOOKUP('Données projet'!$B$9,Paramètres!$A$1:$I$89,3,0)*0.475*44/12</f>
        <v>5.4350554648252433E-13</v>
      </c>
      <c r="AC154" s="24">
        <f t="shared" ref="AC154:AC203" si="163">SUM(Z154:AB154)</f>
        <v>30.894348132751826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-6.7984728957526396E-14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232.18344481135546</v>
      </c>
      <c r="T155" s="62">
        <f t="shared" si="142"/>
        <v>227.64962876101072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27.44425745525551</v>
      </c>
      <c r="AA155" s="23">
        <f>EXP(-LN(2)/25)*AA154+(1-EXP(-LN(2)/25))/(LN(2)/25)*Calculateur!V155*Calculateur!X155*VLOOKUP('Données projet'!$B$9,Paramètres!$A$1:$I$89,3,0)*0.475*44/12</f>
        <v>2.821828949093045</v>
      </c>
      <c r="AB155" s="23">
        <f>EXP(-LN(2)/2)*AB154+(1-EXP(-LN(2)/2))/(LN(2)/2)*V155*Y155*VLOOKUP('Données projet'!$B$9,Paramètres!$A$1:$I$89,3,0)*0.475*44/12</f>
        <v>3.8431645753029328E-13</v>
      </c>
      <c r="AC155" s="24">
        <f t="shared" si="163"/>
        <v>30.26608640434894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-6.7984728957526396E-14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232.18344481135546</v>
      </c>
      <c r="T156" s="62">
        <f t="shared" si="142"/>
        <v>227.64962876101072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26.906092305902124</v>
      </c>
      <c r="AA156" s="23">
        <f>EXP(-LN(2)/25)*AA155+(1-EXP(-LN(2)/25))/(LN(2)/25)*Calculateur!V156*Calculateur!X156*VLOOKUP('Données projet'!$B$9,Paramètres!$A$1:$I$89,3,0)*0.475*44/12</f>
        <v>2.7446658880865606</v>
      </c>
      <c r="AB156" s="23">
        <f>EXP(-LN(2)/2)*AB155+(1-EXP(-LN(2)/2))/(LN(2)/2)*V156*Y156*VLOOKUP('Données projet'!$B$9,Paramètres!$A$1:$I$89,3,0)*0.475*44/12</f>
        <v>2.7175277324126217E-13</v>
      </c>
      <c r="AC156" s="24">
        <f t="shared" si="163"/>
        <v>29.650758193988956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-6.7984728957526396E-14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232.18344481135546</v>
      </c>
      <c r="T157" s="62">
        <f t="shared" si="142"/>
        <v>227.64962876101072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26.378480246879228</v>
      </c>
      <c r="AA157" s="23">
        <f>EXP(-LN(2)/25)*AA156+(1-EXP(-LN(2)/25))/(LN(2)/25)*Calculateur!V157*Calculateur!X157*VLOOKUP('Données projet'!$B$9,Paramètres!$A$1:$I$89,3,0)*0.475*44/12</f>
        <v>2.6696128550411276</v>
      </c>
      <c r="AB157" s="23">
        <f>EXP(-LN(2)/2)*AB156+(1-EXP(-LN(2)/2))/(LN(2)/2)*V157*Y157*VLOOKUP('Données projet'!$B$9,Paramètres!$A$1:$I$89,3,0)*0.475*44/12</f>
        <v>1.9215822876514664E-13</v>
      </c>
      <c r="AC157" s="24">
        <f t="shared" si="163"/>
        <v>29.048093101920546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-6.7984728957526396E-14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232.18344481135546</v>
      </c>
      <c r="T158" s="62">
        <f t="shared" si="142"/>
        <v>227.64962876101072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25.861214338522192</v>
      </c>
      <c r="AA158" s="23">
        <f>EXP(-LN(2)/25)*AA157+(1-EXP(-LN(2)/25))/(LN(2)/25)*Calculateur!V158*Calculateur!X158*VLOOKUP('Données projet'!$B$9,Paramètres!$A$1:$I$89,3,0)*0.475*44/12</f>
        <v>2.5966121511311893</v>
      </c>
      <c r="AB158" s="23">
        <f>EXP(-LN(2)/2)*AB157+(1-EXP(-LN(2)/2))/(LN(2)/2)*V158*Y158*VLOOKUP('Données projet'!$B$9,Paramètres!$A$1:$I$89,3,0)*0.475*44/12</f>
        <v>1.3587638662063108E-13</v>
      </c>
      <c r="AC158" s="24">
        <f t="shared" si="163"/>
        <v>28.457826489653517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-6.7984728957526396E-14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232.18344481135546</v>
      </c>
      <c r="T159" s="62">
        <f t="shared" si="142"/>
        <v>227.64962876101072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25.354091699126986</v>
      </c>
      <c r="AA159" s="23">
        <f>EXP(-LN(2)/25)*AA158+(1-EXP(-LN(2)/25))/(LN(2)/25)*Calculateur!V159*Calculateur!X159*VLOOKUP('Données projet'!$B$9,Paramètres!$A$1:$I$89,3,0)*0.475*44/12</f>
        <v>2.5256076553086086</v>
      </c>
      <c r="AB159" s="23">
        <f>EXP(-LN(2)/2)*AB158+(1-EXP(-LN(2)/2))/(LN(2)/2)*V159*Y159*VLOOKUP('Données projet'!$B$9,Paramètres!$A$1:$I$89,3,0)*0.475*44/12</f>
        <v>9.6079114382573319E-14</v>
      </c>
      <c r="AC159" s="24">
        <f t="shared" si="163"/>
        <v>27.87969935443569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-6.7984728957526396E-14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232.18344481135546</v>
      </c>
      <c r="T160" s="62">
        <f t="shared" si="142"/>
        <v>227.64962876101072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24.856913425376053</v>
      </c>
      <c r="AA160" s="23">
        <f>EXP(-LN(2)/25)*AA159+(1-EXP(-LN(2)/25))/(LN(2)/25)*Calculateur!V160*Calculateur!X160*VLOOKUP('Données projet'!$B$9,Paramètres!$A$1:$I$89,3,0)*0.475*44/12</f>
        <v>2.4565447811582604</v>
      </c>
      <c r="AB160" s="23">
        <f>EXP(-LN(2)/2)*AB159+(1-EXP(-LN(2)/2))/(LN(2)/2)*V160*Y160*VLOOKUP('Données projet'!$B$9,Paramètres!$A$1:$I$89,3,0)*0.475*44/12</f>
        <v>6.7938193310315542E-14</v>
      </c>
      <c r="AC160" s="24">
        <f t="shared" si="163"/>
        <v>27.313458206534381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-6.7984728957526396E-14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232.18344481135546</v>
      </c>
      <c r="T161" s="62">
        <f t="shared" si="142"/>
        <v>227.64962876101072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24.369484514324572</v>
      </c>
      <c r="AA161" s="23">
        <f>EXP(-LN(2)/25)*AA160+(1-EXP(-LN(2)/25))/(LN(2)/25)*Calculateur!V161*Calculateur!X161*VLOOKUP('Données projet'!$B$9,Paramètres!$A$1:$I$89,3,0)*0.475*44/12</f>
        <v>2.3893704349334124</v>
      </c>
      <c r="AB161" s="23">
        <f>EXP(-LN(2)/2)*AB160+(1-EXP(-LN(2)/2))/(LN(2)/2)*V161*Y161*VLOOKUP('Données projet'!$B$9,Paramètres!$A$1:$I$89,3,0)*0.475*44/12</f>
        <v>4.8039557191286659E-14</v>
      </c>
      <c r="AC161" s="24">
        <f t="shared" si="163"/>
        <v>26.758854949258033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-6.7984728957526396E-14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232.18344481135546</v>
      </c>
      <c r="T162" s="62">
        <f t="shared" si="142"/>
        <v>227.64962876101072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23.89161378691653</v>
      </c>
      <c r="AA162" s="23">
        <f>EXP(-LN(2)/25)*AA161+(1-EXP(-LN(2)/25))/(LN(2)/25)*Calculateur!V162*Calculateur!X162*VLOOKUP('Données projet'!$B$9,Paramètres!$A$1:$I$89,3,0)*0.475*44/12</f>
        <v>2.3240329747386279</v>
      </c>
      <c r="AB162" s="23">
        <f>EXP(-LN(2)/2)*AB161+(1-EXP(-LN(2)/2))/(LN(2)/2)*V162*Y162*VLOOKUP('Données projet'!$B$9,Paramètres!$A$1:$I$89,3,0)*0.475*44/12</f>
        <v>3.3969096655157771E-14</v>
      </c>
      <c r="AC162" s="24">
        <f t="shared" si="163"/>
        <v>26.215646761655194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-6.7984728957526396E-14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232.18344481135546</v>
      </c>
      <c r="T163" s="62">
        <f t="shared" si="142"/>
        <v>227.64962876101072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23.423113813000597</v>
      </c>
      <c r="AA163" s="23">
        <f>EXP(-LN(2)/25)*AA162+(1-EXP(-LN(2)/25))/(LN(2)/25)*Calculateur!V163*Calculateur!X163*VLOOKUP('Données projet'!$B$9,Paramètres!$A$1:$I$89,3,0)*0.475*44/12</f>
        <v>2.2604821708288174</v>
      </c>
      <c r="AB163" s="23">
        <f>EXP(-LN(2)/2)*AB162+(1-EXP(-LN(2)/2))/(LN(2)/2)*V163*Y163*VLOOKUP('Données projet'!$B$9,Paramètres!$A$1:$I$89,3,0)*0.475*44/12</f>
        <v>2.401977859564333E-14</v>
      </c>
      <c r="AC163" s="24">
        <f t="shared" si="163"/>
        <v>25.683595983829438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-6.7984728957526396E-14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232.18344481135546</v>
      </c>
      <c r="T164" s="62">
        <f t="shared" si="142"/>
        <v>227.64962876101072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22.96380083781639</v>
      </c>
      <c r="AA164" s="23">
        <f>EXP(-LN(2)/25)*AA163+(1-EXP(-LN(2)/25))/(LN(2)/25)*Calculateur!V164*Calculateur!X164*VLOOKUP('Données projet'!$B$9,Paramètres!$A$1:$I$89,3,0)*0.475*44/12</f>
        <v>2.1986691669939122</v>
      </c>
      <c r="AB164" s="23">
        <f>EXP(-LN(2)/2)*AB163+(1-EXP(-LN(2)/2))/(LN(2)/2)*V164*Y164*VLOOKUP('Données projet'!$B$9,Paramètres!$A$1:$I$89,3,0)*0.475*44/12</f>
        <v>1.6984548327578885E-14</v>
      </c>
      <c r="AC164" s="24">
        <f t="shared" si="163"/>
        <v>25.16247000481032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-6.7984728957526396E-14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232.18344481135546</v>
      </c>
      <c r="T165" s="62">
        <f t="shared" si="142"/>
        <v>227.64962876101072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22.513494709922291</v>
      </c>
      <c r="AA165" s="23">
        <f>EXP(-LN(2)/25)*AA164+(1-EXP(-LN(2)/25))/(LN(2)/25)*Calculateur!V165*Calculateur!X165*VLOOKUP('Données projet'!$B$9,Paramètres!$A$1:$I$89,3,0)*0.475*44/12</f>
        <v>2.1385464429994774</v>
      </c>
      <c r="AB165" s="23">
        <f>EXP(-LN(2)/2)*AB164+(1-EXP(-LN(2)/2))/(LN(2)/2)*V165*Y165*VLOOKUP('Données projet'!$B$9,Paramètres!$A$1:$I$89,3,0)*0.475*44/12</f>
        <v>1.2009889297821665E-14</v>
      </c>
      <c r="AC165" s="24">
        <f t="shared" si="163"/>
        <v>24.652041152921779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-6.7984728957526396E-14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232.18344481135546</v>
      </c>
      <c r="T166" s="62">
        <f t="shared" si="142"/>
        <v>227.64962876101072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22.072018810536576</v>
      </c>
      <c r="AA166" s="23">
        <f>EXP(-LN(2)/25)*AA165+(1-EXP(-LN(2)/25))/(LN(2)/25)*Calculateur!V166*Calculateur!X166*VLOOKUP('Données projet'!$B$9,Paramètres!$A$1:$I$89,3,0)*0.475*44/12</f>
        <v>2.0800677780543868</v>
      </c>
      <c r="AB166" s="23">
        <f>EXP(-LN(2)/2)*AB165+(1-EXP(-LN(2)/2))/(LN(2)/2)*V166*Y166*VLOOKUP('Données projet'!$B$9,Paramètres!$A$1:$I$89,3,0)*0.475*44/12</f>
        <v>8.4922741637894427E-15</v>
      </c>
      <c r="AC166" s="24">
        <f t="shared" si="163"/>
        <v>24.152086588590969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-6.7984728957526396E-14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232.18344481135546</v>
      </c>
      <c r="T167" s="62">
        <f t="shared" si="142"/>
        <v>227.64962876101072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21.639199984264106</v>
      </c>
      <c r="AA167" s="23">
        <f>EXP(-LN(2)/25)*AA166+(1-EXP(-LN(2)/25))/(LN(2)/25)*Calculateur!V167*Calculateur!X167*VLOOKUP('Données projet'!$B$9,Paramètres!$A$1:$I$89,3,0)*0.475*44/12</f>
        <v>2.0231882152774792</v>
      </c>
      <c r="AB167" s="23">
        <f>EXP(-LN(2)/2)*AB166+(1-EXP(-LN(2)/2))/(LN(2)/2)*V167*Y167*VLOOKUP('Données projet'!$B$9,Paramètres!$A$1:$I$89,3,0)*0.475*44/12</f>
        <v>6.0049446489108324E-15</v>
      </c>
      <c r="AC167" s="24">
        <f t="shared" si="163"/>
        <v>23.662388199541592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-6.7984728957526396E-14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232.18344481135546</v>
      </c>
      <c r="T168" s="62">
        <f t="shared" si="142"/>
        <v>227.64962876101072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21.214868471181422</v>
      </c>
      <c r="AA168" s="23">
        <f>EXP(-LN(2)/25)*AA167+(1-EXP(-LN(2)/25))/(LN(2)/25)*Calculateur!V168*Calculateur!X168*VLOOKUP('Données projet'!$B$9,Paramètres!$A$1:$I$89,3,0)*0.475*44/12</f>
        <v>1.9678640271358723</v>
      </c>
      <c r="AB168" s="23">
        <f>EXP(-LN(2)/2)*AB167+(1-EXP(-LN(2)/2))/(LN(2)/2)*V168*Y168*VLOOKUP('Données projet'!$B$9,Paramètres!$A$1:$I$89,3,0)*0.475*44/12</f>
        <v>4.2461370818947214E-15</v>
      </c>
      <c r="AC168" s="24">
        <f t="shared" si="163"/>
        <v>23.182732498317296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-6.7984728957526396E-14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232.18344481135546</v>
      </c>
      <c r="T169" s="62">
        <f t="shared" si="142"/>
        <v>227.64962876101072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20.798857840253625</v>
      </c>
      <c r="AA169" s="23">
        <f>EXP(-LN(2)/25)*AA168+(1-EXP(-LN(2)/25))/(LN(2)/25)*Calculateur!V169*Calculateur!X169*VLOOKUP('Données projet'!$B$9,Paramètres!$A$1:$I$89,3,0)*0.475*44/12</f>
        <v>1.9140526818283703</v>
      </c>
      <c r="AB169" s="23">
        <f>EXP(-LN(2)/2)*AB168+(1-EXP(-LN(2)/2))/(LN(2)/2)*V169*Y169*VLOOKUP('Données projet'!$B$9,Paramètres!$A$1:$I$89,3,0)*0.475*44/12</f>
        <v>3.0024723244554162E-15</v>
      </c>
      <c r="AC169" s="24">
        <f t="shared" si="163"/>
        <v>22.712910522081998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-6.7984728957526396E-14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232.18344481135546</v>
      </c>
      <c r="T170" s="62">
        <f t="shared" si="142"/>
        <v>227.64962876101072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20.39100492405689</v>
      </c>
      <c r="AA170" s="23">
        <f>EXP(-LN(2)/25)*AA169+(1-EXP(-LN(2)/25))/(LN(2)/25)*Calculateur!V170*Calculateur!X170*VLOOKUP('Données projet'!$B$9,Paramètres!$A$1:$I$89,3,0)*0.475*44/12</f>
        <v>1.8617128105881176</v>
      </c>
      <c r="AB170" s="23">
        <f>EXP(-LN(2)/2)*AB169+(1-EXP(-LN(2)/2))/(LN(2)/2)*V170*Y170*VLOOKUP('Données projet'!$B$9,Paramètres!$A$1:$I$89,3,0)*0.475*44/12</f>
        <v>2.1230685409473607E-15</v>
      </c>
      <c r="AC170" s="24">
        <f t="shared" si="163"/>
        <v>22.25271773464501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-6.7984728957526396E-14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232.18344481135546</v>
      </c>
      <c r="T171" s="62">
        <f t="shared" si="142"/>
        <v>227.64962876101072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19.991149754781059</v>
      </c>
      <c r="AA171" s="23">
        <f>EXP(-LN(2)/25)*AA170+(1-EXP(-LN(2)/25))/(LN(2)/25)*Calculateur!V171*Calculateur!X171*VLOOKUP('Données projet'!$B$9,Paramètres!$A$1:$I$89,3,0)*0.475*44/12</f>
        <v>1.8108041758793638</v>
      </c>
      <c r="AB171" s="23">
        <f>EXP(-LN(2)/2)*AB170+(1-EXP(-LN(2)/2))/(LN(2)/2)*V171*Y171*VLOOKUP('Données projet'!$B$9,Paramètres!$A$1:$I$89,3,0)*0.475*44/12</f>
        <v>1.5012361622277081E-15</v>
      </c>
      <c r="AC171" s="24">
        <f t="shared" si="163"/>
        <v>21.801953930660424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-6.7984728957526396E-14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232.18344481135546</v>
      </c>
      <c r="T172" s="62">
        <f t="shared" si="142"/>
        <v>227.64962876101072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19.599135501487154</v>
      </c>
      <c r="AA172" s="23">
        <f>EXP(-LN(2)/25)*AA171+(1-EXP(-LN(2)/25))/(LN(2)/25)*Calculateur!V172*Calculateur!X172*VLOOKUP('Données projet'!$B$9,Paramètres!$A$1:$I$89,3,0)*0.475*44/12</f>
        <v>1.7612876404638897</v>
      </c>
      <c r="AB172" s="23">
        <f>EXP(-LN(2)/2)*AB171+(1-EXP(-LN(2)/2))/(LN(2)/2)*V172*Y172*VLOOKUP('Données projet'!$B$9,Paramètres!$A$1:$I$89,3,0)*0.475*44/12</f>
        <v>1.0615342704736803E-15</v>
      </c>
      <c r="AC172" s="24">
        <f t="shared" si="163"/>
        <v>21.360423141951046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-6.7984728957526396E-14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232.18344481135546</v>
      </c>
      <c r="T173" s="62">
        <f t="shared" si="142"/>
        <v>227.64962876101072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19.21480840859526</v>
      </c>
      <c r="AA173" s="23">
        <f>EXP(-LN(2)/25)*AA172+(1-EXP(-LN(2)/25))/(LN(2)/25)*Calculateur!V173*Calculateur!X173*VLOOKUP('Données projet'!$B$9,Paramètres!$A$1:$I$89,3,0)*0.475*44/12</f>
        <v>1.7131251373133132</v>
      </c>
      <c r="AB173" s="23">
        <f>EXP(-LN(2)/2)*AB172+(1-EXP(-LN(2)/2))/(LN(2)/2)*V173*Y173*VLOOKUP('Données projet'!$B$9,Paramètres!$A$1:$I$89,3,0)*0.475*44/12</f>
        <v>7.5061808111385405E-16</v>
      </c>
      <c r="AC173" s="24">
        <f t="shared" si="163"/>
        <v>20.927933545908573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-6.7984728957526396E-14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232.18344481135546</v>
      </c>
      <c r="T174" s="62">
        <f t="shared" si="142"/>
        <v>227.64962876101072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18.838017735578596</v>
      </c>
      <c r="AA174" s="23">
        <f>EXP(-LN(2)/25)*AA173+(1-EXP(-LN(2)/25))/(LN(2)/25)*Calculateur!V174*Calculateur!X174*VLOOKUP('Données projet'!$B$9,Paramètres!$A$1:$I$89,3,0)*0.475*44/12</f>
        <v>1.6662796403441451</v>
      </c>
      <c r="AB174" s="23">
        <f>EXP(-LN(2)/2)*AB173+(1-EXP(-LN(2)/2))/(LN(2)/2)*V174*Y174*VLOOKUP('Données projet'!$B$9,Paramètres!$A$1:$I$89,3,0)*0.475*44/12</f>
        <v>5.3076713523684017E-16</v>
      </c>
      <c r="AC174" s="24">
        <f t="shared" si="163"/>
        <v>20.504297375922739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-6.7984728957526396E-14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232.18344481135546</v>
      </c>
      <c r="T175" s="62">
        <f t="shared" si="142"/>
        <v>227.64962876101072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18.468615697840171</v>
      </c>
      <c r="AA175" s="23">
        <f>EXP(-LN(2)/25)*AA174+(1-EXP(-LN(2)/25))/(LN(2)/25)*Calculateur!V175*Calculateur!X175*VLOOKUP('Données projet'!$B$9,Paramètres!$A$1:$I$89,3,0)*0.475*44/12</f>
        <v>1.6207151359530965</v>
      </c>
      <c r="AB175" s="23">
        <f>EXP(-LN(2)/2)*AB174+(1-EXP(-LN(2)/2))/(LN(2)/2)*V175*Y175*VLOOKUP('Données projet'!$B$9,Paramètres!$A$1:$I$89,3,0)*0.475*44/12</f>
        <v>3.7530904055692703E-16</v>
      </c>
      <c r="AC175" s="24">
        <f t="shared" si="163"/>
        <v>20.089330833793269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-6.7984728957526396E-14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232.18344481135546</v>
      </c>
      <c r="T176" s="62">
        <f t="shared" si="142"/>
        <v>227.64962876101072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18.106457408748799</v>
      </c>
      <c r="AA176" s="23">
        <f>EXP(-LN(2)/25)*AA175+(1-EXP(-LN(2)/25))/(LN(2)/25)*Calculateur!V176*Calculateur!X176*VLOOKUP('Données projet'!$B$9,Paramètres!$A$1:$I$89,3,0)*0.475*44/12</f>
        <v>1.5763965953307542</v>
      </c>
      <c r="AB176" s="23">
        <f>EXP(-LN(2)/2)*AB175+(1-EXP(-LN(2)/2))/(LN(2)/2)*V176*Y176*VLOOKUP('Données projet'!$B$9,Paramètres!$A$1:$I$89,3,0)*0.475*44/12</f>
        <v>2.6538356761842009E-16</v>
      </c>
      <c r="AC176" s="24">
        <f t="shared" si="163"/>
        <v>19.682854004079552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-6.7984728957526396E-14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232.18344481135546</v>
      </c>
      <c r="T177" s="62">
        <f t="shared" si="142"/>
        <v>227.64962876101072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17.751400822811764</v>
      </c>
      <c r="AA177" s="23">
        <f>EXP(-LN(2)/25)*AA176+(1-EXP(-LN(2)/25))/(LN(2)/25)*Calculateur!V177*Calculateur!X177*VLOOKUP('Données projet'!$B$9,Paramètres!$A$1:$I$89,3,0)*0.475*44/12</f>
        <v>1.5332899475323407</v>
      </c>
      <c r="AB177" s="23">
        <f>EXP(-LN(2)/2)*AB176+(1-EXP(-LN(2)/2))/(LN(2)/2)*V177*Y177*VLOOKUP('Données projet'!$B$9,Paramètres!$A$1:$I$89,3,0)*0.475*44/12</f>
        <v>1.8765452027846351E-16</v>
      </c>
      <c r="AC177" s="24">
        <f t="shared" si="163"/>
        <v>19.284690770344106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-6.7984728957526396E-14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232.18344481135546</v>
      </c>
      <c r="T178" s="62">
        <f t="shared" si="142"/>
        <v>227.64962876101072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17.403306679961823</v>
      </c>
      <c r="AA178" s="23">
        <f>EXP(-LN(2)/25)*AA177+(1-EXP(-LN(2)/25))/(LN(2)/25)*Calculateur!V178*Calculateur!X178*VLOOKUP('Données projet'!$B$9,Paramètres!$A$1:$I$89,3,0)*0.475*44/12</f>
        <v>1.4913620532848548</v>
      </c>
      <c r="AB178" s="23">
        <f>EXP(-LN(2)/2)*AB177+(1-EXP(-LN(2)/2))/(LN(2)/2)*V178*Y178*VLOOKUP('Données projet'!$B$9,Paramètres!$A$1:$I$89,3,0)*0.475*44/12</f>
        <v>1.3269178380921004E-16</v>
      </c>
      <c r="AC178" s="24">
        <f t="shared" si="163"/>
        <v>18.894668733246679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-6.7984728957526396E-14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232.18344481135546</v>
      </c>
      <c r="T179" s="62">
        <f t="shared" si="142"/>
        <v>227.64962876101072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17.062038450936704</v>
      </c>
      <c r="AA179" s="23">
        <f>EXP(-LN(2)/25)*AA178+(1-EXP(-LN(2)/25))/(LN(2)/25)*Calculateur!V179*Calculateur!X179*VLOOKUP('Données projet'!$B$9,Paramètres!$A$1:$I$89,3,0)*0.475*44/12</f>
        <v>1.4505806795104585</v>
      </c>
      <c r="AB179" s="23">
        <f>EXP(-LN(2)/2)*AB178+(1-EXP(-LN(2)/2))/(LN(2)/2)*V179*Y179*VLOOKUP('Données projet'!$B$9,Paramètres!$A$1:$I$89,3,0)*0.475*44/12</f>
        <v>9.3827260139231757E-17</v>
      </c>
      <c r="AC179" s="24">
        <f t="shared" si="163"/>
        <v>18.512619130447163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-6.7984728957526396E-14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232.18344481135546</v>
      </c>
      <c r="T180" s="62">
        <f t="shared" si="142"/>
        <v>227.64962876101072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16.727462283729704</v>
      </c>
      <c r="AA180" s="23">
        <f>EXP(-LN(2)/25)*AA179+(1-EXP(-LN(2)/25))/(LN(2)/25)*Calculateur!V180*Calculateur!X180*VLOOKUP('Données projet'!$B$9,Paramètres!$A$1:$I$89,3,0)*0.475*44/12</f>
        <v>1.4109144745465225</v>
      </c>
      <c r="AB180" s="23">
        <f>EXP(-LN(2)/2)*AB179+(1-EXP(-LN(2)/2))/(LN(2)/2)*V180*Y180*VLOOKUP('Données projet'!$B$9,Paramètres!$A$1:$I$89,3,0)*0.475*44/12</f>
        <v>6.6345891904605021E-17</v>
      </c>
      <c r="AC180" s="24">
        <f t="shared" si="163"/>
        <v>18.138376758276227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-6.7984728957526396E-14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232.18344481135546</v>
      </c>
      <c r="T181" s="62">
        <f t="shared" si="142"/>
        <v>227.64962876101072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16.399446951090319</v>
      </c>
      <c r="AA181" s="23">
        <f>EXP(-LN(2)/25)*AA180+(1-EXP(-LN(2)/25))/(LN(2)/25)*Calculateur!V181*Calculateur!X181*VLOOKUP('Données projet'!$B$9,Paramètres!$A$1:$I$89,3,0)*0.475*44/12</f>
        <v>1.3723329440432803</v>
      </c>
      <c r="AB181" s="23">
        <f>EXP(-LN(2)/2)*AB180+(1-EXP(-LN(2)/2))/(LN(2)/2)*V181*Y181*VLOOKUP('Données projet'!$B$9,Paramètres!$A$1:$I$89,3,0)*0.475*44/12</f>
        <v>4.6913630069615878E-17</v>
      </c>
      <c r="AC181" s="24">
        <f t="shared" si="163"/>
        <v>17.771779895133598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-6.7984728957526396E-14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232.18344481135546</v>
      </c>
      <c r="T182" s="62">
        <f t="shared" si="142"/>
        <v>227.64962876101072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16.077863799054395</v>
      </c>
      <c r="AA182" s="23">
        <f>EXP(-LN(2)/25)*AA181+(1-EXP(-LN(2)/25))/(LN(2)/25)*Calculateur!V182*Calculateur!X182*VLOOKUP('Données projet'!$B$9,Paramètres!$A$1:$I$89,3,0)*0.475*44/12</f>
        <v>1.3348064275205638</v>
      </c>
      <c r="AB182" s="23">
        <f>EXP(-LN(2)/2)*AB181+(1-EXP(-LN(2)/2))/(LN(2)/2)*V182*Y182*VLOOKUP('Données projet'!$B$9,Paramètres!$A$1:$I$89,3,0)*0.475*44/12</f>
        <v>3.3172945952302511E-17</v>
      </c>
      <c r="AC182" s="24">
        <f t="shared" si="163"/>
        <v>17.41267022657496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-6.7984728957526396E-14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232.18344481135546</v>
      </c>
      <c r="T183" s="62">
        <f t="shared" si="142"/>
        <v>227.64962876101072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15.762586696483542</v>
      </c>
      <c r="AA183" s="23">
        <f>EXP(-LN(2)/25)*AA182+(1-EXP(-LN(2)/25))/(LN(2)/25)*Calculateur!V183*Calculateur!X183*VLOOKUP('Données projet'!$B$9,Paramètres!$A$1:$I$89,3,0)*0.475*44/12</f>
        <v>1.2983060755655946</v>
      </c>
      <c r="AB183" s="23">
        <f>EXP(-LN(2)/2)*AB182+(1-EXP(-LN(2)/2))/(LN(2)/2)*V183*Y183*VLOOKUP('Données projet'!$B$9,Paramètres!$A$1:$I$89,3,0)*0.475*44/12</f>
        <v>2.3456815034807939E-17</v>
      </c>
      <c r="AC183" s="24">
        <f t="shared" si="163"/>
        <v>17.060892772049137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-6.7984728957526396E-14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232.18344481135546</v>
      </c>
      <c r="T184" s="62">
        <f t="shared" si="142"/>
        <v>227.64962876101072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15.453491985594058</v>
      </c>
      <c r="AA184" s="23">
        <f>EXP(-LN(2)/25)*AA183+(1-EXP(-LN(2)/25))/(LN(2)/25)*Calculateur!V184*Calculateur!X184*VLOOKUP('Données projet'!$B$9,Paramètres!$A$1:$I$89,3,0)*0.475*44/12</f>
        <v>1.2628038276543043</v>
      </c>
      <c r="AB184" s="23">
        <f>EXP(-LN(2)/2)*AB183+(1-EXP(-LN(2)/2))/(LN(2)/2)*V184*Y184*VLOOKUP('Données projet'!$B$9,Paramètres!$A$1:$I$89,3,0)*0.475*44/12</f>
        <v>1.6586472976151255E-17</v>
      </c>
      <c r="AC184" s="24">
        <f t="shared" si="163"/>
        <v>16.716295813248362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-6.7984728957526396E-14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232.18344481135546</v>
      </c>
      <c r="T185" s="62">
        <f t="shared" si="142"/>
        <v>227.64962876101072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15.15045843345596</v>
      </c>
      <c r="AA185" s="23">
        <f>EXP(-LN(2)/25)*AA184+(1-EXP(-LN(2)/25))/(LN(2)/25)*Calculateur!V185*Calculateur!X185*VLOOKUP('Données projet'!$B$9,Paramètres!$A$1:$I$89,3,0)*0.475*44/12</f>
        <v>1.2282723905791302</v>
      </c>
      <c r="AB185" s="23">
        <f>EXP(-LN(2)/2)*AB184+(1-EXP(-LN(2)/2))/(LN(2)/2)*V185*Y185*VLOOKUP('Données projet'!$B$9,Paramètres!$A$1:$I$89,3,0)*0.475*44/12</f>
        <v>1.172840751740397E-17</v>
      </c>
      <c r="AC185" s="24">
        <f t="shared" si="163"/>
        <v>16.378730824035088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-6.7984728957526396E-14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232.18344481135546</v>
      </c>
      <c r="T186" s="62">
        <f t="shared" si="142"/>
        <v>227.64962876101072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14.853367184443073</v>
      </c>
      <c r="AA186" s="23">
        <f>EXP(-LN(2)/25)*AA185+(1-EXP(-LN(2)/25))/(LN(2)/25)*Calculateur!V186*Calculateur!X186*VLOOKUP('Données projet'!$B$9,Paramètres!$A$1:$I$89,3,0)*0.475*44/12</f>
        <v>1.1946852174667062</v>
      </c>
      <c r="AB186" s="23">
        <f>EXP(-LN(2)/2)*AB185+(1-EXP(-LN(2)/2))/(LN(2)/2)*V186*Y186*VLOOKUP('Données projet'!$B$9,Paramètres!$A$1:$I$89,3,0)*0.475*44/12</f>
        <v>8.2932364880756277E-18</v>
      </c>
      <c r="AC186" s="24">
        <f t="shared" si="163"/>
        <v>16.048052401909779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-6.7984728957526396E-14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232.18344481135546</v>
      </c>
      <c r="T187" s="62">
        <f t="shared" si="142"/>
        <v>227.64962876101072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14.56210171361556</v>
      </c>
      <c r="AA187" s="23">
        <f>EXP(-LN(2)/25)*AA186+(1-EXP(-LN(2)/25))/(LN(2)/25)*Calculateur!V187*Calculateur!X187*VLOOKUP('Données projet'!$B$9,Paramètres!$A$1:$I$89,3,0)*0.475*44/12</f>
        <v>1.162016487369314</v>
      </c>
      <c r="AB187" s="23">
        <f>EXP(-LN(2)/2)*AB186+(1-EXP(-LN(2)/2))/(LN(2)/2)*V187*Y187*VLOOKUP('Données projet'!$B$9,Paramètres!$A$1:$I$89,3,0)*0.475*44/12</f>
        <v>5.8642037587019848E-18</v>
      </c>
      <c r="AC187" s="24">
        <f t="shared" si="163"/>
        <v>15.724118200984874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-6.7984728957526396E-14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232.18344481135546</v>
      </c>
      <c r="T188" s="62">
        <f t="shared" si="142"/>
        <v>227.64962876101072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14.276547781016578</v>
      </c>
      <c r="AA188" s="23">
        <f>EXP(-LN(2)/25)*AA187+(1-EXP(-LN(2)/25))/(LN(2)/25)*Calculateur!V188*Calculateur!X188*VLOOKUP('Données projet'!$B$9,Paramètres!$A$1:$I$89,3,0)*0.475*44/12</f>
        <v>1.1302410854144087</v>
      </c>
      <c r="AB188" s="23">
        <f>EXP(-LN(2)/2)*AB187+(1-EXP(-LN(2)/2))/(LN(2)/2)*V188*Y188*VLOOKUP('Données projet'!$B$9,Paramètres!$A$1:$I$89,3,0)*0.475*44/12</f>
        <v>4.1466182440378138E-18</v>
      </c>
      <c r="AC188" s="24">
        <f t="shared" si="163"/>
        <v>15.406788866430986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-6.7984728957526396E-14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232.18344481135546</v>
      </c>
      <c r="T189" s="62">
        <f t="shared" si="142"/>
        <v>227.64962876101072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13.996593386865163</v>
      </c>
      <c r="AA189" s="23">
        <f>EXP(-LN(2)/25)*AA188+(1-EXP(-LN(2)/25))/(LN(2)/25)*Calculateur!V189*Calculateur!X189*VLOOKUP('Données projet'!$B$9,Paramètres!$A$1:$I$89,3,0)*0.475*44/12</f>
        <v>1.0993345834969561</v>
      </c>
      <c r="AB189" s="23">
        <f>EXP(-LN(2)/2)*AB188+(1-EXP(-LN(2)/2))/(LN(2)/2)*V189*Y189*VLOOKUP('Données projet'!$B$9,Paramètres!$A$1:$I$89,3,0)*0.475*44/12</f>
        <v>2.9321018793509924E-18</v>
      </c>
      <c r="AC189" s="24">
        <f t="shared" si="163"/>
        <v>15.095927970362119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-6.7984728957526396E-14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232.18344481135546</v>
      </c>
      <c r="T190" s="62">
        <f t="shared" si="142"/>
        <v>227.64962876101072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13.722128727627737</v>
      </c>
      <c r="AA190" s="23">
        <f>EXP(-LN(2)/25)*AA189+(1-EXP(-LN(2)/25))/(LN(2)/25)*Calculateur!V190*Calculateur!X190*VLOOKUP('Données projet'!$B$9,Paramètres!$A$1:$I$89,3,0)*0.475*44/12</f>
        <v>1.0692732214997387</v>
      </c>
      <c r="AB190" s="23">
        <f>EXP(-LN(2)/2)*AB189+(1-EXP(-LN(2)/2))/(LN(2)/2)*V190*Y190*VLOOKUP('Données projet'!$B$9,Paramètres!$A$1:$I$89,3,0)*0.475*44/12</f>
        <v>2.0733091220189069E-18</v>
      </c>
      <c r="AC190" s="24">
        <f t="shared" si="163"/>
        <v>14.791401949127476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-6.7984728957526396E-14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232.18344481135546</v>
      </c>
      <c r="T191" s="62">
        <f t="shared" si="142"/>
        <v>227.64962876101072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13.453046152951044</v>
      </c>
      <c r="AA191" s="23">
        <f>EXP(-LN(2)/25)*AA190+(1-EXP(-LN(2)/25))/(LN(2)/25)*Calculateur!V191*Calculateur!X191*VLOOKUP('Données projet'!$B$9,Paramètres!$A$1:$I$89,3,0)*0.475*44/12</f>
        <v>1.0400338890271934</v>
      </c>
      <c r="AB191" s="23">
        <f>EXP(-LN(2)/2)*AB190+(1-EXP(-LN(2)/2))/(LN(2)/2)*V191*Y191*VLOOKUP('Données projet'!$B$9,Paramètres!$A$1:$I$89,3,0)*0.475*44/12</f>
        <v>1.4660509396754962E-18</v>
      </c>
      <c r="AC191" s="24">
        <f t="shared" si="163"/>
        <v>14.493080041978239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-6.7984728957526396E-14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232.18344481135546</v>
      </c>
      <c r="T192" s="62">
        <f t="shared" si="142"/>
        <v>227.64962876101072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13.189240123439598</v>
      </c>
      <c r="AA192" s="23">
        <f>EXP(-LN(2)/25)*AA191+(1-EXP(-LN(2)/25))/(LN(2)/25)*Calculateur!V192*Calculateur!X192*VLOOKUP('Données projet'!$B$9,Paramètres!$A$1:$I$89,3,0)*0.475*44/12</f>
        <v>1.0115941076387396</v>
      </c>
      <c r="AB192" s="23">
        <f>EXP(-LN(2)/2)*AB191+(1-EXP(-LN(2)/2))/(LN(2)/2)*V192*Y192*VLOOKUP('Données projet'!$B$9,Paramètres!$A$1:$I$89,3,0)*0.475*44/12</f>
        <v>1.0366545610094535E-18</v>
      </c>
      <c r="AC192" s="24">
        <f t="shared" si="163"/>
        <v>14.200834231078337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-6.7984728957526396E-14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232.18344481135546</v>
      </c>
      <c r="T193" s="62">
        <f t="shared" si="142"/>
        <v>227.64962876101072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12.93060716926108</v>
      </c>
      <c r="AA193" s="23">
        <f>EXP(-LN(2)/25)*AA192+(1-EXP(-LN(2)/25))/(LN(2)/25)*Calculateur!V193*Calculateur!X193*VLOOKUP('Données projet'!$B$9,Paramètres!$A$1:$I$89,3,0)*0.475*44/12</f>
        <v>0.98393201356793614</v>
      </c>
      <c r="AB193" s="23">
        <f>EXP(-LN(2)/2)*AB192+(1-EXP(-LN(2)/2))/(LN(2)/2)*V193*Y193*VLOOKUP('Données projet'!$B$9,Paramètres!$A$1:$I$89,3,0)*0.475*44/12</f>
        <v>7.330254698377481E-19</v>
      </c>
      <c r="AC193" s="24">
        <f t="shared" si="163"/>
        <v>13.914539182829015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-6.7984728957526396E-14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232.18344481135546</v>
      </c>
      <c r="T194" s="62">
        <f t="shared" si="142"/>
        <v>227.64962876101072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12.677045849563477</v>
      </c>
      <c r="AA194" s="23">
        <f>EXP(-LN(2)/25)*AA193+(1-EXP(-LN(2)/25))/(LN(2)/25)*Calculateur!V194*Calculateur!X194*VLOOKUP('Données projet'!$B$9,Paramètres!$A$1:$I$89,3,0)*0.475*44/12</f>
        <v>0.95702634091418515</v>
      </c>
      <c r="AB194" s="23">
        <f>EXP(-LN(2)/2)*AB193+(1-EXP(-LN(2)/2))/(LN(2)/2)*V194*Y194*VLOOKUP('Données projet'!$B$9,Paramètres!$A$1:$I$89,3,0)*0.475*44/12</f>
        <v>5.1832728050472673E-19</v>
      </c>
      <c r="AC194" s="24">
        <f t="shared" si="163"/>
        <v>13.634072190477662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-6.7984728957526396E-14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232.18344481135546</v>
      </c>
      <c r="T195" s="62">
        <f t="shared" si="142"/>
        <v>227.64962876101072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12.428456712688011</v>
      </c>
      <c r="AA195" s="23">
        <f>EXP(-LN(2)/25)*AA194+(1-EXP(-LN(2)/25))/(LN(2)/25)*Calculateur!V195*Calculateur!X195*VLOOKUP('Données projet'!$B$9,Paramètres!$A$1:$I$89,3,0)*0.475*44/12</f>
        <v>0.93085640529405878</v>
      </c>
      <c r="AB195" s="23">
        <f>EXP(-LN(2)/2)*AB194+(1-EXP(-LN(2)/2))/(LN(2)/2)*V195*Y195*VLOOKUP('Données projet'!$B$9,Paramètres!$A$1:$I$89,3,0)*0.475*44/12</f>
        <v>3.6651273491887405E-19</v>
      </c>
      <c r="AC195" s="24">
        <f t="shared" si="163"/>
        <v>13.359313117982069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-6.7984728957526396E-14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232.18344481135546</v>
      </c>
      <c r="T196" s="62">
        <f t="shared" si="142"/>
        <v>227.64962876101072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12.18474225716227</v>
      </c>
      <c r="AA196" s="23">
        <f>EXP(-LN(2)/25)*AA195+(1-EXP(-LN(2)/25))/(LN(2)/25)*Calculateur!V196*Calculateur!X196*VLOOKUP('Données projet'!$B$9,Paramètres!$A$1:$I$89,3,0)*0.475*44/12</f>
        <v>0.90540208793968191</v>
      </c>
      <c r="AB196" s="23">
        <f>EXP(-LN(2)/2)*AB195+(1-EXP(-LN(2)/2))/(LN(2)/2)*V196*Y196*VLOOKUP('Données projet'!$B$9,Paramètres!$A$1:$I$89,3,0)*0.475*44/12</f>
        <v>2.5916364025236336E-19</v>
      </c>
      <c r="AC196" s="24">
        <f t="shared" si="163"/>
        <v>13.090144345101953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-6.7984728957526396E-14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232.18344481135546</v>
      </c>
      <c r="T197" s="62">
        <f t="shared" ref="T197:T203" si="204">$T$3</f>
        <v>227.64962876101072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11.945806893458251</v>
      </c>
      <c r="AA197" s="23">
        <f>EXP(-LN(2)/25)*AA196+(1-EXP(-LN(2)/25))/(LN(2)/25)*Calculateur!V197*Calculateur!X197*VLOOKUP('Données projet'!$B$9,Paramètres!$A$1:$I$89,3,0)*0.475*44/12</f>
        <v>0.88064382023194487</v>
      </c>
      <c r="AB197" s="23">
        <f>EXP(-LN(2)/2)*AB196+(1-EXP(-LN(2)/2))/(LN(2)/2)*V197*Y197*VLOOKUP('Données projet'!$B$9,Paramètres!$A$1:$I$89,3,0)*0.475*44/12</f>
        <v>1.8325636745943702E-19</v>
      </c>
      <c r="AC197" s="24">
        <f t="shared" si="163"/>
        <v>12.826450713690196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-6.7984728957526396E-14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232.18344481135546</v>
      </c>
      <c r="T198" s="62">
        <f t="shared" si="204"/>
        <v>227.64962876101072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11.711556906500284</v>
      </c>
      <c r="AA198" s="23">
        <f>EXP(-LN(2)/25)*AA197+(1-EXP(-LN(2)/25))/(LN(2)/25)*Calculateur!V198*Calculateur!X198*VLOOKUP('Données projet'!$B$9,Paramètres!$A$1:$I$89,3,0)*0.475*44/12</f>
        <v>0.85656256865665659</v>
      </c>
      <c r="AB198" s="23">
        <f>EXP(-LN(2)/2)*AB197+(1-EXP(-LN(2)/2))/(LN(2)/2)*V198*Y198*VLOOKUP('Données projet'!$B$9,Paramètres!$A$1:$I$89,3,0)*0.475*44/12</f>
        <v>1.2958182012618168E-19</v>
      </c>
      <c r="AC198" s="24">
        <f t="shared" si="163"/>
        <v>12.568119475156941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-6.7984728957526396E-14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232.18344481135546</v>
      </c>
      <c r="T199" s="62">
        <f t="shared" si="204"/>
        <v>227.64962876101072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11.481900418908181</v>
      </c>
      <c r="AA199" s="23">
        <f>EXP(-LN(2)/25)*AA198+(1-EXP(-LN(2)/25))/(LN(2)/25)*Calculateur!V199*Calculateur!X199*VLOOKUP('Données projet'!$B$9,Paramètres!$A$1:$I$89,3,0)*0.475*44/12</f>
        <v>0.83313982017207255</v>
      </c>
      <c r="AB199" s="23">
        <f>EXP(-LN(2)/2)*AB198+(1-EXP(-LN(2)/2))/(LN(2)/2)*V199*Y199*VLOOKUP('Données projet'!$B$9,Paramètres!$A$1:$I$89,3,0)*0.475*44/12</f>
        <v>9.1628183729718512E-20</v>
      </c>
      <c r="AC199" s="24">
        <f t="shared" si="163"/>
        <v>12.315040239080254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-6.7984728957526396E-14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232.18344481135546</v>
      </c>
      <c r="T200" s="62">
        <f t="shared" si="204"/>
        <v>227.64962876101072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11.256747354961131</v>
      </c>
      <c r="AA200" s="23">
        <f>EXP(-LN(2)/25)*AA199+(1-EXP(-LN(2)/25))/(LN(2)/25)*Calculateur!V200*Calculateur!X200*VLOOKUP('Données projet'!$B$9,Paramètres!$A$1:$I$89,3,0)*0.475*44/12</f>
        <v>0.81035756797654823</v>
      </c>
      <c r="AB200" s="23">
        <f>EXP(-LN(2)/2)*AB199+(1-EXP(-LN(2)/2))/(LN(2)/2)*V200*Y200*VLOOKUP('Données projet'!$B$9,Paramètres!$A$1:$I$89,3,0)*0.475*44/12</f>
        <v>6.4790910063090841E-20</v>
      </c>
      <c r="AC200" s="24">
        <f t="shared" si="163"/>
        <v>12.067104922937681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-6.7984728957526396E-14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232.18344481135546</v>
      </c>
      <c r="T201" s="62">
        <f t="shared" si="204"/>
        <v>227.64962876101072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11.036009405268276</v>
      </c>
      <c r="AA201" s="23">
        <f>EXP(-LN(2)/25)*AA200+(1-EXP(-LN(2)/25))/(LN(2)/25)*Calculateur!V201*Calculateur!X201*VLOOKUP('Données projet'!$B$9,Paramètres!$A$1:$I$89,3,0)*0.475*44/12</f>
        <v>0.78819829766537708</v>
      </c>
      <c r="AB201" s="23">
        <f>EXP(-LN(2)/2)*AB200+(1-EXP(-LN(2)/2))/(LN(2)/2)*V201*Y201*VLOOKUP('Données projet'!$B$9,Paramètres!$A$1:$I$89,3,0)*0.475*44/12</f>
        <v>4.5814091864859256E-20</v>
      </c>
      <c r="AC201" s="24">
        <f t="shared" si="163"/>
        <v>11.824207702933652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-6.7984728957526396E-14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232.18344481135546</v>
      </c>
      <c r="T202" s="62">
        <f t="shared" si="204"/>
        <v>227.64962876101072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10.819599992132041</v>
      </c>
      <c r="AA202" s="23">
        <f>EXP(-LN(2)/25)*AA201+(1-EXP(-LN(2)/25))/(LN(2)/25)*Calculateur!V202*Calculateur!X202*VLOOKUP('Données projet'!$B$9,Paramètres!$A$1:$I$89,3,0)*0.475*44/12</f>
        <v>0.76664497376617036</v>
      </c>
      <c r="AB202" s="23">
        <f>EXP(-LN(2)/2)*AB201+(1-EXP(-LN(2)/2))/(LN(2)/2)*V202*Y202*VLOOKUP('Données projet'!$B$9,Paramètres!$A$1:$I$89,3,0)*0.475*44/12</f>
        <v>3.2395455031545421E-20</v>
      </c>
      <c r="AC202" s="24">
        <f t="shared" si="163"/>
        <v>11.586244965898212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-6.7984728957526396E-14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232.18344481135546</v>
      </c>
      <c r="T203" s="62">
        <f t="shared" si="204"/>
        <v>227.64962876101072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10.607434235590699</v>
      </c>
      <c r="AA203" s="23">
        <f>EXP(-LN(2)/25)*AA202+(1-EXP(-LN(2)/25))/(LN(2)/25)*Calculateur!V203*Calculateur!X203*VLOOKUP('Données projet'!$B$9,Paramètres!$A$1:$I$89,3,0)*0.475*44/12</f>
        <v>0.74568102664242741</v>
      </c>
      <c r="AB203" s="23">
        <f>EXP(-LN(2)/2)*AB202+(1-EXP(-LN(2)/2))/(LN(2)/2)*V203*Y203*VLOOKUP('Données projet'!$B$9,Paramètres!$A$1:$I$89,3,0)*0.475*44/12</f>
        <v>2.2907045932429628E-20</v>
      </c>
      <c r="AC203" s="24">
        <f t="shared" si="163"/>
        <v>11.353115262233127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1.3267648858502221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Pin maritime</v>
      </c>
      <c r="B6" s="155">
        <f>'Données projet'!D9</f>
        <v>5.74</v>
      </c>
      <c r="C6" s="156">
        <f ca="1">IF(OR('Données projet'!B9="",'Données projet'!C9="",'Données projet'!C9=0%),0,Calculateur!S3)</f>
        <v>232.18344481135546</v>
      </c>
      <c r="D6" s="156">
        <f>IF(OR('Données projet'!B9="",'Données projet'!C9="",'Données projet'!C9=0%),0,Calculateur!T3)</f>
        <v>227.64962876101072</v>
      </c>
      <c r="E6" s="156">
        <f ca="1">MIN(C6,D6)</f>
        <v>227.64962876101072</v>
      </c>
      <c r="F6" s="156">
        <f ca="1">E6*B6</f>
        <v>1306.7088690882015</v>
      </c>
      <c r="G6" s="156">
        <f ca="1">F6*(100%-'Données projet'!$C$24)*(100%-'Données projet'!$C$25)*(100%-'Données projet'!$C$26)*(100%-'Données projet'!$C$27)</f>
        <v>799.70582788197942</v>
      </c>
      <c r="H6" s="157">
        <f>IF(OR('Données projet'!B9="",'Données projet'!C9="",'Données projet'!C9=0%),0,AVERAGE(Calculateur!$AC$3:$AC$33)*B6)</f>
        <v>61.761142568115858</v>
      </c>
      <c r="I6" s="158">
        <f>H6*(100%-'Données projet'!$C$24)*(100%-'Données projet'!$C$25)*(100%-'Données projet'!$C$26)*(100%-'Données projet'!$C$27)</f>
        <v>37.797819251686903</v>
      </c>
      <c r="J6" s="159">
        <f>IF(OR('Données projet'!B9="",'Données projet'!C9="",'Données projet'!C9=0%),0,SUM(Calculateur!$V$3:$V$33)*VLOOKUP('Données projet'!$B$9,Paramètres!$A$1:$I$89,9,0)*B6)</f>
        <v>518.65778999999986</v>
      </c>
      <c r="K6" s="160">
        <f>J6*(100%-'Données projet'!$C$24)*(100%-'Données projet'!$C$25)*(100%-'Données projet'!$C$26)*(100%-'Données projet'!$C$27)</f>
        <v>317.41856747999992</v>
      </c>
      <c r="L6" s="161">
        <f ca="1">G6+I6+K6</f>
        <v>1154.9222146136663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1306.7088690882015</v>
      </c>
      <c r="G16" s="175">
        <f t="shared" ca="1" si="3"/>
        <v>799.70582788197942</v>
      </c>
      <c r="H16" s="176">
        <f t="shared" si="3"/>
        <v>61.761142568115858</v>
      </c>
      <c r="I16" s="176">
        <f t="shared" si="3"/>
        <v>37.797819251686903</v>
      </c>
      <c r="J16" s="177">
        <f t="shared" si="3"/>
        <v>518.65778999999986</v>
      </c>
      <c r="K16" s="177">
        <f t="shared" si="3"/>
        <v>317.41856747999992</v>
      </c>
      <c r="L16" s="178">
        <f t="shared" ca="1" si="3"/>
        <v>1154.9222146136663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/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/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0" zoomScaleNormal="80" workbookViewId="0">
      <selection activeCell="R41" sqref="R41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-1615</v>
      </c>
      <c r="U10" s="190">
        <f>'Données projet'!D9</f>
        <v>5.74</v>
      </c>
      <c r="V10" s="189">
        <f>U10*T10</f>
        <v>-9270.1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/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/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/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40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0"/>
      <c r="H16" s="203"/>
      <c r="I16" s="204"/>
      <c r="J16" s="215"/>
      <c r="K16" s="224"/>
      <c r="L16" s="336" t="s">
        <v>254</v>
      </c>
      <c r="M16" s="337"/>
      <c r="N16" s="2">
        <v>30</v>
      </c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>
        <v>1615</v>
      </c>
      <c r="F17" s="260"/>
      <c r="G17" s="340"/>
      <c r="J17" s="215"/>
      <c r="K17" s="224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30.000000000000004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40"/>
      <c r="J18" s="215"/>
      <c r="K18" s="224"/>
      <c r="L18" s="294" t="s">
        <v>255</v>
      </c>
      <c r="M18" s="296"/>
      <c r="N18" s="205">
        <v>15</v>
      </c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40"/>
      <c r="H19" s="231" t="s">
        <v>178</v>
      </c>
      <c r="I19" s="231" t="s">
        <v>287</v>
      </c>
      <c r="J19" s="259"/>
      <c r="K19" s="183"/>
      <c r="L19" s="336" t="s">
        <v>288</v>
      </c>
      <c r="M19" s="337"/>
      <c r="N19" s="191">
        <f>N17*N18</f>
        <v>450.00000000000006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40"/>
      <c r="H20" s="203">
        <v>0</v>
      </c>
      <c r="I20" s="204"/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17</v>
      </c>
      <c r="B23" s="193">
        <f>'Données projet'!D36</f>
        <v>40.76</v>
      </c>
      <c r="C23" s="206"/>
      <c r="D23" s="194">
        <f>B23*C23</f>
        <v>0</v>
      </c>
      <c r="E23" s="206"/>
      <c r="F23" s="260"/>
      <c r="H23" s="203">
        <v>3</v>
      </c>
      <c r="I23" s="204"/>
      <c r="K23" s="224"/>
      <c r="L23" s="338" t="s">
        <v>260</v>
      </c>
      <c r="M23" s="338"/>
      <c r="N23" s="338"/>
      <c r="O23" s="25"/>
      <c r="P23" s="25"/>
      <c r="Q23" s="264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-9270.1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23</v>
      </c>
      <c r="B24" s="193">
        <f>'Données projet'!D37</f>
        <v>57.75</v>
      </c>
      <c r="C24" s="206"/>
      <c r="D24" s="194">
        <f t="shared" ref="D24:D42" si="2">B24*C24</f>
        <v>0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689.66104005458885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25</v>
      </c>
      <c r="B25" s="193">
        <f>'Données projet'!D38</f>
        <v>0</v>
      </c>
      <c r="C25" s="206"/>
      <c r="D25" s="194">
        <f t="shared" si="2"/>
        <v>0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35">
        <f ca="1">T23-T24</f>
        <v>-9959.7610400545891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29</v>
      </c>
      <c r="B26" s="193">
        <f>'Données projet'!D39</f>
        <v>54.64</v>
      </c>
      <c r="C26" s="206"/>
      <c r="D26" s="194">
        <f t="shared" si="2"/>
        <v>0</v>
      </c>
      <c r="E26" s="206"/>
      <c r="F26" s="263"/>
      <c r="G26" s="258"/>
      <c r="H26" s="203"/>
      <c r="I26" s="204"/>
      <c r="K26" s="224"/>
      <c r="L26" s="322" t="s">
        <v>258</v>
      </c>
      <c r="M26" s="323"/>
      <c r="N26" s="323"/>
      <c r="O26" s="323"/>
      <c r="P26" s="324"/>
      <c r="Q26" s="264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34</v>
      </c>
      <c r="B27" s="193">
        <f>'Données projet'!D40</f>
        <v>0</v>
      </c>
      <c r="C27" s="206"/>
      <c r="D27" s="194">
        <f t="shared" si="2"/>
        <v>0</v>
      </c>
      <c r="E27" s="206"/>
      <c r="F27" s="263"/>
      <c r="G27" s="258"/>
      <c r="H27" s="203"/>
      <c r="I27" s="204"/>
      <c r="K27" s="224"/>
      <c r="L27" s="325"/>
      <c r="M27" s="326"/>
      <c r="N27" s="326"/>
      <c r="O27" s="326"/>
      <c r="P27" s="327"/>
      <c r="Q27" s="264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36</v>
      </c>
      <c r="B28" s="193">
        <f>'Données projet'!D41</f>
        <v>76.069999999999993</v>
      </c>
      <c r="C28" s="206"/>
      <c r="D28" s="194">
        <f t="shared" si="2"/>
        <v>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43</v>
      </c>
      <c r="B29" s="193">
        <f>'Données projet'!D42</f>
        <v>0</v>
      </c>
      <c r="C29" s="206"/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44</v>
      </c>
      <c r="B30" s="193">
        <f>'Données projet'!D43</f>
        <v>77.91</v>
      </c>
      <c r="C30" s="206"/>
      <c r="D30" s="194">
        <f t="shared" si="2"/>
        <v>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52</v>
      </c>
      <c r="B31" s="193">
        <f>'Données projet'!D44</f>
        <v>75.37</v>
      </c>
      <c r="C31" s="206"/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60</v>
      </c>
      <c r="B32" s="193">
        <f>'Données projet'!D45</f>
        <v>436.34</v>
      </c>
      <c r="C32" s="206"/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>
        <f>225*'Données projet'!E114+13.8*('Données projet'!F114+'Données projet'!G114)+10*'Données projet'!H114</f>
        <v>0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>
        <f>225*'Données projet'!E115+13.8*('Données projet'!F115+'Données projet'!G115)+10*'Données projet'!H115</f>
        <v>0</v>
      </c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>
        <f>225*'Données projet'!E116+13.8*('Données projet'!F116+'Données projet'!G116)+10*'Données projet'!H116</f>
        <v>0</v>
      </c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>
        <f>225*'Données projet'!E117+13.8*('Données projet'!F117+'Données projet'!G117)+10*'Données projet'!H117</f>
        <v>0</v>
      </c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>
        <f>225*'Données projet'!E118+13.8*('Données projet'!F118+'Données projet'!G118)+10*'Données projet'!H118</f>
        <v>0</v>
      </c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>
        <f>225*'Données projet'!E119+13.8*('Données projet'!F119+'Données projet'!G119)+10*'Données projet'!H119</f>
        <v>0</v>
      </c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>
        <f>225*'Données projet'!E120+13.8*('Données projet'!F120+'Données projet'!G120)+10*'Données projet'!H120</f>
        <v>0</v>
      </c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>
        <f>225*'Données projet'!E121+13.8*('Données projet'!F121+'Données projet'!G121)+10*'Données projet'!H121</f>
        <v>0</v>
      </c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>
        <f>225*'Données projet'!E122+13.8*('Données projet'!F122+'Données projet'!G122)+10*'Données projet'!H122</f>
        <v>0</v>
      </c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>
        <f>225*'Données projet'!E123+13.8*('Données projet'!F123+'Données projet'!G123)+10*'Données projet'!H123</f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>
        <f>225*'Données projet'!E124+13.8*('Données projet'!F124+'Données projet'!G124)+10*'Données projet'!H124</f>
        <v>0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>
        <f>225*'Données projet'!E125+13.8*('Données projet'!F125+'Données projet'!G125)+10*'Données projet'!H125</f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>
        <f>225*'Données projet'!E126+13.8*('Données projet'!F126+'Données projet'!G126)+10*'Données projet'!H126</f>
        <v>0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>
        <f>225*'Données projet'!E127+13.8*('Données projet'!F127+'Données projet'!G127)+10*'Données projet'!H127</f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>
        <f>225*'Données projet'!E128+13.8*('Données projet'!F128+'Données projet'!G128)+10*'Données projet'!H128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f>225*'Données projet'!E129+13.8*('Données projet'!F129+'Données projet'!G129)+10*'Données projet'!H129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f>225*'Données projet'!E130+13.8*('Données projet'!F130+'Données projet'!G130)+10*'Données projet'!H130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>
        <f>225*'Données projet'!E131+13.8*('Données projet'!F131+'Données projet'!G131)+10*'Données projet'!H131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225*'Données projet'!E132+13.8*('Données projet'!F132+'Données projet'!G132)+10*'Données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225*'Données projet'!E133+13.8*('Données projet'!F133+'Données projet'!G133)+10*'Données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>
        <f>225*'Données projet'!E140+13.8*('Données projet'!F140+'Données projet'!G140)+10*'Données projet'!H140</f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>
        <f>225*'Données projet'!E141+13.8*('Données projet'!F141+'Données projet'!G141)+10*'Données projet'!H141</f>
        <v>0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>
        <f>225*'Données projet'!E142+13.8*('Données projet'!F142+'Données projet'!G142)+10*'Données projet'!H142</f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>
        <f>225*'Données projet'!E143+13.8*('Données projet'!F143+'Données projet'!G143)+10*'Données projet'!H143</f>
        <v>0</v>
      </c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>
        <f>225*'Données projet'!E144+13.8*('Données projet'!F144+'Données projet'!G144)+10*'Données projet'!H144</f>
        <v>0</v>
      </c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>
        <f>225*'Données projet'!E145+13.8*('Données projet'!F145+'Données projet'!G145)+10*'Données projet'!H145</f>
        <v>0</v>
      </c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>
        <f>225*'Données projet'!E146+13.8*('Données projet'!F146+'Données projet'!G146)+10*'Données projet'!H146</f>
        <v>0</v>
      </c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>
        <f>225*'Données projet'!E147+13.8*('Données projet'!F147+'Données projet'!G147)+10*'Données projet'!H147</f>
        <v>0</v>
      </c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>
        <f>225*'Données projet'!E148+13.8*('Données projet'!F148+'Données projet'!G148)+10*'Données projet'!H148</f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>
        <f>225*'Données projet'!E149+13.8*('Données projet'!F149+'Données projet'!G149)+10*'Données projet'!H149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>
        <f>225*'Données projet'!E150+13.8*('Données projet'!F150+'Données projet'!G150)+10*'Données projet'!H150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>
        <f>225*'Données projet'!E151+13.8*('Données projet'!F151+'Données projet'!G151)+10*'Données projet'!H151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>
        <f>225*'Données projet'!E152+13.8*('Données projet'!F152+'Données projet'!G152)+10*'Données projet'!H152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>
        <f>225*'Données projet'!E153+13.8*('Données projet'!F153+'Données projet'!G153)+10*'Données projet'!H153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>
        <f>225*'Données projet'!E154+13.8*('Données projet'!F154+'Données projet'!G154)+10*'Données projet'!H154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>
        <f>225*'Données projet'!E155+13.8*('Données projet'!F155+'Données projet'!G155)+10*'Données projet'!H155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>
        <f>225*'Données projet'!E156+13.8*('Données projet'!F156+'Données projet'!G156)+10*'Données projet'!H156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>
        <f>225*'Données projet'!E157+13.8*('Données projet'!F157+'Données projet'!G157)+10*'Données projet'!H157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>
        <f>225*'Données projet'!E158+13.8*('Données projet'!F158+'Données projet'!G158)+10*'Données projet'!H158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225*'Données projet'!E159+13.8*('Données projet'!F159+'Données projet'!G159)+10*'Données projet'!H159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225*'Données projet'!E166+13.8*('Données projet'!F166+'Données projet'!G168)+10*'Données projet'!H166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225*'Données projet'!E167+13.8*('Données projet'!F167+'Données projet'!G169)+10*'Données projet'!H167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225*'Données projet'!E168+13.8*('Données projet'!F168+'Données projet'!G170)+10*'Données projet'!H168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225*'Données projet'!E169+13.8*('Données projet'!F169+'Données projet'!G171)+10*'Données projet'!H169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225*'Données projet'!E170+13.8*('Données projet'!F170+'Données projet'!G172)+10*'Données projet'!H170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225*'Données projet'!E171+13.8*('Données projet'!F171+'Données projet'!G173)+10*'Données projet'!H171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225*'Données projet'!E172+13.8*('Données projet'!F172+'Données projet'!G174)+10*'Données projet'!H172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225*'Données projet'!E173+13.8*('Données projet'!F173+'Données projet'!G175)+10*'Données projet'!H173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225*'Données projet'!E174+13.8*('Données projet'!F174+'Données projet'!G176)+10*'Données projet'!H174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225*'Données projet'!E175+13.8*('Données projet'!F175+'Données projet'!G177)+10*'Données projet'!H175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225*'Données projet'!E176+13.8*('Données projet'!F176+'Données projet'!G178)+10*'Données projet'!H176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225*'Données projet'!E177+13.8*('Données projet'!F177+'Données projet'!G179)+10*'Données projet'!H177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225*'Données projet'!E178+13.8*('Données projet'!F178+'Données projet'!G180)+10*'Données projet'!H178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225*'Données projet'!E179+13.8*('Données projet'!F179+'Données projet'!G181)+10*'Données projet'!H179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225*'Données projet'!E180+13.8*('Données projet'!F180+'Données projet'!G182)+10*'Données projet'!H180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225*'Données projet'!E181+13.8*('Données projet'!F181+'Données projet'!G183)+10*'Données projet'!H181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225*'Données projet'!E182+13.8*('Données projet'!F182+'Données projet'!G184)+10*'Données projet'!H182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225*'Données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225*'Données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225*'Données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225*'Données projet'!E192+13.8*('Données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225*'Données projet'!E193+13.8*('Données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225*'Données projet'!E194+13.8*('Données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225*'Données projet'!E195+13.8*('Données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225*'Données projet'!E196+13.8*('Données projet'!F196+'Données projet'!G196)+10*'Données projet'!H196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225*'Données projet'!E197+13.8*('Données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225*'Données projet'!E198+13.8*('Données projet'!F198+'Données projet'!G198)+10*'Données projet'!H198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225*'Données projet'!E199+13.8*('Données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225*'Données projet'!E200+13.8*('Données projet'!F200+'Données projet'!G200)+10*'Données projet'!H200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225*'Données projet'!E201+13.8*('Données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225*'Données projet'!E202+13.8*('Données projet'!F202+'Données projet'!G202)+10*'Données projet'!H202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225*'Données projet'!E203+13.8*('Données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225*'Données projet'!E204+13.8*('Données projet'!F204+'Données projet'!G204)+10*'Données projet'!H204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225*'Données projet'!E205+13.8*('Données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225*'Données projet'!E206+13.8*('Données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225*'Données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225*'Données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225*'Données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225*'Données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225*'Données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225*'Données projet'!E218+13.8*('Données projet'!F218+'Données projet'!G218)+10*'Données projet'!H218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225*'Données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225*'Données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225*'Données projet'!E221+13.8*('Données projet'!F221+'Données projet'!G221)+10*'Données projet'!H221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225*'Données projet'!E222+13.8*('Données projet'!F222+'Données projet'!G222)+10*'Données projet'!H222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225*'Données projet'!E223+13.8*('Données projet'!F223+'Données projet'!G223)+10*'Données projet'!H223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225*'Données projet'!E224+13.8*('Données projet'!F224+'Données projet'!G224)+10*'Données projet'!H224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225*'Données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225*'Données projet'!E226+13.8*('Données projet'!F226+'Données projet'!G226)+10*'Données projet'!H226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225*'Données projet'!E227+13.8*('Données projet'!F227+'Données projet'!G227)+10*'Données projet'!H227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225*'Données projet'!E228+13.8*('Données projet'!F228+'Données projet'!G228)+10*'Données projet'!H228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225*'Données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225*'Données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225*'Données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225*'Données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225*'Données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225*'Données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225*'Données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225*'Données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225*'Données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225*'Données projet'!E244+13.8*('Données projet'!F244+'Données projet'!G244)+10*'Données projet'!H244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225*'Données projet'!E245+13.8*('Données projet'!F245+'Données projet'!G245)+10*'Données projet'!H245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225*'Données projet'!E246+13.8*('Données projet'!F246+'Données projet'!G246)+10*'Données projet'!H246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225*'Données projet'!E247+13.8*('Données projet'!F247+'Données projet'!G247)+10*'Données projet'!H247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225*'Données projet'!E248+13.8*('Données projet'!F248+'Données projet'!G248)+10*'Données projet'!H248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225*'Données projet'!E249+13.8*('Données projet'!F249+'Données projet'!G249)+10*'Données projet'!H249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225*'Données projet'!E250+13.8*('Données projet'!F250+'Données projet'!G250)+10*'Données projet'!H250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225*'Données projet'!E251+13.8*('Données projet'!F251+'Données projet'!G251)+10*'Données projet'!H251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225*'Données projet'!E252+13.8*('Données projet'!F252+'Données projet'!G252)+10*'Données projet'!H252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225*'Données projet'!E253+13.8*('Données projet'!F253+'Données projet'!G253)+10*'Données projet'!H253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225*'Données projet'!E254+13.8*('Données projet'!F254+'Données projet'!G254)+10*'Données projet'!H254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225*'Données projet'!E255+13.8*('Données projet'!F255+'Données projet'!G255)+10*'Données projet'!H255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225*'Données projet'!E256+13.8*('Données projet'!F256+'Données projet'!G256)+10*'Données projet'!H256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225*'Données projet'!E257+13.8*('Données projet'!F257+'Données projet'!G257)+10*'Données projet'!H257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225*'Données projet'!E258+13.8*('Données projet'!F258+'Données projet'!G258)+10*'Données projet'!H258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225*'Données projet'!E259+13.8*('Données projet'!F259+'Données projet'!G259)+10*'Données projet'!H259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225*'Données projet'!E260+13.8*('Données projet'!F260+'Données projet'!G260)+10*'Données projet'!H260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225*'Données projet'!E261+13.8*('Données projet'!F261+'Données projet'!G261)+10*'Données projet'!H261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225*'Données projet'!E262+13.8*('Données projet'!F262+'Données projet'!G262)+10*'Données projet'!H262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225*'Données projet'!E263+13.8*('Données projet'!F263+'Données projet'!G263)+10*'Données projet'!H263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225*'Données projet'!E270+13.8*('Données projet'!F270+'Données projet'!G270)+10*'Données projet'!H270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225*'Données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225*'Données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225*'Données projet'!E273+13.8*('Données projet'!F273+'Données projet'!G273)+10*'Données projet'!H273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225*'Données projet'!E274+13.8*('Données projet'!F274+'Données projet'!G274)+10*'Données projet'!H274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225*'Données projet'!E275+13.8*('Données projet'!F275+'Données projet'!G275)+10*'Données projet'!H275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225*'Données projet'!E276+13.8*('Données projet'!F276+'Données projet'!G276)+10*'Données projet'!H276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225*'Données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225*'Données projet'!E278+13.8*('Données projet'!F278+'Données projet'!G278)+10*'Données projet'!H278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225*'Données projet'!E279+13.8*('Données projet'!F279+'Données projet'!G279)+10*'Données projet'!H279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225*'Données projet'!E280+13.8*('Données projet'!F280+'Données projet'!G280)+10*'Données projet'!H280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225*'Données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225*'Données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225*'Données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225*'Données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225*'Données projet'!E285+13.8*('Données projet'!F285+'Données projet'!G285)+10*'Données projet'!H285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225*'Données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225*'Données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225*'Données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225*'Données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2025-04-04T13:09:42Z</dcterms:modified>
</cp:coreProperties>
</file>