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TC_Bezinghem (62)\Dossier d_instruction\"/>
    </mc:Choice>
  </mc:AlternateContent>
  <xr:revisionPtr revIDLastSave="0" documentId="13_ncr:1_{6E36A770-B5B8-42B8-98C2-03DA2F270340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Y163" i="2" s="1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Y175" i="2" s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DI200" i="2"/>
  <c r="HG201" i="2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I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EI198" i="2" l="1" a="1"/>
  <c r="EI198" i="2" s="1"/>
  <c r="DN124" i="2" a="1"/>
  <c r="DN124" i="2" s="1"/>
  <c r="DN56" i="2" a="1"/>
  <c r="DN56" i="2" s="1"/>
  <c r="DN43" i="2" a="1"/>
  <c r="DN43" i="2" s="1"/>
  <c r="DN186" i="2" a="1"/>
  <c r="DN186" i="2" s="1"/>
  <c r="DN137" i="2" a="1"/>
  <c r="DN137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25" i="2" l="1"/>
  <c r="CY47" i="2"/>
  <c r="CY24" i="2"/>
  <c r="CY121" i="2"/>
  <c r="CY92" i="2"/>
  <c r="CY59" i="2"/>
  <c r="CY191" i="2"/>
  <c r="CY111" i="2"/>
  <c r="CY71" i="2"/>
  <c r="CY12" i="2"/>
  <c r="CY106" i="2"/>
  <c r="CY150" i="2"/>
  <c r="CY176" i="2"/>
  <c r="CY98" i="2"/>
  <c r="CY136" i="2"/>
  <c r="CY153" i="2"/>
  <c r="CY77" i="2"/>
  <c r="CY149" i="2"/>
  <c r="CY54" i="2"/>
  <c r="CY195" i="2"/>
  <c r="CY33" i="2"/>
  <c r="CY57" i="2"/>
  <c r="CY143" i="2"/>
  <c r="CY21" i="2"/>
  <c r="CY189" i="2"/>
  <c r="CY88" i="2"/>
  <c r="CY202" i="2"/>
  <c r="CY167" i="2"/>
  <c r="CY72" i="2"/>
  <c r="CY110" i="2"/>
  <c r="CY22" i="2"/>
  <c r="CY132" i="2"/>
  <c r="CY152" i="2"/>
  <c r="CY127" i="2"/>
  <c r="CY188" i="2"/>
  <c r="CY116" i="2"/>
  <c r="CY158" i="2"/>
  <c r="CY197" i="2"/>
  <c r="CY201" i="2"/>
  <c r="CY93" i="2"/>
  <c r="CY141" i="2"/>
  <c r="CY90" i="2"/>
  <c r="CY178" i="2"/>
  <c r="CY182" i="2"/>
  <c r="CY109" i="2"/>
  <c r="CY64" i="2"/>
  <c r="CY94" i="2"/>
  <c r="CY83" i="2"/>
  <c r="CY74" i="2"/>
  <c r="CY35" i="2"/>
  <c r="CY62" i="2"/>
  <c r="CY148" i="2"/>
  <c r="CY70" i="2"/>
  <c r="CY137" i="2"/>
  <c r="CY179" i="2"/>
  <c r="CY99" i="2"/>
  <c r="CY135" i="2"/>
  <c r="CY85" i="2"/>
  <c r="CY166" i="2"/>
  <c r="CY34" i="2"/>
  <c r="CY170" i="2"/>
  <c r="CY66" i="2"/>
  <c r="CY113" i="2"/>
  <c r="CY125" i="2"/>
  <c r="CY155" i="2"/>
  <c r="CY123" i="2"/>
  <c r="CY142" i="2"/>
  <c r="CY168" i="2"/>
  <c r="CY58" i="2"/>
  <c r="CY30" i="2"/>
  <c r="CY81" i="2"/>
  <c r="CY146" i="2"/>
  <c r="CY184" i="2"/>
  <c r="CY177" i="2"/>
  <c r="CY8" i="2"/>
  <c r="CY32" i="2"/>
  <c r="CY190" i="2"/>
  <c r="CY180" i="2"/>
  <c r="CY114" i="2"/>
  <c r="CY122" i="2"/>
  <c r="CY160" i="2"/>
  <c r="CY89" i="2"/>
  <c r="CY37" i="2"/>
  <c r="CY10" i="2"/>
  <c r="CY139" i="2"/>
  <c r="CY193" i="2"/>
  <c r="CY29" i="2"/>
  <c r="CY154" i="2"/>
  <c r="CY181" i="2"/>
  <c r="CY9" i="2"/>
  <c r="CY75" i="2"/>
  <c r="CY159" i="2"/>
  <c r="CY175" i="2"/>
  <c r="CY133" i="2"/>
  <c r="CY102" i="2"/>
  <c r="CY126" i="2"/>
  <c r="CY16" i="2"/>
  <c r="CY131" i="2"/>
  <c r="CY145" i="2"/>
  <c r="CY79" i="2"/>
  <c r="CY162" i="2"/>
  <c r="CY3" i="2"/>
  <c r="C10" i="4" s="1"/>
  <c r="E10" i="4" s="1"/>
  <c r="F10" i="4" s="1"/>
  <c r="G10" i="4" s="1"/>
  <c r="L10" i="4" s="1"/>
  <c r="CY44" i="2"/>
  <c r="CY13" i="2"/>
  <c r="CY103" i="2"/>
  <c r="CY198" i="2"/>
  <c r="CY56" i="2"/>
  <c r="CY87" i="2"/>
  <c r="CY15" i="2"/>
  <c r="CY164" i="2"/>
  <c r="CY112" i="2"/>
  <c r="CY124" i="2"/>
  <c r="CY7" i="2"/>
  <c r="CY50" i="2"/>
  <c r="CY186" i="2"/>
  <c r="CY91" i="2"/>
  <c r="CY163" i="2"/>
  <c r="CY138" i="2"/>
  <c r="CY101" i="2"/>
  <c r="CY200" i="2"/>
  <c r="CY84" i="2"/>
  <c r="CY68" i="2"/>
  <c r="CY53" i="2"/>
  <c r="CY108" i="2"/>
  <c r="CY140" i="2"/>
  <c r="CY129" i="2"/>
  <c r="CY173" i="2"/>
  <c r="CY130" i="2"/>
  <c r="CY104" i="2"/>
  <c r="CY38" i="2"/>
  <c r="CY51" i="2"/>
  <c r="CY199" i="2"/>
  <c r="CY174" i="2"/>
  <c r="CY61" i="2"/>
  <c r="CY105" i="2"/>
  <c r="CY192" i="2"/>
  <c r="CY157" i="2"/>
  <c r="CY45" i="2"/>
  <c r="CY171" i="2"/>
  <c r="CY36" i="2"/>
  <c r="CY203" i="2"/>
  <c r="CY183" i="2"/>
  <c r="CY80" i="2"/>
  <c r="CY187" i="2"/>
  <c r="CY82" i="2"/>
  <c r="CY49" i="2"/>
  <c r="CY4" i="2"/>
  <c r="CY117" i="2"/>
  <c r="CY65" i="2"/>
  <c r="CY151" i="2"/>
  <c r="CY67" i="2"/>
  <c r="CY86" i="2"/>
  <c r="CY96" i="2"/>
  <c r="CY134" i="2"/>
  <c r="CY55" i="2"/>
  <c r="CY48" i="2"/>
  <c r="CY156" i="2"/>
  <c r="CY42" i="2"/>
  <c r="CY144" i="2"/>
  <c r="CY119" i="2"/>
  <c r="CY107" i="2"/>
  <c r="CY41" i="2"/>
  <c r="CY118" i="2"/>
  <c r="CY23" i="2"/>
  <c r="CY194" i="2"/>
  <c r="CY78" i="2"/>
  <c r="CY120" i="2"/>
  <c r="CY31" i="2"/>
  <c r="CY169" i="2"/>
  <c r="CY17" i="2"/>
  <c r="CY165" i="2"/>
  <c r="CY5" i="2"/>
  <c r="CY28" i="2"/>
  <c r="CY196" i="2"/>
  <c r="CY46" i="2"/>
  <c r="CY100" i="2"/>
  <c r="CY40" i="2"/>
  <c r="CY76" i="2"/>
  <c r="CY161" i="2"/>
  <c r="CY43" i="2"/>
  <c r="CY128" i="2"/>
  <c r="CY26" i="2"/>
  <c r="CY69" i="2"/>
  <c r="CY18" i="2"/>
  <c r="CY172" i="2"/>
  <c r="CY60" i="2"/>
  <c r="CY11" i="2"/>
  <c r="CY63" i="2"/>
  <c r="CY95" i="2"/>
  <c r="CY39" i="2"/>
  <c r="CY6" i="2"/>
  <c r="CY147" i="2"/>
  <c r="CY20" i="2"/>
  <c r="CY27" i="2"/>
  <c r="CY73" i="2"/>
  <c r="CY52" i="2"/>
  <c r="CY97" i="2"/>
  <c r="CY14" i="2"/>
  <c r="CY19" i="2"/>
  <c r="CY115" i="2"/>
  <c r="CY185" i="2"/>
  <c r="CD60" i="2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GE11" i="2" l="1"/>
  <c r="GE189" i="2"/>
  <c r="GE121" i="2"/>
  <c r="GE16" i="2"/>
  <c r="GE62" i="2"/>
  <c r="GE127" i="2"/>
  <c r="GE150" i="2"/>
  <c r="GE170" i="2"/>
  <c r="GE141" i="2"/>
  <c r="GE10" i="2"/>
  <c r="GE93" i="2"/>
  <c r="GE83" i="2"/>
  <c r="GE78" i="2"/>
  <c r="GE157" i="2"/>
  <c r="GE153" i="2"/>
  <c r="GE131" i="2"/>
  <c r="GE126" i="2"/>
  <c r="GE166" i="2"/>
  <c r="GE122" i="2"/>
  <c r="GE66" i="2"/>
  <c r="GE123" i="2"/>
  <c r="GE128" i="2"/>
  <c r="GE45" i="2"/>
  <c r="GE81" i="2"/>
  <c r="GE88" i="2"/>
  <c r="GE169" i="2"/>
  <c r="GE191" i="2"/>
  <c r="GE137" i="2"/>
  <c r="GE156" i="2"/>
  <c r="GE21" i="2"/>
  <c r="GE70" i="2"/>
  <c r="GE77" i="2"/>
  <c r="GE25" i="2"/>
  <c r="GE154" i="2"/>
  <c r="GE193" i="2"/>
  <c r="GE71" i="2"/>
  <c r="GE161" i="2"/>
  <c r="GE149" i="2"/>
  <c r="GE116" i="2"/>
  <c r="GE63" i="2"/>
  <c r="GE75" i="2"/>
  <c r="GE30" i="2"/>
  <c r="GE125" i="2"/>
  <c r="GE76" i="2"/>
  <c r="GE44" i="2"/>
  <c r="GE124" i="2"/>
  <c r="GE115" i="2"/>
  <c r="GE135" i="2"/>
  <c r="GE38" i="2"/>
  <c r="GE112" i="2"/>
  <c r="GE34" i="2"/>
  <c r="GE52" i="2"/>
  <c r="GE186" i="2"/>
  <c r="GE36" i="2"/>
  <c r="GE134" i="2"/>
  <c r="GE84" i="2"/>
  <c r="GE82" i="2"/>
  <c r="GE180" i="2"/>
  <c r="GE130" i="2"/>
  <c r="GE158" i="2"/>
  <c r="GE140" i="2"/>
  <c r="GE51" i="2"/>
  <c r="GE199" i="2"/>
  <c r="GE72" i="2"/>
  <c r="GE185" i="2"/>
  <c r="GE129" i="2"/>
  <c r="GE145" i="2"/>
  <c r="GE90" i="2"/>
  <c r="GE198" i="2"/>
  <c r="GE160" i="2"/>
  <c r="GE176" i="2"/>
  <c r="GE182" i="2"/>
  <c r="GE120" i="2"/>
  <c r="GE171" i="2"/>
  <c r="GE175" i="2"/>
  <c r="GE43" i="2"/>
  <c r="GE202" i="2"/>
  <c r="GE201" i="2"/>
  <c r="GE181" i="2"/>
  <c r="GE194" i="2"/>
  <c r="GE65" i="2"/>
  <c r="GE59" i="2"/>
  <c r="GE32" i="2"/>
  <c r="GE108" i="2"/>
  <c r="GE74" i="2"/>
  <c r="GE117" i="2"/>
  <c r="GE12" i="2"/>
  <c r="GE159" i="2"/>
  <c r="GE73" i="2"/>
  <c r="GE79" i="2"/>
  <c r="GE5" i="2"/>
  <c r="GE18" i="2"/>
  <c r="GE97" i="2"/>
  <c r="GE3" i="2"/>
  <c r="C14" i="4" s="1"/>
  <c r="E14" i="4" s="1"/>
  <c r="F14" i="4" s="1"/>
  <c r="G14" i="4" s="1"/>
  <c r="L14" i="4" s="1"/>
  <c r="GE162" i="2"/>
  <c r="GE144" i="2"/>
  <c r="GE57" i="2"/>
  <c r="GE92" i="2"/>
  <c r="GE23" i="2"/>
  <c r="GE187" i="2"/>
  <c r="GE61" i="2"/>
  <c r="GE195" i="2"/>
  <c r="GE163" i="2"/>
  <c r="GE197" i="2"/>
  <c r="GE46" i="2"/>
  <c r="GE114" i="2"/>
  <c r="GE98" i="2"/>
  <c r="GE8" i="2"/>
  <c r="GE203" i="2"/>
  <c r="GE80" i="2"/>
  <c r="GE40" i="2"/>
  <c r="GE86" i="2"/>
  <c r="GE20" i="2"/>
  <c r="GE152" i="2"/>
  <c r="GE113" i="2"/>
  <c r="GE146" i="2"/>
  <c r="GE147" i="2"/>
  <c r="GE53" i="2"/>
  <c r="GE100" i="2"/>
  <c r="GE95" i="2"/>
  <c r="GE177" i="2"/>
  <c r="GE119" i="2"/>
  <c r="GE99" i="2"/>
  <c r="GE49" i="2"/>
  <c r="GE139" i="2"/>
  <c r="GE4" i="2"/>
  <c r="GE190" i="2"/>
  <c r="GE15" i="2"/>
  <c r="GE106" i="2"/>
  <c r="GE91" i="2"/>
  <c r="GE173" i="2"/>
  <c r="GE22" i="2"/>
  <c r="GE105" i="2"/>
  <c r="GE110" i="2"/>
  <c r="GE55" i="2"/>
  <c r="GE68" i="2"/>
  <c r="GE64" i="2"/>
  <c r="GE35" i="2"/>
  <c r="GE164" i="2"/>
  <c r="GE101" i="2"/>
  <c r="GE107" i="2"/>
  <c r="GE178" i="2"/>
  <c r="GE26" i="2"/>
  <c r="GE103" i="2"/>
  <c r="GE19" i="2"/>
  <c r="GE31" i="2"/>
  <c r="GE188" i="2"/>
  <c r="GE39" i="2"/>
  <c r="GE168" i="2"/>
  <c r="GE54" i="2"/>
  <c r="GE142" i="2"/>
  <c r="GE87" i="2"/>
  <c r="GE183" i="2"/>
  <c r="GE6" i="2"/>
  <c r="GE109" i="2"/>
  <c r="GE14" i="2"/>
  <c r="GE29" i="2"/>
  <c r="GE24" i="2"/>
  <c r="GE17" i="2"/>
  <c r="GE143" i="2"/>
  <c r="GE89" i="2"/>
  <c r="GE138" i="2"/>
  <c r="GE200" i="2"/>
  <c r="GE102" i="2"/>
  <c r="GE192" i="2"/>
  <c r="GE148" i="2"/>
  <c r="GE155" i="2"/>
  <c r="GE42" i="2"/>
  <c r="GE27" i="2"/>
  <c r="GE85" i="2"/>
  <c r="GE69" i="2"/>
  <c r="GE41" i="2"/>
  <c r="GE174" i="2"/>
  <c r="GE184" i="2"/>
  <c r="GE9" i="2"/>
  <c r="GE196" i="2"/>
  <c r="GE58" i="2"/>
  <c r="GE167" i="2"/>
  <c r="GE96" i="2"/>
  <c r="GE132" i="2"/>
  <c r="GE94" i="2"/>
  <c r="GE118" i="2"/>
  <c r="GE172" i="2"/>
  <c r="GE165" i="2"/>
  <c r="GE104" i="2"/>
  <c r="GE47" i="2"/>
  <c r="GE151" i="2"/>
  <c r="GE111" i="2"/>
  <c r="GE28" i="2"/>
  <c r="GE33" i="2"/>
  <c r="GE179" i="2"/>
  <c r="GE67" i="2"/>
  <c r="GE60" i="2"/>
  <c r="GE37" i="2"/>
  <c r="GE48" i="2"/>
  <c r="GE13" i="2"/>
  <c r="GE7" i="2"/>
  <c r="GE133" i="2"/>
  <c r="GE136" i="2"/>
  <c r="GE56" i="2"/>
  <c r="GE50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AN100" i="2" l="1"/>
  <c r="AN191" i="2"/>
  <c r="AN165" i="2"/>
  <c r="AN196" i="2"/>
  <c r="AN153" i="2"/>
  <c r="AN8" i="2"/>
  <c r="AN114" i="2"/>
  <c r="AN198" i="2"/>
  <c r="AN20" i="2"/>
  <c r="AN68" i="2"/>
  <c r="AN113" i="2"/>
  <c r="AN195" i="2"/>
  <c r="AN116" i="2"/>
  <c r="AN47" i="2"/>
  <c r="AN105" i="2"/>
  <c r="AN126" i="2"/>
  <c r="AN190" i="2"/>
  <c r="AN104" i="2"/>
  <c r="AN111" i="2"/>
  <c r="AN25" i="2"/>
  <c r="AN30" i="2"/>
  <c r="AN59" i="2"/>
  <c r="AN72" i="2"/>
  <c r="AN200" i="2"/>
  <c r="AN140" i="2"/>
  <c r="AN170" i="2"/>
  <c r="AN89" i="2"/>
  <c r="AN203" i="2"/>
  <c r="AN46" i="2"/>
  <c r="AN60" i="2"/>
  <c r="AN122" i="2"/>
  <c r="AN168" i="2"/>
  <c r="AN179" i="2"/>
  <c r="AN42" i="2"/>
  <c r="AN97" i="2"/>
  <c r="AN27" i="2"/>
  <c r="AN167" i="2"/>
  <c r="AN147" i="2"/>
  <c r="AN124" i="2"/>
  <c r="AN175" i="2"/>
  <c r="AN128" i="2"/>
  <c r="AN98" i="2"/>
  <c r="AN188" i="2"/>
  <c r="AN115" i="2"/>
  <c r="AN49" i="2"/>
  <c r="AN197" i="2"/>
  <c r="AN164" i="2"/>
  <c r="AN78" i="2"/>
  <c r="AN193" i="2"/>
  <c r="AN51" i="2"/>
  <c r="AN36" i="2"/>
  <c r="AN17" i="2"/>
  <c r="AN146" i="2"/>
  <c r="AN133" i="2"/>
  <c r="AN96" i="2"/>
  <c r="AN202" i="2"/>
  <c r="AN40" i="2"/>
  <c r="AN169" i="2"/>
  <c r="AN185" i="2"/>
  <c r="AN84" i="2"/>
  <c r="AN134" i="2"/>
  <c r="AN92" i="2"/>
  <c r="AN93" i="2"/>
  <c r="AN141" i="2"/>
  <c r="AN88" i="2"/>
  <c r="AN35" i="2"/>
  <c r="AN181" i="2"/>
  <c r="AN148" i="2"/>
  <c r="AN155" i="2"/>
  <c r="AN194" i="2"/>
  <c r="AN34" i="2"/>
  <c r="AN172" i="2"/>
  <c r="AN107" i="2"/>
  <c r="AN58" i="2"/>
  <c r="AN81" i="2"/>
  <c r="AN201" i="2"/>
  <c r="AN192" i="2"/>
  <c r="AN120" i="2"/>
  <c r="AN166" i="2"/>
  <c r="AN50" i="2"/>
  <c r="AN112" i="2"/>
  <c r="AN125" i="2"/>
  <c r="AN108" i="2"/>
  <c r="AN67" i="2"/>
  <c r="AN132" i="2"/>
  <c r="AN12" i="2"/>
  <c r="AN91" i="2"/>
  <c r="AN137" i="2"/>
  <c r="AN3" i="2"/>
  <c r="C7" i="4" s="1"/>
  <c r="E7" i="4" s="1"/>
  <c r="F7" i="4" s="1"/>
  <c r="G7" i="4" s="1"/>
  <c r="L7" i="4" s="1"/>
  <c r="AN127" i="2"/>
  <c r="AN199" i="2"/>
  <c r="AN156" i="2"/>
  <c r="AN139" i="2"/>
  <c r="AN186" i="2"/>
  <c r="AN41" i="2"/>
  <c r="AN121" i="2"/>
  <c r="AN173" i="2"/>
  <c r="AN131" i="2"/>
  <c r="AN157" i="2"/>
  <c r="AN4" i="2"/>
  <c r="AN65" i="2"/>
  <c r="AN6" i="2"/>
  <c r="AN56" i="2"/>
  <c r="AN144" i="2"/>
  <c r="AN182" i="2"/>
  <c r="AN70" i="2"/>
  <c r="AN101" i="2"/>
  <c r="AN178" i="2"/>
  <c r="AN23" i="2"/>
  <c r="AN119" i="2"/>
  <c r="AN52" i="2"/>
  <c r="AN129" i="2"/>
  <c r="AN71" i="2"/>
  <c r="AN38" i="2"/>
  <c r="AN48" i="2"/>
  <c r="AN24" i="2"/>
  <c r="AN184" i="2"/>
  <c r="AN66" i="2"/>
  <c r="AN76" i="2"/>
  <c r="AN183" i="2"/>
  <c r="AN135" i="2"/>
  <c r="AN174" i="2"/>
  <c r="AN86" i="2"/>
  <c r="AN90" i="2"/>
  <c r="AN13" i="2"/>
  <c r="AN138" i="2"/>
  <c r="AN32" i="2"/>
  <c r="AN57" i="2"/>
  <c r="AN55" i="2"/>
  <c r="AN61" i="2"/>
  <c r="AN77" i="2"/>
  <c r="AN82" i="2"/>
  <c r="AN103" i="2"/>
  <c r="AN106" i="2"/>
  <c r="AN189" i="2"/>
  <c r="AN79" i="2"/>
  <c r="AN99" i="2"/>
  <c r="AN14" i="2"/>
  <c r="AN28" i="2"/>
  <c r="AN15" i="2"/>
  <c r="AN7" i="2"/>
  <c r="AN150" i="2"/>
  <c r="AN63" i="2"/>
  <c r="AN29" i="2"/>
  <c r="AN110" i="2"/>
  <c r="AN109" i="2"/>
  <c r="AN154" i="2"/>
  <c r="AN44" i="2"/>
  <c r="AN43" i="2"/>
  <c r="AN62" i="2"/>
  <c r="AN19" i="2"/>
  <c r="AN145" i="2"/>
  <c r="AN85" i="2"/>
  <c r="AN31" i="2"/>
  <c r="AN159" i="2"/>
  <c r="AN142" i="2"/>
  <c r="AN160" i="2"/>
  <c r="AN18" i="2"/>
  <c r="AN151" i="2"/>
  <c r="AN177" i="2"/>
  <c r="AN22" i="2"/>
  <c r="AN143" i="2"/>
  <c r="AN73" i="2"/>
  <c r="AN74" i="2"/>
  <c r="AN80" i="2"/>
  <c r="AN176" i="2"/>
  <c r="AN163" i="2"/>
  <c r="AN152" i="2"/>
  <c r="AN11" i="2"/>
  <c r="AN54" i="2"/>
  <c r="AN161" i="2"/>
  <c r="AN69" i="2"/>
  <c r="AN102" i="2"/>
  <c r="AN136" i="2"/>
  <c r="AN149" i="2"/>
  <c r="AN26" i="2"/>
  <c r="AN64" i="2"/>
  <c r="AN33" i="2"/>
  <c r="AN16" i="2"/>
  <c r="AN37" i="2"/>
  <c r="AN95" i="2"/>
  <c r="AN187" i="2"/>
  <c r="AN130" i="2"/>
  <c r="AN118" i="2"/>
  <c r="AN162" i="2"/>
  <c r="AN9" i="2"/>
  <c r="AN171" i="2"/>
  <c r="AN83" i="2"/>
  <c r="AN87" i="2"/>
  <c r="AN10" i="2"/>
  <c r="AN53" i="2"/>
  <c r="AN45" i="2"/>
  <c r="AN21" i="2"/>
  <c r="AN75" i="2"/>
  <c r="AN117" i="2"/>
  <c r="AN94" i="2"/>
  <c r="AN158" i="2"/>
  <c r="AN5" i="2"/>
  <c r="AN123" i="2"/>
  <c r="AN39" i="2"/>
  <c r="AN180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<sst xmlns="http://schemas.openxmlformats.org/spreadsheetml/2006/main" count="1191" uniqueCount="329">
  <si>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</si>
  <si>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</si>
  <si>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</si>
  <si>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</si>
  <si>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</si>
  <si>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</si>
  <si>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</si>
  <si>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</si>
  <si>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</si>
  <si>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</si>
  <si>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</si>
  <si>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</si>
  <si>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</si>
  <si>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</si>
  <si>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</si>
  <si>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</si>
  <si>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</si>
  <si>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</si>
  <si>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</si>
  <si>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</si>
  <si>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</si>
  <si>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</si>
  <si>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</si>
  <si>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</si>
  <si>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</si>
  <si>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</si>
  <si>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</si>
  <si>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</si>
  <si>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</si>
  <si>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</si>
  <si>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</si>
  <si>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</si>
  <si>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</si>
  <si>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</si>
  <si>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</si>
  <si>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</si>
  <si>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</si>
  <si>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</si>
  <si>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</si>
  <si>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</si>
  <si>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</si>
  <si>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</si>
  <si>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</si>
  <si>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</si>
  <si>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</si>
  <si>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</si>
  <si>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</si>
  <si>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</si>
  <si>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</si>
  <si>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</si>
  <si>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</si>
  <si>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</si>
  <si>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</si>
  <si>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</si>
  <si>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</si>
  <si>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</si>
  <si>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</si>
  <si>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</si>
  <si>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</si>
  <si>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</si>
  <si>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</si>
  <si>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</si>
  <si>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</si>
  <si>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</si>
  <si>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</si>
  <si>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</si>
  <si>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</si>
  <si>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</si>
  <si>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</si>
  <si>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</si>
  <si>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</si>
  <si>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</si>
  <si>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</si>
  <si>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</si>
  <si>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</si>
  <si>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</si>
  <si>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</si>
  <si>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</si>
  <si>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</si>
  <si>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</si>
  <si>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</si>
  <si>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</si>
  <si>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</si>
  <si>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</si>
  <si>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</si>
  <si>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</si>
  <si>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</si>
  <si>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</si>
  <si>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</si>
  <si>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</si>
  <si>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</si>
  <si>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</si>
  <si>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</si>
  <si>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</si>
  <si>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</si>
  <si>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</si>
  <si>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</si>
  <si>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</si>
  <si>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</si>
  <si>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</si>
  <si>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</si>
  <si>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</si>
  <si>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</si>
  <si>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</si>
  <si>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</si>
  <si>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</si>
  <si>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</si>
  <si>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</si>
  <si>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</si>
  <si>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</si>
  <si>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</si>
  <si>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</si>
  <si>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</si>
  <si>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</si>
  <si>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</si>
  <si>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</si>
  <si>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</si>
  <si>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</si>
  <si>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</si>
  <si>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</si>
  <si>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</si>
  <si>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</si>
  <si>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</si>
  <si>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</si>
  <si>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</si>
  <si>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</si>
  <si>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</si>
  <si>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</si>
  <si>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</si>
  <si>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</si>
  <si>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</si>
  <si>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</si>
  <si>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</si>
  <si>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</si>
  <si>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</si>
  <si>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</si>
  <si>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</si>
  <si>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</si>
  <si>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</si>
  <si>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</si>
  <si>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</si>
  <si>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</si>
  <si>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</si>
  <si>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</si>
  <si>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</si>
  <si>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</si>
  <si>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</si>
  <si>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</si>
  <si>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</si>
  <si>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</si>
  <si>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</si>
  <si>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</si>
  <si>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</si>
  <si>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</si>
  <si>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</si>
  <si>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</si>
  <si>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</si>
  <si>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</si>
  <si>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</si>
  <si>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</si>
  <si>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</si>
  <si>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</si>
  <si>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</si>
  <si>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</si>
  <si>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</si>
  <si>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</si>
  <si>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</si>
  <si>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</si>
  <si>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</si>
  <si>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</si>
  <si>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</si>
  <si>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</si>
  <si>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</si>
  <si>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</si>
  <si>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</si>
  <si>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</si>
  <si>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</si>
  <si>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</si>
  <si>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</si>
  <si>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</si>
  <si>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</si>
  <si>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</si>
  <si>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</si>
  <si>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</si>
  <si>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</si>
  <si>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</si>
  <si>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</si>
  <si>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</si>
  <si>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</si>
  <si>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</si>
  <si>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</si>
  <si>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</si>
  <si>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</si>
  <si>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</si>
  <si>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</si>
  <si>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</si>
  <si>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</si>
  <si>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</si>
  <si>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</si>
  <si>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</si>
  <si>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</si>
  <si>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</si>
  <si>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</si>
  <si>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</si>
  <si>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</si>
  <si>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</si>
  <si>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</si>
  <si>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</si>
  <si>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</si>
  <si>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</si>
  <si>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</si>
  <si>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</si>
  <si>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</si>
  <si>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</si>
  <si>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</si>
  <si>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</si>
  <si>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</si>
  <si>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</si>
  <si>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</si>
  <si>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</si>
  <si>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</si>
  <si>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</si>
  <si>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</si>
  <si>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</si>
  <si>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</si>
  <si>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</si>
  <si>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</si>
  <si>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</si>
  <si>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</si>
  <si>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</si>
  <si>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</si>
  <si>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</si>
  <si>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</si>
  <si>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</si>
  <si>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</si>
  <si>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</si>
  <si>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</si>
  <si>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</si>
  <si>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</si>
  <si>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</si>
  <si>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</si>
  <si>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</si>
  <si>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</si>
  <si>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</si>
  <si>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</si>
  <si>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</si>
  <si>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</si>
  <si>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</si>
  <si>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</si>
  <si>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</si>
  <si>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</si>
  <si>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</si>
  <si>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</si>
  <si>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</si>
  <si>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</si>
  <si>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</si>
  <si>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</si>
  <si>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</si>
  <si>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</si>
  <si>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</si>
  <si>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</si>
  <si>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</si>
  <si>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</si>
  <si>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</si>
  <si>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</si>
  <si>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</si>
  <si>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</si>
  <si>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</si>
  <si>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</si>
  <si>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</si>
  <si>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</si>
  <si>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</si>
  <si>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</si>
  <si>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</si>
  <si>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</si>
  <si>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</si>
  <si>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</si>
  <si>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</si>
  <si>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</si>
  <si>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</si>
  <si>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</si>
  <si>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</si>
  <si>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</si>
  <si>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</si>
  <si>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</si>
  <si>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</si>
  <si>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</si>
  <si>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</si>
  <si>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</si>
  <si>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</si>
  <si>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</si>
  <si>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</si>
  <si>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</si>
  <si>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</si>
  <si>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</si>
  <si>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</si>
  <si>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</si>
  <si>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</si>
  <si>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</si>
  <si>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</si>
  <si>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</si>
  <si>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</si>
  <si>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</si>
  <si>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</si>
  <si>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</si>
  <si>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</si>
  <si>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</si>
  <si>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</si>
  <si>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</si>
  <si>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</si>
  <si>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</si>
  <si>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</si>
  <si>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</si>
  <si>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</si>
  <si>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</si>
  <si>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</si>
  <si>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</si>
  <si>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</si>
  <si>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</si>
  <si>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</si>
  <si>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</si>
  <si>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</si>
  <si>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</si>
  <si>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</si>
  <si>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</si>
  <si>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Classe 3/5</t>
  </si>
  <si>
    <t>Classe 4/5</t>
  </si>
  <si>
    <t>Classe 2/5</t>
  </si>
  <si>
    <t>regroupement du tilleul à petites feuilles et du chêne pubescent (même classe de fertilité et même table de production)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</si>
</sst>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2.6675160418536286</c:v>
                </c:pt>
                <c:pt idx="2">
                  <c:v>3.0797796475450805</c:v>
                </c:pt>
                <c:pt idx="3">
                  <c:v>3.5559878385241297</c:v>
                </c:pt>
                <c:pt idx="4">
                  <c:v>4.1060924310282987</c:v>
                </c:pt>
                <c:pt idx="5">
                  <c:v>4.7415989717169795</c:v>
                </c:pt>
                <c:pt idx="6">
                  <c:v>5.4758100290537763</c:v>
                </c:pt>
                <c:pt idx="7">
                  <c:v>6.3241066842509426</c:v>
                </c:pt>
                <c:pt idx="8">
                  <c:v>7.3042742345512766</c:v>
                </c:pt>
                <c:pt idx="9">
                  <c:v>8.4368790702238972</c:v>
                </c:pt>
                <c:pt idx="10">
                  <c:v>9.7457047852182921</c:v>
                </c:pt>
                <c:pt idx="11">
                  <c:v>11.258256853709192</c:v>
                </c:pt>
                <c:pt idx="12">
                  <c:v>13.006346678295186</c:v>
                </c:pt>
                <c:pt idx="13">
                  <c:v>15.026767522276629</c:v>
                </c:pt>
                <c:pt idx="14">
                  <c:v>17.362076815184228</c:v>
                </c:pt>
                <c:pt idx="15">
                  <c:v>20.061501610376787</c:v>
                </c:pt>
                <c:pt idx="16">
                  <c:v>23.181986625692318</c:v>
                </c:pt>
                <c:pt idx="17">
                  <c:v>26.78940737031709</c:v>
                </c:pt>
                <c:pt idx="18">
                  <c:v>30.95997441986454</c:v>
                </c:pt>
                <c:pt idx="19">
                  <c:v>35.781859024346574</c:v>
                </c:pt>
                <c:pt idx="20">
                  <c:v>41.357075009762639</c:v>
                </c:pt>
                <c:pt idx="21">
                  <c:v>47.803657467139118</c:v>
                </c:pt>
                <c:pt idx="22">
                  <c:v>55.258185133222831</c:v>
                </c:pt>
                <c:pt idx="23">
                  <c:v>63.87870079397883</c:v>
                </c:pt>
                <c:pt idx="24">
                  <c:v>73.848092647032104</c:v>
                </c:pt>
                <c:pt idx="25">
                  <c:v>85.378009529373216</c:v>
                </c:pt>
                <c:pt idx="26">
                  <c:v>98.713394468943918</c:v>
                </c:pt>
                <c:pt idx="27">
                  <c:v>114.13773440456593</c:v>
                </c:pt>
                <c:pt idx="28">
                  <c:v>131.97913942952923</c:v>
                </c:pt>
                <c:pt idx="29">
                  <c:v>152.61738288785739</c:v>
                </c:pt>
                <c:pt idx="30">
                  <c:v>176.49205448043975</c:v>
                </c:pt>
                <c:pt idx="31">
                  <c:v>192.45716419633104</c:v>
                </c:pt>
                <c:pt idx="32">
                  <c:v>208.39146048328556</c:v>
                </c:pt>
                <c:pt idx="33">
                  <c:v>224.29763175513935</c:v>
                </c:pt>
                <c:pt idx="34">
                  <c:v>240.17795365516986</c:v>
                </c:pt>
                <c:pt idx="35">
                  <c:v>256.03437612683177</c:v>
                </c:pt>
                <c:pt idx="36">
                  <c:v>271.86858774771321</c:v>
                </c:pt>
                <c:pt idx="37">
                  <c:v>287.68206426995692</c:v>
                </c:pt>
                <c:pt idx="38">
                  <c:v>303.47610591726431</c:v>
                </c:pt>
                <c:pt idx="39">
                  <c:v>319.25186650438303</c:v>
                </c:pt>
                <c:pt idx="40">
                  <c:v>335.01037649574283</c:v>
                </c:pt>
                <c:pt idx="41">
                  <c:v>350.75256149626176</c:v>
                </c:pt>
                <c:pt idx="42">
                  <c:v>366.47925724772773</c:v>
                </c:pt>
                <c:pt idx="43">
                  <c:v>382.19122191577304</c:v>
                </c:pt>
                <c:pt idx="44">
                  <c:v>397.88914625045004</c:v>
                </c:pt>
                <c:pt idx="45">
                  <c:v>272.77844520578708</c:v>
                </c:pt>
                <c:pt idx="46">
                  <c:v>290.82315267599421</c:v>
                </c:pt>
                <c:pt idx="47">
                  <c:v>308.84285406450209</c:v>
                </c:pt>
                <c:pt idx="48">
                  <c:v>326.8392133189576</c:v>
                </c:pt>
                <c:pt idx="49">
                  <c:v>344.81369619605817</c:v>
                </c:pt>
                <c:pt idx="50">
                  <c:v>362.76760318445668</c:v>
                </c:pt>
                <c:pt idx="51">
                  <c:v>380.70209556651093</c:v>
                </c:pt>
                <c:pt idx="52">
                  <c:v>308.62359963400928</c:v>
                </c:pt>
                <c:pt idx="53">
                  <c:v>325.69937960503381</c:v>
                </c:pt>
                <c:pt idx="54">
                  <c:v>342.7553882386535</c:v>
                </c:pt>
                <c:pt idx="55">
                  <c:v>359.79274762854851</c:v>
                </c:pt>
                <c:pt idx="56">
                  <c:v>376.8124649407186</c:v>
                </c:pt>
                <c:pt idx="57">
                  <c:v>393.81544895197794</c:v>
                </c:pt>
                <c:pt idx="58">
                  <c:v>410.80252358265381</c:v>
                </c:pt>
                <c:pt idx="59">
                  <c:v>427.77443907396031</c:v>
                </c:pt>
                <c:pt idx="60">
                  <c:v>349.02400472703494</c:v>
                </c:pt>
                <c:pt idx="61">
                  <c:v>364.64625680044338</c:v>
                </c:pt>
                <c:pt idx="62">
                  <c:v>380.25389243385894</c:v>
                </c:pt>
                <c:pt idx="63">
                  <c:v>395.84759592897041</c:v>
                </c:pt>
                <c:pt idx="64">
                  <c:v>411.42799328311548</c:v>
                </c:pt>
                <c:pt idx="65">
                  <c:v>426.99565922276582</c:v>
                </c:pt>
                <c:pt idx="66">
                  <c:v>442.55112315780548</c:v>
                </c:pt>
                <c:pt idx="67">
                  <c:v>458.09487425506472</c:v>
                </c:pt>
                <c:pt idx="68">
                  <c:v>394.97120015463889</c:v>
                </c:pt>
                <c:pt idx="69">
                  <c:v>409.99900540187951</c:v>
                </c:pt>
                <c:pt idx="70">
                  <c:v>425.01492080609302</c:v>
                </c:pt>
                <c:pt idx="71">
                  <c:v>440.01942551073108</c:v>
                </c:pt>
                <c:pt idx="72">
                  <c:v>455.01296332341457</c:v>
                </c:pt>
                <c:pt idx="73">
                  <c:v>469.99594642463717</c:v>
                </c:pt>
                <c:pt idx="74">
                  <c:v>484.96875857898323</c:v>
                </c:pt>
                <c:pt idx="75">
                  <c:v>499.9317579291997</c:v>
                </c:pt>
                <c:pt idx="76">
                  <c:v>438.64001803659852</c:v>
                </c:pt>
                <c:pt idx="77">
                  <c:v>453.24511717726642</c:v>
                </c:pt>
                <c:pt idx="78">
                  <c:v>467.84015836832464</c:v>
                </c:pt>
                <c:pt idx="79">
                  <c:v>482.42549950033452</c:v>
                </c:pt>
                <c:pt idx="80">
                  <c:v>497.0014750642901</c:v>
                </c:pt>
                <c:pt idx="81">
                  <c:v>511.56839833720818</c:v>
                </c:pt>
                <c:pt idx="82">
                  <c:v>526.12656330588186</c:v>
                </c:pt>
                <c:pt idx="83">
                  <c:v>540.67624636669279</c:v>
                </c:pt>
                <c:pt idx="84">
                  <c:v>555.21770783299189</c:v>
                </c:pt>
                <c:pt idx="85">
                  <c:v>482.97530225028254</c:v>
                </c:pt>
                <c:pt idx="86">
                  <c:v>496.71396397035846</c:v>
                </c:pt>
                <c:pt idx="87">
                  <c:v>510.44457828758954</c:v>
                </c:pt>
                <c:pt idx="88">
                  <c:v>524.16739211216634</c:v>
                </c:pt>
                <c:pt idx="89">
                  <c:v>537.88263837533532</c:v>
                </c:pt>
                <c:pt idx="90">
                  <c:v>551.59053716453127</c:v>
                </c:pt>
                <c:pt idx="91">
                  <c:v>565.29129673983505</c:v>
                </c:pt>
                <c:pt idx="92">
                  <c:v>578.98511444679809</c:v>
                </c:pt>
                <c:pt idx="93">
                  <c:v>592.67217753845</c:v>
                </c:pt>
                <c:pt idx="94">
                  <c:v>532.87485253040416</c:v>
                </c:pt>
                <c:pt idx="95">
                  <c:v>546.82537004150879</c:v>
                </c:pt>
                <c:pt idx="96">
                  <c:v>560.76842251172638</c:v>
                </c:pt>
                <c:pt idx="97">
                  <c:v>574.7042216330276</c:v>
                </c:pt>
                <c:pt idx="98">
                  <c:v>588.6329679979043</c:v>
                </c:pt>
                <c:pt idx="99">
                  <c:v>602.5548519356812</c:v>
                </c:pt>
                <c:pt idx="100">
                  <c:v>616.47005426755209</c:v>
                </c:pt>
                <c:pt idx="101">
                  <c:v>630.37874698992925</c:v>
                </c:pt>
                <c:pt idx="102">
                  <c:v>644.28109389438293</c:v>
                </c:pt>
                <c:pt idx="103">
                  <c:v>658.17725113131553</c:v>
                </c:pt>
                <c:pt idx="104">
                  <c:v>574.93543737626817</c:v>
                </c:pt>
                <c:pt idx="105">
                  <c:v>588.08863330521115</c:v>
                </c:pt>
                <c:pt idx="106">
                  <c:v>601.23570340333129</c:v>
                </c:pt>
                <c:pt idx="107">
                  <c:v>614.37680044501735</c:v>
                </c:pt>
                <c:pt idx="108">
                  <c:v>627.5120701390166</c:v>
                </c:pt>
                <c:pt idx="109">
                  <c:v>640.64165159935828</c:v>
                </c:pt>
                <c:pt idx="110">
                  <c:v>653.76567777568584</c:v>
                </c:pt>
                <c:pt idx="111">
                  <c:v>666.88427584725321</c:v>
                </c:pt>
                <c:pt idx="112">
                  <c:v>679.99756758432682</c:v>
                </c:pt>
                <c:pt idx="113">
                  <c:v>693.10566968027672</c:v>
                </c:pt>
                <c:pt idx="114">
                  <c:v>630.11555039886127</c:v>
                </c:pt>
                <c:pt idx="115">
                  <c:v>644.2639367041096</c:v>
                </c:pt>
                <c:pt idx="116">
                  <c:v>658.4059121591248</c:v>
                </c:pt>
                <c:pt idx="117">
                  <c:v>672.54163378451642</c:v>
                </c:pt>
                <c:pt idx="118">
                  <c:v>686.67125146609214</c:v>
                </c:pt>
                <c:pt idx="119">
                  <c:v>700.79490842223277</c:v>
                </c:pt>
                <c:pt idx="120">
                  <c:v>714.9127416316602</c:v>
                </c:pt>
                <c:pt idx="121">
                  <c:v>729.02488222568172</c:v>
                </c:pt>
                <c:pt idx="122">
                  <c:v>743.13145584850588</c:v>
                </c:pt>
                <c:pt idx="123">
                  <c:v>757.23258298879875</c:v>
                </c:pt>
                <c:pt idx="124">
                  <c:v>771.32837928528045</c:v>
                </c:pt>
                <c:pt idx="125">
                  <c:v>785.41895580883727</c:v>
                </c:pt>
                <c:pt idx="126">
                  <c:v>681.94300689172019</c:v>
                </c:pt>
                <c:pt idx="127">
                  <c:v>695.41516167981661</c:v>
                </c:pt>
                <c:pt idx="128">
                  <c:v>708.88197241935677</c:v>
                </c:pt>
                <c:pt idx="129">
                  <c:v>722.34355487509731</c:v>
                </c:pt>
                <c:pt idx="130">
                  <c:v>735.80002014800675</c:v>
                </c:pt>
                <c:pt idx="131">
                  <c:v>749.25147494678095</c:v>
                </c:pt>
                <c:pt idx="132">
                  <c:v>762.69802183885724</c:v>
                </c:pt>
                <c:pt idx="133">
                  <c:v>776.1397594828228</c:v>
                </c:pt>
                <c:pt idx="134">
                  <c:v>789.57678284389965</c:v>
                </c:pt>
                <c:pt idx="135">
                  <c:v>803.00918339400721</c:v>
                </c:pt>
                <c:pt idx="136">
                  <c:v>816.43704929775834</c:v>
                </c:pt>
                <c:pt idx="137">
                  <c:v>829.86046558559167</c:v>
                </c:pt>
                <c:pt idx="138">
                  <c:v>718.3905828882215</c:v>
                </c:pt>
                <c:pt idx="139">
                  <c:v>731.39537513401831</c:v>
                </c:pt>
                <c:pt idx="140">
                  <c:v>744.39545655459915</c:v>
                </c:pt>
                <c:pt idx="141">
                  <c:v>757.39092095942249</c:v>
                </c:pt>
                <c:pt idx="142">
                  <c:v>770.38185867844732</c:v>
                </c:pt>
                <c:pt idx="143">
                  <c:v>783.36835674890756</c:v>
                </c:pt>
                <c:pt idx="144">
                  <c:v>796.35049908906774</c:v>
                </c:pt>
                <c:pt idx="145">
                  <c:v>809.32836666006722</c:v>
                </c:pt>
                <c:pt idx="146">
                  <c:v>822.30203761685414</c:v>
                </c:pt>
                <c:pt idx="147">
                  <c:v>835.27158744910628</c:v>
                </c:pt>
                <c:pt idx="148">
                  <c:v>848.23708911295319</c:v>
                </c:pt>
                <c:pt idx="149">
                  <c:v>861.19861315423123</c:v>
                </c:pt>
                <c:pt idx="150">
                  <c:v>566.79393900309731</c:v>
                </c:pt>
                <c:pt idx="151">
                  <c:v>564.54790927322654</c:v>
                </c:pt>
                <c:pt idx="152">
                  <c:v>562.30169262411789</c:v>
                </c:pt>
                <c:pt idx="153">
                  <c:v>560.05528820263737</c:v>
                </c:pt>
                <c:pt idx="154">
                  <c:v>387.52012307257957</c:v>
                </c:pt>
                <c:pt idx="155">
                  <c:v>386.32053329186289</c:v>
                </c:pt>
                <c:pt idx="156">
                  <c:v>385.12086257878133</c:v>
                </c:pt>
                <c:pt idx="157">
                  <c:v>383.92111064505684</c:v>
                </c:pt>
                <c:pt idx="158">
                  <c:v>270.70795761656854</c:v>
                </c:pt>
                <c:pt idx="159">
                  <c:v>269.58620813542433</c:v>
                </c:pt>
                <c:pt idx="160">
                  <c:v>268.46435354322199</c:v>
                </c:pt>
                <c:pt idx="161">
                  <c:v>267.34239333724798</c:v>
                </c:pt>
                <c:pt idx="162">
                  <c:v>39.504150020946049</c:v>
                </c:pt>
                <c:pt idx="163">
                  <c:v>39.504150020946049</c:v>
                </c:pt>
                <c:pt idx="164">
                  <c:v>39.504150020946049</c:v>
                </c:pt>
                <c:pt idx="165">
                  <c:v>39.504150020946049</c:v>
                </c:pt>
                <c:pt idx="166">
                  <c:v>39.504150020946049</c:v>
                </c:pt>
                <c:pt idx="167">
                  <c:v>39.504150020946049</c:v>
                </c:pt>
                <c:pt idx="168">
                  <c:v>39.504150020946049</c:v>
                </c:pt>
                <c:pt idx="169">
                  <c:v>39.504150020946049</c:v>
                </c:pt>
                <c:pt idx="170">
                  <c:v>39.504150020946049</c:v>
                </c:pt>
                <c:pt idx="171">
                  <c:v>39.504150020946049</c:v>
                </c:pt>
                <c:pt idx="172">
                  <c:v>39.504150020946049</c:v>
                </c:pt>
                <c:pt idx="173">
                  <c:v>39.504150020946049</c:v>
                </c:pt>
                <c:pt idx="174">
                  <c:v>39.504150020946049</c:v>
                </c:pt>
                <c:pt idx="175">
                  <c:v>39.504150020946049</c:v>
                </c:pt>
                <c:pt idx="176">
                  <c:v>39.504150020946049</c:v>
                </c:pt>
                <c:pt idx="177">
                  <c:v>39.504150020946049</c:v>
                </c:pt>
                <c:pt idx="178">
                  <c:v>39.504150020946049</c:v>
                </c:pt>
                <c:pt idx="179">
                  <c:v>39.504150020946049</c:v>
                </c:pt>
                <c:pt idx="180">
                  <c:v>39.504150020946049</c:v>
                </c:pt>
                <c:pt idx="181">
                  <c:v>39.504150020946049</c:v>
                </c:pt>
                <c:pt idx="182">
                  <c:v>39.504150020946049</c:v>
                </c:pt>
                <c:pt idx="183">
                  <c:v>39.504150020946049</c:v>
                </c:pt>
                <c:pt idx="184">
                  <c:v>39.504150020946049</c:v>
                </c:pt>
                <c:pt idx="185">
                  <c:v>39.504150020946049</c:v>
                </c:pt>
                <c:pt idx="186">
                  <c:v>39.504150020946049</c:v>
                </c:pt>
                <c:pt idx="187">
                  <c:v>39.504150020946049</c:v>
                </c:pt>
                <c:pt idx="188">
                  <c:v>39.504150020946049</c:v>
                </c:pt>
                <c:pt idx="189">
                  <c:v>39.504150020946049</c:v>
                </c:pt>
                <c:pt idx="190">
                  <c:v>39.504150020946049</c:v>
                </c:pt>
                <c:pt idx="191">
                  <c:v>39.504150020946049</c:v>
                </c:pt>
                <c:pt idx="192">
                  <c:v>39.504150020946049</c:v>
                </c:pt>
                <c:pt idx="193">
                  <c:v>39.504150020946049</c:v>
                </c:pt>
                <c:pt idx="194">
                  <c:v>39.504150020946049</c:v>
                </c:pt>
                <c:pt idx="195">
                  <c:v>39.504150020946049</c:v>
                </c:pt>
                <c:pt idx="196">
                  <c:v>39.504150020946049</c:v>
                </c:pt>
                <c:pt idx="197">
                  <c:v>39.504150020946049</c:v>
                </c:pt>
                <c:pt idx="198">
                  <c:v>39.504150020946049</c:v>
                </c:pt>
                <c:pt idx="199">
                  <c:v>39.504150020946049</c:v>
                </c:pt>
                <c:pt idx="200">
                  <c:v>39.504150020946049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1.8807855723271203</c:v>
                </c:pt>
                <c:pt idx="2">
                  <c:v>3.0657680328814667</c:v>
                </c:pt>
                <c:pt idx="3">
                  <c:v>5.0010774211664097</c:v>
                </c:pt>
                <c:pt idx="4">
                  <c:v>8.1640327643389909</c:v>
                </c:pt>
                <c:pt idx="5">
                  <c:v>13.336905920637804</c:v>
                </c:pt>
                <c:pt idx="6">
                  <c:v>21.802520022526707</c:v>
                </c:pt>
                <c:pt idx="7">
                  <c:v>35.665755227846866</c:v>
                </c:pt>
                <c:pt idx="8">
                  <c:v>58.382270569279349</c:v>
                </c:pt>
                <c:pt idx="9">
                  <c:v>95.628410585718214</c:v>
                </c:pt>
                <c:pt idx="10">
                  <c:v>129.62071281147163</c:v>
                </c:pt>
                <c:pt idx="11">
                  <c:v>163.39566693544896</c:v>
                </c:pt>
                <c:pt idx="12">
                  <c:v>197.00485363092116</c:v>
                </c:pt>
                <c:pt idx="13">
                  <c:v>230.48062342230324</c:v>
                </c:pt>
                <c:pt idx="14">
                  <c:v>263.84510369616982</c:v>
                </c:pt>
                <c:pt idx="15">
                  <c:v>270.50613620263147</c:v>
                </c:pt>
                <c:pt idx="16">
                  <c:v>277.16347822786918</c:v>
                </c:pt>
                <c:pt idx="17">
                  <c:v>283.81723103581874</c:v>
                </c:pt>
                <c:pt idx="18">
                  <c:v>290.46749074881262</c:v>
                </c:pt>
                <c:pt idx="19">
                  <c:v>297.11434872301794</c:v>
                </c:pt>
                <c:pt idx="20">
                  <c:v>299.53056168521022</c:v>
                </c:pt>
                <c:pt idx="21">
                  <c:v>301.94634040686378</c:v>
                </c:pt>
                <c:pt idx="22">
                  <c:v>304.36168885982988</c:v>
                </c:pt>
                <c:pt idx="23">
                  <c:v>306.77661094764784</c:v>
                </c:pt>
                <c:pt idx="24">
                  <c:v>309.1911105072619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1.971925986652904</c:v>
                </c:pt>
                <c:pt idx="2">
                  <c:v>2.2447801180741869</c:v>
                </c:pt>
                <c:pt idx="3">
                  <c:v>2.5555251479679058</c:v>
                </c:pt>
                <c:pt idx="4">
                  <c:v>2.9094408585700529</c:v>
                </c:pt>
                <c:pt idx="5">
                  <c:v>3.3125450750461689</c:v>
                </c:pt>
                <c:pt idx="6">
                  <c:v>3.7716971408707138</c:v>
                </c:pt>
                <c:pt idx="7">
                  <c:v>4.2947159406562561</c:v>
                </c:pt>
                <c:pt idx="8">
                  <c:v>4.890514520823932</c:v>
                </c:pt>
                <c:pt idx="9">
                  <c:v>5.5692536481706822</c:v>
                </c:pt>
                <c:pt idx="10">
                  <c:v>6.3425169770612913</c:v>
                </c:pt>
                <c:pt idx="11">
                  <c:v>7.2235108734707802</c:v>
                </c:pt>
                <c:pt idx="12">
                  <c:v>8.2272923750687994</c:v>
                </c:pt>
                <c:pt idx="13">
                  <c:v>9.3710292585595347</c:v>
                </c:pt>
                <c:pt idx="14">
                  <c:v>10.674296747234662</c:v>
                </c:pt>
                <c:pt idx="15">
                  <c:v>12.159416033060538</c:v>
                </c:pt>
                <c:pt idx="16">
                  <c:v>13.851840519910494</c:v>
                </c:pt>
                <c:pt idx="17">
                  <c:v>15.780596530681406</c:v>
                </c:pt>
                <c:pt idx="18">
                  <c:v>17.97878617575217</c:v>
                </c:pt>
                <c:pt idx="19">
                  <c:v>20.484161170398561</c:v>
                </c:pt>
                <c:pt idx="20">
                  <c:v>23.339777633621974</c:v>
                </c:pt>
                <c:pt idx="21">
                  <c:v>26.594743322364451</c:v>
                </c:pt>
                <c:pt idx="22">
                  <c:v>30.305070378385832</c:v>
                </c:pt>
                <c:pt idx="23">
                  <c:v>34.534648518862411</c:v>
                </c:pt>
                <c:pt idx="24">
                  <c:v>39.356355718809247</c:v>
                </c:pt>
                <c:pt idx="25">
                  <c:v>44.8533258511751</c:v>
                </c:pt>
                <c:pt idx="26">
                  <c:v>51.120395511692685</c:v>
                </c:pt>
                <c:pt idx="27">
                  <c:v>58.265755409161351</c:v>
                </c:pt>
                <c:pt idx="28">
                  <c:v>66.412835303636626</c:v>
                </c:pt>
                <c:pt idx="29">
                  <c:v>75.702455588799637</c:v>
                </c:pt>
                <c:pt idx="30">
                  <c:v>86.295283313471018</c:v>
                </c:pt>
                <c:pt idx="31">
                  <c:v>93.434157855620299</c:v>
                </c:pt>
                <c:pt idx="32">
                  <c:v>100.55941451659847</c:v>
                </c:pt>
                <c:pt idx="33">
                  <c:v>107.67215631285281</c:v>
                </c:pt>
                <c:pt idx="34">
                  <c:v>114.77332823582981</c:v>
                </c:pt>
                <c:pt idx="35">
                  <c:v>121.86374849494048</c:v>
                </c:pt>
                <c:pt idx="36">
                  <c:v>128.94413208388099</c:v>
                </c:pt>
                <c:pt idx="37">
                  <c:v>136.01510888378073</c:v>
                </c:pt>
                <c:pt idx="38">
                  <c:v>143.07723779406248</c:v>
                </c:pt>
                <c:pt idx="39">
                  <c:v>150.13101791996297</c:v>
                </c:pt>
                <c:pt idx="40">
                  <c:v>157.17689754228451</c:v>
                </c:pt>
                <c:pt idx="41">
                  <c:v>164.21528139088738</c:v>
                </c:pt>
                <c:pt idx="42">
                  <c:v>171.24653660322983</c:v>
                </c:pt>
                <c:pt idx="43">
                  <c:v>178.2709976510811</c:v>
                </c:pt>
                <c:pt idx="44">
                  <c:v>185.28897044858169</c:v>
                </c:pt>
                <c:pt idx="45">
                  <c:v>192.30073580420773</c:v>
                </c:pt>
                <c:pt idx="46">
                  <c:v>199.30655234204292</c:v>
                </c:pt>
                <c:pt idx="47">
                  <c:v>206.306658990133</c:v>
                </c:pt>
                <c:pt idx="48">
                  <c:v>213.30127711290859</c:v>
                </c:pt>
                <c:pt idx="49">
                  <c:v>220.29061234884202</c:v>
                </c:pt>
                <c:pt idx="50">
                  <c:v>227.27485620234469</c:v>
                </c:pt>
                <c:pt idx="51">
                  <c:v>234.25418742947764</c:v>
                </c:pt>
                <c:pt idx="52">
                  <c:v>241.22877324965941</c:v>
                </c:pt>
                <c:pt idx="53">
                  <c:v>248.19877040972997</c:v>
                </c:pt>
                <c:pt idx="54">
                  <c:v>255.16432612208953</c:v>
                </c:pt>
                <c:pt idx="55">
                  <c:v>262.12557889492103</c:v>
                </c:pt>
                <c:pt idx="56">
                  <c:v>269.08265926950668</c:v>
                </c:pt>
                <c:pt idx="57">
                  <c:v>276.03569047722095</c:v>
                </c:pt>
                <c:pt idx="58">
                  <c:v>282.98478902679739</c:v>
                </c:pt>
                <c:pt idx="59">
                  <c:v>289.93006523083574</c:v>
                </c:pt>
                <c:pt idx="60">
                  <c:v>296.87162367917267</c:v>
                </c:pt>
                <c:pt idx="61">
                  <c:v>205.57699836759571</c:v>
                </c:pt>
                <c:pt idx="62">
                  <c:v>215.07311946968096</c:v>
                </c:pt>
                <c:pt idx="63">
                  <c:v>224.55959228046595</c:v>
                </c:pt>
                <c:pt idx="64">
                  <c:v>234.03688224376791</c:v>
                </c:pt>
                <c:pt idx="65">
                  <c:v>243.50541398962983</c:v>
                </c:pt>
                <c:pt idx="66">
                  <c:v>252.96557639581144</c:v>
                </c:pt>
                <c:pt idx="67">
                  <c:v>262.41772685171208</c:v>
                </c:pt>
                <c:pt idx="68">
                  <c:v>271.8621948752093</c:v>
                </c:pt>
                <c:pt idx="69">
                  <c:v>281.29928520015102</c:v>
                </c:pt>
                <c:pt idx="70">
                  <c:v>233.77441322062734</c:v>
                </c:pt>
                <c:pt idx="71">
                  <c:v>242.99537935445721</c:v>
                </c:pt>
                <c:pt idx="72">
                  <c:v>252.20838971403478</c:v>
                </c:pt>
                <c:pt idx="73">
                  <c:v>261.4137761614308</c:v>
                </c:pt>
                <c:pt idx="74">
                  <c:v>270.61184525595451</c:v>
                </c:pt>
                <c:pt idx="75">
                  <c:v>279.80288099664762</c:v>
                </c:pt>
                <c:pt idx="76">
                  <c:v>288.98714718527225</c:v>
                </c:pt>
                <c:pt idx="77">
                  <c:v>298.16488947295659</c:v>
                </c:pt>
                <c:pt idx="78">
                  <c:v>262.07508040123412</c:v>
                </c:pt>
                <c:pt idx="79">
                  <c:v>271.40782818347049</c:v>
                </c:pt>
                <c:pt idx="80">
                  <c:v>280.73335850005321</c:v>
                </c:pt>
                <c:pt idx="81">
                  <c:v>290.05194510232633</c:v>
                </c:pt>
                <c:pt idx="82">
                  <c:v>299.3638427015199</c:v>
                </c:pt>
                <c:pt idx="83">
                  <c:v>308.66928885702106</c:v>
                </c:pt>
                <c:pt idx="84">
                  <c:v>317.96850562488112</c:v>
                </c:pt>
                <c:pt idx="85">
                  <c:v>327.26170100327221</c:v>
                </c:pt>
                <c:pt idx="86">
                  <c:v>336.54907020508011</c:v>
                </c:pt>
                <c:pt idx="87">
                  <c:v>296.30797597443211</c:v>
                </c:pt>
                <c:pt idx="88">
                  <c:v>305.52775245099195</c:v>
                </c:pt>
                <c:pt idx="89">
                  <c:v>314.741344557319</c:v>
                </c:pt>
                <c:pt idx="90">
                  <c:v>323.94895898941832</c:v>
                </c:pt>
                <c:pt idx="91">
                  <c:v>333.15078972604198</c:v>
                </c:pt>
                <c:pt idx="92">
                  <c:v>342.34701914843407</c:v>
                </c:pt>
                <c:pt idx="93">
                  <c:v>351.53781903340837</c:v>
                </c:pt>
                <c:pt idx="94">
                  <c:v>360.72335143709648</c:v>
                </c:pt>
                <c:pt idx="95">
                  <c:v>369.90376948393646</c:v>
                </c:pt>
                <c:pt idx="96">
                  <c:v>323.54098915155356</c:v>
                </c:pt>
                <c:pt idx="97">
                  <c:v>332.7128115671353</c:v>
                </c:pt>
                <c:pt idx="98">
                  <c:v>341.87906108433799</c:v>
                </c:pt>
                <c:pt idx="99">
                  <c:v>351.03990828553339</c:v>
                </c:pt>
                <c:pt idx="100">
                  <c:v>360.19551411776479</c:v>
                </c:pt>
                <c:pt idx="101">
                  <c:v>369.34603067340544</c:v>
                </c:pt>
                <c:pt idx="102">
                  <c:v>378.49160188938191</c:v>
                </c:pt>
                <c:pt idx="103">
                  <c:v>387.63236417525917</c:v>
                </c:pt>
                <c:pt idx="104">
                  <c:v>396.7684469789686</c:v>
                </c:pt>
                <c:pt idx="105">
                  <c:v>354.62515761084933</c:v>
                </c:pt>
                <c:pt idx="106">
                  <c:v>363.92817051403819</c:v>
                </c:pt>
                <c:pt idx="107">
                  <c:v>373.22598818307512</c:v>
                </c:pt>
                <c:pt idx="108">
                  <c:v>382.51875836025647</c:v>
                </c:pt>
                <c:pt idx="109">
                  <c:v>391.80662102003845</c:v>
                </c:pt>
                <c:pt idx="110">
                  <c:v>401.08970895589482</c:v>
                </c:pt>
                <c:pt idx="111">
                  <c:v>410.36814830999441</c:v>
                </c:pt>
                <c:pt idx="112">
                  <c:v>419.64205905246013</c:v>
                </c:pt>
                <c:pt idx="113">
                  <c:v>428.91155541604144</c:v>
                </c:pt>
                <c:pt idx="114">
                  <c:v>384.32242157774164</c:v>
                </c:pt>
                <c:pt idx="115">
                  <c:v>393.71725099476771</c:v>
                </c:pt>
                <c:pt idx="116">
                  <c:v>403.10722115012499</c:v>
                </c:pt>
                <c:pt idx="117">
                  <c:v>412.49246124502679</c:v>
                </c:pt>
                <c:pt idx="118">
                  <c:v>421.87309411924394</c:v>
                </c:pt>
                <c:pt idx="119">
                  <c:v>431.24923670186695</c:v>
                </c:pt>
                <c:pt idx="120">
                  <c:v>440.62100042081261</c:v>
                </c:pt>
                <c:pt idx="121">
                  <c:v>449.98849157566923</c:v>
                </c:pt>
                <c:pt idx="122">
                  <c:v>459.35181167786959</c:v>
                </c:pt>
                <c:pt idx="123">
                  <c:v>409.56227411492802</c:v>
                </c:pt>
                <c:pt idx="124">
                  <c:v>419.11024910893246</c:v>
                </c:pt>
                <c:pt idx="125">
                  <c:v>428.65353846962245</c:v>
                </c:pt>
                <c:pt idx="126">
                  <c:v>438.19226126005697</c:v>
                </c:pt>
                <c:pt idx="127">
                  <c:v>447.72653093509615</c:v>
                </c:pt>
                <c:pt idx="128">
                  <c:v>457.25645572193957</c:v>
                </c:pt>
                <c:pt idx="129">
                  <c:v>466.78213896728238</c:v>
                </c:pt>
                <c:pt idx="130">
                  <c:v>476.30367945465258</c:v>
                </c:pt>
                <c:pt idx="131">
                  <c:v>485.82117169504915</c:v>
                </c:pt>
                <c:pt idx="132">
                  <c:v>495.33470619361771</c:v>
                </c:pt>
                <c:pt idx="133">
                  <c:v>442.36615284015448</c:v>
                </c:pt>
                <c:pt idx="134">
                  <c:v>452.28105966334925</c:v>
                </c:pt>
                <c:pt idx="135">
                  <c:v>462.19131980906712</c:v>
                </c:pt>
                <c:pt idx="136">
                  <c:v>472.09704697962684</c:v>
                </c:pt>
                <c:pt idx="137">
                  <c:v>481.99834971568862</c:v>
                </c:pt>
                <c:pt idx="138">
                  <c:v>491.89533173406886</c:v>
                </c:pt>
                <c:pt idx="139">
                  <c:v>501.78809223695015</c:v>
                </c:pt>
                <c:pt idx="140">
                  <c:v>511.67672619543504</c:v>
                </c:pt>
                <c:pt idx="141">
                  <c:v>521.56132461004165</c:v>
                </c:pt>
                <c:pt idx="142">
                  <c:v>531.44197475042176</c:v>
                </c:pt>
                <c:pt idx="143">
                  <c:v>541.3187603763264</c:v>
                </c:pt>
                <c:pt idx="144">
                  <c:v>551.19176194160514</c:v>
                </c:pt>
                <c:pt idx="145">
                  <c:v>483.00672518453922</c:v>
                </c:pt>
                <c:pt idx="146">
                  <c:v>492.99683962338855</c:v>
                </c:pt>
                <c:pt idx="147">
                  <c:v>502.98266330219457</c:v>
                </c:pt>
                <c:pt idx="148">
                  <c:v>512.96429342523766</c:v>
                </c:pt>
                <c:pt idx="149">
                  <c:v>522.94182310497445</c:v>
                </c:pt>
                <c:pt idx="150">
                  <c:v>532.91534161074048</c:v>
                </c:pt>
                <c:pt idx="151">
                  <c:v>542.88493459786196</c:v>
                </c:pt>
                <c:pt idx="152">
                  <c:v>552.85068431906871</c:v>
                </c:pt>
                <c:pt idx="153">
                  <c:v>562.81266981986721</c:v>
                </c:pt>
                <c:pt idx="154">
                  <c:v>572.77096711936645</c:v>
                </c:pt>
                <c:pt idx="155">
                  <c:v>582.72564937787422</c:v>
                </c:pt>
                <c:pt idx="156">
                  <c:v>592.67678705244748</c:v>
                </c:pt>
                <c:pt idx="157">
                  <c:v>518.99767514544089</c:v>
                </c:pt>
                <c:pt idx="158">
                  <c:v>529.11704921817716</c:v>
                </c:pt>
                <c:pt idx="159">
                  <c:v>539.23235020994491</c:v>
                </c:pt>
                <c:pt idx="160">
                  <c:v>549.34366529861143</c:v>
                </c:pt>
                <c:pt idx="161">
                  <c:v>559.45107819112854</c:v>
                </c:pt>
                <c:pt idx="162">
                  <c:v>569.55466932327295</c:v>
                </c:pt>
                <c:pt idx="163">
                  <c:v>579.65451604447833</c:v>
                </c:pt>
                <c:pt idx="164">
                  <c:v>589.75069278911838</c:v>
                </c:pt>
                <c:pt idx="165">
                  <c:v>599.84327123545154</c:v>
                </c:pt>
                <c:pt idx="166">
                  <c:v>609.93232045331649</c:v>
                </c:pt>
                <c:pt idx="167">
                  <c:v>620.0179070415478</c:v>
                </c:pt>
                <c:pt idx="168">
                  <c:v>630.10009525598878</c:v>
                </c:pt>
                <c:pt idx="169">
                  <c:v>549.61308902975099</c:v>
                </c:pt>
                <c:pt idx="170">
                  <c:v>559.63180695434255</c:v>
                </c:pt>
                <c:pt idx="171">
                  <c:v>569.64677122378009</c:v>
                </c:pt>
                <c:pt idx="172">
                  <c:v>579.65805713118277</c:v>
                </c:pt>
                <c:pt idx="173">
                  <c:v>589.66573715698064</c:v>
                </c:pt>
                <c:pt idx="174">
                  <c:v>599.66988112095919</c:v>
                </c:pt>
                <c:pt idx="175">
                  <c:v>609.6705563236286</c:v>
                </c:pt>
                <c:pt idx="176">
                  <c:v>619.66782767784014</c:v>
                </c:pt>
                <c:pt idx="177">
                  <c:v>629.66175783146684</c:v>
                </c:pt>
                <c:pt idx="178">
                  <c:v>639.65240728189428</c:v>
                </c:pt>
                <c:pt idx="179">
                  <c:v>649.63983448298939</c:v>
                </c:pt>
                <c:pt idx="180">
                  <c:v>659.62409594514827</c:v>
                </c:pt>
                <c:pt idx="181">
                  <c:v>439.38624527650626</c:v>
                </c:pt>
                <c:pt idx="182">
                  <c:v>438.85907715482341</c:v>
                </c:pt>
                <c:pt idx="183">
                  <c:v>438.33189544910897</c:v>
                </c:pt>
                <c:pt idx="184">
                  <c:v>437.80470014068919</c:v>
                </c:pt>
                <c:pt idx="185">
                  <c:v>310.65651369866833</c:v>
                </c:pt>
                <c:pt idx="186">
                  <c:v>310.68163634400167</c:v>
                </c:pt>
                <c:pt idx="187">
                  <c:v>310.70675894423147</c:v>
                </c:pt>
                <c:pt idx="188">
                  <c:v>310.7318814993618</c:v>
                </c:pt>
                <c:pt idx="189">
                  <c:v>218.00157362144571</c:v>
                </c:pt>
                <c:pt idx="190">
                  <c:v>216.62188831570953</c:v>
                </c:pt>
                <c:pt idx="191">
                  <c:v>215.24200078496048</c:v>
                </c:pt>
                <c:pt idx="192">
                  <c:v>29.363188967243982</c:v>
                </c:pt>
                <c:pt idx="193">
                  <c:v>29.363188967243982</c:v>
                </c:pt>
                <c:pt idx="194">
                  <c:v>29.363188967243982</c:v>
                </c:pt>
                <c:pt idx="195">
                  <c:v>29.363188967243982</c:v>
                </c:pt>
                <c:pt idx="196">
                  <c:v>29.363188967243982</c:v>
                </c:pt>
                <c:pt idx="197">
                  <c:v>29.363188967243982</c:v>
                </c:pt>
                <c:pt idx="198">
                  <c:v>29.363188967243982</c:v>
                </c:pt>
                <c:pt idx="199">
                  <c:v>29.363188967243982</c:v>
                </c:pt>
                <c:pt idx="200">
                  <c:v>29.363188967243982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724.37108110022939</c:v>
                </c:pt>
                <c:pt idx="107">
                  <c:v>736.63215463032975</c:v>
                </c:pt>
                <c:pt idx="108">
                  <c:v>748.88907342795665</c:v>
                </c:pt>
                <c:pt idx="109">
                  <c:v>761.14191503494703</c:v>
                </c:pt>
                <c:pt idx="110">
                  <c:v>773.3907542946223</c:v>
                </c:pt>
                <c:pt idx="111">
                  <c:v>743.8426049982703</c:v>
                </c:pt>
                <c:pt idx="112">
                  <c:v>753.93485060091416</c:v>
                </c:pt>
                <c:pt idx="113">
                  <c:v>764.02435221498718</c:v>
                </c:pt>
                <c:pt idx="114">
                  <c:v>774.11115116776352</c:v>
                </c:pt>
                <c:pt idx="115">
                  <c:v>784.19528762222581</c:v>
                </c:pt>
                <c:pt idx="116">
                  <c:v>744.56357158364528</c:v>
                </c:pt>
                <c:pt idx="117">
                  <c:v>744.56357158364528</c:v>
                </c:pt>
                <c:pt idx="118">
                  <c:v>744.56357158364528</c:v>
                </c:pt>
                <c:pt idx="119">
                  <c:v>744.56357158364528</c:v>
                </c:pt>
                <c:pt idx="120">
                  <c:v>744.56357158364528</c:v>
                </c:pt>
                <c:pt idx="121">
                  <c:v>744.56357158364528</c:v>
                </c:pt>
                <c:pt idx="122">
                  <c:v>744.56357158364528</c:v>
                </c:pt>
                <c:pt idx="123">
                  <c:v>744.56357158364528</c:v>
                </c:pt>
                <c:pt idx="124">
                  <c:v>744.56357158364528</c:v>
                </c:pt>
                <c:pt idx="125">
                  <c:v>744.56357158364528</c:v>
                </c:pt>
                <c:pt idx="126">
                  <c:v>744.56357158364528</c:v>
                </c:pt>
                <c:pt idx="127">
                  <c:v>744.56357158364528</c:v>
                </c:pt>
                <c:pt idx="128">
                  <c:v>744.56357158364528</c:v>
                </c:pt>
                <c:pt idx="129">
                  <c:v>744.56357158364528</c:v>
                </c:pt>
                <c:pt idx="130">
                  <c:v>744.56357158364528</c:v>
                </c:pt>
                <c:pt idx="131">
                  <c:v>744.56357158364528</c:v>
                </c:pt>
                <c:pt idx="132">
                  <c:v>744.56357158364528</c:v>
                </c:pt>
                <c:pt idx="133">
                  <c:v>744.56357158364528</c:v>
                </c:pt>
                <c:pt idx="134">
                  <c:v>744.56357158364528</c:v>
                </c:pt>
                <c:pt idx="135">
                  <c:v>744.56357158364528</c:v>
                </c:pt>
                <c:pt idx="136">
                  <c:v>744.56357158364528</c:v>
                </c:pt>
                <c:pt idx="137">
                  <c:v>744.56357158364528</c:v>
                </c:pt>
                <c:pt idx="138">
                  <c:v>744.56357158364528</c:v>
                </c:pt>
                <c:pt idx="139">
                  <c:v>744.56357158364528</c:v>
                </c:pt>
                <c:pt idx="140">
                  <c:v>744.56357158364528</c:v>
                </c:pt>
                <c:pt idx="141">
                  <c:v>744.56357158364528</c:v>
                </c:pt>
                <c:pt idx="142">
                  <c:v>744.56357158364528</c:v>
                </c:pt>
                <c:pt idx="143">
                  <c:v>744.56357158364528</c:v>
                </c:pt>
                <c:pt idx="144">
                  <c:v>744.56357158364528</c:v>
                </c:pt>
                <c:pt idx="145">
                  <c:v>744.56357158364528</c:v>
                </c:pt>
                <c:pt idx="146">
                  <c:v>744.56357158364528</c:v>
                </c:pt>
                <c:pt idx="147">
                  <c:v>744.56357158364528</c:v>
                </c:pt>
                <c:pt idx="148">
                  <c:v>744.56357158364528</c:v>
                </c:pt>
                <c:pt idx="149">
                  <c:v>744.56357158364528</c:v>
                </c:pt>
                <c:pt idx="150">
                  <c:v>744.56357158364528</c:v>
                </c:pt>
                <c:pt idx="151">
                  <c:v>744.56357158364528</c:v>
                </c:pt>
                <c:pt idx="152">
                  <c:v>744.56357158364528</c:v>
                </c:pt>
                <c:pt idx="153">
                  <c:v>744.56357158364528</c:v>
                </c:pt>
                <c:pt idx="154">
                  <c:v>744.56357158364528</c:v>
                </c:pt>
                <c:pt idx="155">
                  <c:v>744.56357158364528</c:v>
                </c:pt>
                <c:pt idx="156">
                  <c:v>744.56357158364528</c:v>
                </c:pt>
                <c:pt idx="157">
                  <c:v>744.56357158364528</c:v>
                </c:pt>
                <c:pt idx="158">
                  <c:v>744.56357158364528</c:v>
                </c:pt>
                <c:pt idx="159">
                  <c:v>744.56357158364528</c:v>
                </c:pt>
                <c:pt idx="160">
                  <c:v>744.56357158364528</c:v>
                </c:pt>
                <c:pt idx="161">
                  <c:v>744.56357158364528</c:v>
                </c:pt>
                <c:pt idx="162">
                  <c:v>744.56357158364528</c:v>
                </c:pt>
                <c:pt idx="163">
                  <c:v>744.56357158364528</c:v>
                </c:pt>
                <c:pt idx="164">
                  <c:v>744.56357158364528</c:v>
                </c:pt>
                <c:pt idx="165">
                  <c:v>744.56357158364528</c:v>
                </c:pt>
                <c:pt idx="166">
                  <c:v>744.56357158364528</c:v>
                </c:pt>
                <c:pt idx="167">
                  <c:v>744.56357158364528</c:v>
                </c:pt>
                <c:pt idx="168">
                  <c:v>744.56357158364528</c:v>
                </c:pt>
                <c:pt idx="169">
                  <c:v>744.56357158364528</c:v>
                </c:pt>
                <c:pt idx="170">
                  <c:v>744.56357158364528</c:v>
                </c:pt>
                <c:pt idx="171">
                  <c:v>744.56357158364528</c:v>
                </c:pt>
                <c:pt idx="172">
                  <c:v>744.56357158364528</c:v>
                </c:pt>
                <c:pt idx="173">
                  <c:v>744.56357158364528</c:v>
                </c:pt>
                <c:pt idx="174">
                  <c:v>744.56357158364528</c:v>
                </c:pt>
                <c:pt idx="175">
                  <c:v>744.56357158364528</c:v>
                </c:pt>
                <c:pt idx="176">
                  <c:v>744.56357158364528</c:v>
                </c:pt>
                <c:pt idx="177">
                  <c:v>744.56357158364528</c:v>
                </c:pt>
                <c:pt idx="178">
                  <c:v>744.56357158364528</c:v>
                </c:pt>
                <c:pt idx="179">
                  <c:v>744.56357158364528</c:v>
                </c:pt>
                <c:pt idx="180">
                  <c:v>744.56357158364528</c:v>
                </c:pt>
                <c:pt idx="181">
                  <c:v>744.56357158364528</c:v>
                </c:pt>
                <c:pt idx="182">
                  <c:v>744.56357158364528</c:v>
                </c:pt>
                <c:pt idx="183">
                  <c:v>744.56357158364528</c:v>
                </c:pt>
                <c:pt idx="184">
                  <c:v>744.56357158364528</c:v>
                </c:pt>
                <c:pt idx="185">
                  <c:v>744.56357158364528</c:v>
                </c:pt>
                <c:pt idx="186">
                  <c:v>744.56357158364528</c:v>
                </c:pt>
                <c:pt idx="187">
                  <c:v>744.56357158364528</c:v>
                </c:pt>
                <c:pt idx="188">
                  <c:v>744.56357158364528</c:v>
                </c:pt>
                <c:pt idx="189">
                  <c:v>744.56357158364528</c:v>
                </c:pt>
                <c:pt idx="190">
                  <c:v>744.56357158364528</c:v>
                </c:pt>
                <c:pt idx="191">
                  <c:v>744.56357158364528</c:v>
                </c:pt>
                <c:pt idx="192">
                  <c:v>744.56357158364528</c:v>
                </c:pt>
                <c:pt idx="193">
                  <c:v>744.56357158364528</c:v>
                </c:pt>
                <c:pt idx="194">
                  <c:v>744.56357158364528</c:v>
                </c:pt>
                <c:pt idx="195">
                  <c:v>744.56357158364528</c:v>
                </c:pt>
                <c:pt idx="196">
                  <c:v>744.56357158364528</c:v>
                </c:pt>
                <c:pt idx="197">
                  <c:v>744.56357158364528</c:v>
                </c:pt>
                <c:pt idx="198">
                  <c:v>744.56357158364528</c:v>
                </c:pt>
                <c:pt idx="199">
                  <c:v>744.56357158364528</c:v>
                </c:pt>
                <c:pt idx="200">
                  <c:v>744.56357158364528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2.4666401082014167</c:v>
                </c:pt>
                <c:pt idx="2">
                  <c:v>3.0381314882331907</c:v>
                </c:pt>
                <c:pt idx="3">
                  <c:v>3.7425387547379589</c:v>
                </c:pt>
                <c:pt idx="4">
                  <c:v>4.6108866205564993</c:v>
                </c:pt>
                <c:pt idx="5">
                  <c:v>5.6814658439161425</c:v>
                </c:pt>
                <c:pt idx="6">
                  <c:v>7.0015402598355001</c:v>
                </c:pt>
                <c:pt idx="7">
                  <c:v>8.6294560017985713</c:v>
                </c:pt>
                <c:pt idx="8">
                  <c:v>10.637247922451207</c:v>
                </c:pt>
                <c:pt idx="9">
                  <c:v>13.113860719681108</c:v>
                </c:pt>
                <c:pt idx="10">
                  <c:v>16.169130110963568</c:v>
                </c:pt>
                <c:pt idx="11">
                  <c:v>19.938703843757168</c:v>
                </c:pt>
                <c:pt idx="12">
                  <c:v>24.590124954865942</c:v>
                </c:pt>
                <c:pt idx="13">
                  <c:v>30.330352443420622</c:v>
                </c:pt>
                <c:pt idx="14">
                  <c:v>37.415059810742861</c:v>
                </c:pt>
                <c:pt idx="15">
                  <c:v>46.160132730747058</c:v>
                </c:pt>
                <c:pt idx="16">
                  <c:v>53.54405050351091</c:v>
                </c:pt>
                <c:pt idx="17">
                  <c:v>64.237401599326333</c:v>
                </c:pt>
                <c:pt idx="18">
                  <c:v>74.884579282541907</c:v>
                </c:pt>
                <c:pt idx="19">
                  <c:v>85.493098570035002</c:v>
                </c:pt>
                <c:pt idx="20">
                  <c:v>96.068445646101623</c:v>
                </c:pt>
                <c:pt idx="21">
                  <c:v>80.193291161692272</c:v>
                </c:pt>
                <c:pt idx="22">
                  <c:v>91.886046933404771</c:v>
                </c:pt>
                <c:pt idx="23">
                  <c:v>103.54156486204137</c:v>
                </c:pt>
                <c:pt idx="24">
                  <c:v>115.16463575709987</c:v>
                </c:pt>
                <c:pt idx="25">
                  <c:v>126.75900095584753</c:v>
                </c:pt>
                <c:pt idx="26">
                  <c:v>109.79548104476635</c:v>
                </c:pt>
                <c:pt idx="27">
                  <c:v>122.38693696728227</c:v>
                </c:pt>
                <c:pt idx="28">
                  <c:v>134.94687887223327</c:v>
                </c:pt>
                <c:pt idx="29">
                  <c:v>147.47865650032585</c:v>
                </c:pt>
                <c:pt idx="30">
                  <c:v>159.98500255117719</c:v>
                </c:pt>
                <c:pt idx="31">
                  <c:v>172.46818680515318</c:v>
                </c:pt>
                <c:pt idx="32">
                  <c:v>145.8455722770706</c:v>
                </c:pt>
                <c:pt idx="33">
                  <c:v>158.35509810154883</c:v>
                </c:pt>
                <c:pt idx="34">
                  <c:v>170.84118818356569</c:v>
                </c:pt>
                <c:pt idx="35">
                  <c:v>183.30579794212579</c:v>
                </c:pt>
                <c:pt idx="36">
                  <c:v>195.75059478725078</c:v>
                </c:pt>
                <c:pt idx="37">
                  <c:v>208.1770165582291</c:v>
                </c:pt>
                <c:pt idx="38">
                  <c:v>181.29426170701831</c:v>
                </c:pt>
                <c:pt idx="39">
                  <c:v>193.35586166070036</c:v>
                </c:pt>
                <c:pt idx="40">
                  <c:v>205.39996580025527</c:v>
                </c:pt>
                <c:pt idx="41">
                  <c:v>217.42774522682785</c:v>
                </c:pt>
                <c:pt idx="42">
                  <c:v>229.44023077231554</c:v>
                </c:pt>
                <c:pt idx="43">
                  <c:v>241.43833642402683</c:v>
                </c:pt>
                <c:pt idx="44">
                  <c:v>253.42287784303949</c:v>
                </c:pt>
                <c:pt idx="45">
                  <c:v>218.29453038722804</c:v>
                </c:pt>
                <c:pt idx="46">
                  <c:v>229.47870877017669</c:v>
                </c:pt>
                <c:pt idx="47">
                  <c:v>240.65042415501102</c:v>
                </c:pt>
                <c:pt idx="48">
                  <c:v>251.81033701987701</c:v>
                </c:pt>
                <c:pt idx="49">
                  <c:v>262.95904447479376</c:v>
                </c:pt>
                <c:pt idx="50">
                  <c:v>274.09708882832632</c:v>
                </c:pt>
                <c:pt idx="51">
                  <c:v>285.22496468772198</c:v>
                </c:pt>
                <c:pt idx="52">
                  <c:v>296.34312489217251</c:v>
                </c:pt>
                <c:pt idx="53">
                  <c:v>254.90083618598587</c:v>
                </c:pt>
                <c:pt idx="54">
                  <c:v>264.97271847947843</c:v>
                </c:pt>
                <c:pt idx="55">
                  <c:v>275.03597044380331</c:v>
                </c:pt>
                <c:pt idx="56">
                  <c:v>285.09095259230469</c:v>
                </c:pt>
                <c:pt idx="57">
                  <c:v>295.1379979132588</c:v>
                </c:pt>
                <c:pt idx="58">
                  <c:v>305.17741485719807</c:v>
                </c:pt>
                <c:pt idx="59">
                  <c:v>315.20948991031895</c:v>
                </c:pt>
                <c:pt idx="60">
                  <c:v>325.23448982295054</c:v>
                </c:pt>
                <c:pt idx="61">
                  <c:v>284.19750250424892</c:v>
                </c:pt>
                <c:pt idx="62">
                  <c:v>293.48634915337936</c:v>
                </c:pt>
                <c:pt idx="63">
                  <c:v>302.76863483811127</c:v>
                </c:pt>
                <c:pt idx="64">
                  <c:v>312.04458921662859</c:v>
                </c:pt>
                <c:pt idx="65">
                  <c:v>321.31442716865104</c:v>
                </c:pt>
                <c:pt idx="66">
                  <c:v>330.57835015463405</c:v>
                </c:pt>
                <c:pt idx="67">
                  <c:v>339.83654741456093</c:v>
                </c:pt>
                <c:pt idx="68">
                  <c:v>349.08919702920366</c:v>
                </c:pt>
                <c:pt idx="69">
                  <c:v>358.3364668629327</c:v>
                </c:pt>
                <c:pt idx="70">
                  <c:v>358.3364668629327</c:v>
                </c:pt>
                <c:pt idx="71">
                  <c:v>358.3364668629327</c:v>
                </c:pt>
                <c:pt idx="72">
                  <c:v>358.3364668629327</c:v>
                </c:pt>
                <c:pt idx="73">
                  <c:v>358.3364668629327</c:v>
                </c:pt>
                <c:pt idx="74">
                  <c:v>358.3364668629327</c:v>
                </c:pt>
                <c:pt idx="75">
                  <c:v>358.3364668629327</c:v>
                </c:pt>
                <c:pt idx="76">
                  <c:v>358.3364668629327</c:v>
                </c:pt>
                <c:pt idx="77">
                  <c:v>358.3364668629327</c:v>
                </c:pt>
                <c:pt idx="78">
                  <c:v>358.3364668629327</c:v>
                </c:pt>
                <c:pt idx="79">
                  <c:v>358.3364668629327</c:v>
                </c:pt>
                <c:pt idx="80">
                  <c:v>358.3364668629327</c:v>
                </c:pt>
                <c:pt idx="81">
                  <c:v>358.3364668629327</c:v>
                </c:pt>
                <c:pt idx="82">
                  <c:v>358.3364668629327</c:v>
                </c:pt>
                <c:pt idx="83">
                  <c:v>358.3364668629327</c:v>
                </c:pt>
                <c:pt idx="84">
                  <c:v>358.3364668629327</c:v>
                </c:pt>
                <c:pt idx="85">
                  <c:v>358.3364668629327</c:v>
                </c:pt>
                <c:pt idx="86">
                  <c:v>358.3364668629327</c:v>
                </c:pt>
                <c:pt idx="87">
                  <c:v>358.3364668629327</c:v>
                </c:pt>
                <c:pt idx="88">
                  <c:v>358.3364668629327</c:v>
                </c:pt>
                <c:pt idx="89">
                  <c:v>358.3364668629327</c:v>
                </c:pt>
                <c:pt idx="90">
                  <c:v>358.3364668629327</c:v>
                </c:pt>
                <c:pt idx="91">
                  <c:v>358.3364668629327</c:v>
                </c:pt>
                <c:pt idx="92">
                  <c:v>358.3364668629327</c:v>
                </c:pt>
                <c:pt idx="93">
                  <c:v>358.3364668629327</c:v>
                </c:pt>
                <c:pt idx="94">
                  <c:v>358.3364668629327</c:v>
                </c:pt>
                <c:pt idx="95">
                  <c:v>358.3364668629327</c:v>
                </c:pt>
                <c:pt idx="96">
                  <c:v>358.3364668629327</c:v>
                </c:pt>
                <c:pt idx="97">
                  <c:v>358.3364668629327</c:v>
                </c:pt>
                <c:pt idx="98">
                  <c:v>358.3364668629327</c:v>
                </c:pt>
                <c:pt idx="99">
                  <c:v>358.3364668629327</c:v>
                </c:pt>
                <c:pt idx="100">
                  <c:v>358.3364668629327</c:v>
                </c:pt>
                <c:pt idx="101">
                  <c:v>358.3364668629327</c:v>
                </c:pt>
                <c:pt idx="102">
                  <c:v>358.3364668629327</c:v>
                </c:pt>
                <c:pt idx="103">
                  <c:v>358.3364668629327</c:v>
                </c:pt>
                <c:pt idx="104">
                  <c:v>358.3364668629327</c:v>
                </c:pt>
                <c:pt idx="105">
                  <c:v>358.3364668629327</c:v>
                </c:pt>
                <c:pt idx="106">
                  <c:v>358.3364668629327</c:v>
                </c:pt>
                <c:pt idx="107">
                  <c:v>358.3364668629327</c:v>
                </c:pt>
                <c:pt idx="108">
                  <c:v>358.3364668629327</c:v>
                </c:pt>
                <c:pt idx="109">
                  <c:v>358.3364668629327</c:v>
                </c:pt>
                <c:pt idx="110">
                  <c:v>358.3364668629327</c:v>
                </c:pt>
                <c:pt idx="111">
                  <c:v>358.3364668629327</c:v>
                </c:pt>
                <c:pt idx="112">
                  <c:v>358.3364668629327</c:v>
                </c:pt>
                <c:pt idx="113">
                  <c:v>358.3364668629327</c:v>
                </c:pt>
                <c:pt idx="114">
                  <c:v>358.3364668629327</c:v>
                </c:pt>
                <c:pt idx="115">
                  <c:v>358.3364668629327</c:v>
                </c:pt>
                <c:pt idx="116">
                  <c:v>358.3364668629327</c:v>
                </c:pt>
                <c:pt idx="117">
                  <c:v>358.3364668629327</c:v>
                </c:pt>
                <c:pt idx="118">
                  <c:v>358.3364668629327</c:v>
                </c:pt>
                <c:pt idx="119">
                  <c:v>358.3364668629327</c:v>
                </c:pt>
                <c:pt idx="120">
                  <c:v>358.3364668629327</c:v>
                </c:pt>
                <c:pt idx="121">
                  <c:v>358.3364668629327</c:v>
                </c:pt>
                <c:pt idx="122">
                  <c:v>358.3364668629327</c:v>
                </c:pt>
                <c:pt idx="123">
                  <c:v>358.3364668629327</c:v>
                </c:pt>
                <c:pt idx="124">
                  <c:v>358.3364668629327</c:v>
                </c:pt>
                <c:pt idx="125">
                  <c:v>358.3364668629327</c:v>
                </c:pt>
                <c:pt idx="126">
                  <c:v>358.3364668629327</c:v>
                </c:pt>
                <c:pt idx="127">
                  <c:v>358.3364668629327</c:v>
                </c:pt>
                <c:pt idx="128">
                  <c:v>358.3364668629327</c:v>
                </c:pt>
                <c:pt idx="129">
                  <c:v>358.3364668629327</c:v>
                </c:pt>
                <c:pt idx="130">
                  <c:v>358.3364668629327</c:v>
                </c:pt>
                <c:pt idx="131">
                  <c:v>358.3364668629327</c:v>
                </c:pt>
                <c:pt idx="132">
                  <c:v>358.3364668629327</c:v>
                </c:pt>
                <c:pt idx="133">
                  <c:v>358.3364668629327</c:v>
                </c:pt>
                <c:pt idx="134">
                  <c:v>358.3364668629327</c:v>
                </c:pt>
                <c:pt idx="135">
                  <c:v>358.3364668629327</c:v>
                </c:pt>
                <c:pt idx="136">
                  <c:v>358.3364668629327</c:v>
                </c:pt>
                <c:pt idx="137">
                  <c:v>358.3364668629327</c:v>
                </c:pt>
                <c:pt idx="138">
                  <c:v>358.3364668629327</c:v>
                </c:pt>
                <c:pt idx="139">
                  <c:v>358.3364668629327</c:v>
                </c:pt>
                <c:pt idx="140">
                  <c:v>358.3364668629327</c:v>
                </c:pt>
                <c:pt idx="141">
                  <c:v>358.3364668629327</c:v>
                </c:pt>
                <c:pt idx="142">
                  <c:v>358.3364668629327</c:v>
                </c:pt>
                <c:pt idx="143">
                  <c:v>358.3364668629327</c:v>
                </c:pt>
                <c:pt idx="144">
                  <c:v>358.3364668629327</c:v>
                </c:pt>
                <c:pt idx="145">
                  <c:v>358.3364668629327</c:v>
                </c:pt>
                <c:pt idx="146">
                  <c:v>358.3364668629327</c:v>
                </c:pt>
                <c:pt idx="147">
                  <c:v>358.3364668629327</c:v>
                </c:pt>
                <c:pt idx="148">
                  <c:v>358.3364668629327</c:v>
                </c:pt>
                <c:pt idx="149">
                  <c:v>358.3364668629327</c:v>
                </c:pt>
                <c:pt idx="150">
                  <c:v>358.3364668629327</c:v>
                </c:pt>
                <c:pt idx="151">
                  <c:v>358.3364668629327</c:v>
                </c:pt>
                <c:pt idx="152">
                  <c:v>358.3364668629327</c:v>
                </c:pt>
                <c:pt idx="153">
                  <c:v>358.3364668629327</c:v>
                </c:pt>
                <c:pt idx="154">
                  <c:v>358.3364668629327</c:v>
                </c:pt>
                <c:pt idx="155">
                  <c:v>358.3364668629327</c:v>
                </c:pt>
                <c:pt idx="156">
                  <c:v>358.3364668629327</c:v>
                </c:pt>
                <c:pt idx="157">
                  <c:v>358.3364668629327</c:v>
                </c:pt>
                <c:pt idx="158">
                  <c:v>358.3364668629327</c:v>
                </c:pt>
                <c:pt idx="159">
                  <c:v>358.3364668629327</c:v>
                </c:pt>
                <c:pt idx="160">
                  <c:v>358.3364668629327</c:v>
                </c:pt>
                <c:pt idx="161">
                  <c:v>358.3364668629327</c:v>
                </c:pt>
                <c:pt idx="162">
                  <c:v>358.3364668629327</c:v>
                </c:pt>
                <c:pt idx="163">
                  <c:v>358.3364668629327</c:v>
                </c:pt>
                <c:pt idx="164">
                  <c:v>358.3364668629327</c:v>
                </c:pt>
                <c:pt idx="165">
                  <c:v>358.3364668629327</c:v>
                </c:pt>
                <c:pt idx="166">
                  <c:v>358.3364668629327</c:v>
                </c:pt>
                <c:pt idx="167">
                  <c:v>358.3364668629327</c:v>
                </c:pt>
                <c:pt idx="168">
                  <c:v>358.3364668629327</c:v>
                </c:pt>
                <c:pt idx="169">
                  <c:v>358.3364668629327</c:v>
                </c:pt>
                <c:pt idx="170">
                  <c:v>358.3364668629327</c:v>
                </c:pt>
                <c:pt idx="171">
                  <c:v>358.3364668629327</c:v>
                </c:pt>
                <c:pt idx="172">
                  <c:v>358.3364668629327</c:v>
                </c:pt>
                <c:pt idx="173">
                  <c:v>358.3364668629327</c:v>
                </c:pt>
                <c:pt idx="174">
                  <c:v>358.3364668629327</c:v>
                </c:pt>
                <c:pt idx="175">
                  <c:v>358.3364668629327</c:v>
                </c:pt>
                <c:pt idx="176">
                  <c:v>358.3364668629327</c:v>
                </c:pt>
                <c:pt idx="177">
                  <c:v>358.3364668629327</c:v>
                </c:pt>
                <c:pt idx="178">
                  <c:v>358.3364668629327</c:v>
                </c:pt>
                <c:pt idx="179">
                  <c:v>358.3364668629327</c:v>
                </c:pt>
                <c:pt idx="180">
                  <c:v>358.3364668629327</c:v>
                </c:pt>
                <c:pt idx="181">
                  <c:v>358.3364668629327</c:v>
                </c:pt>
                <c:pt idx="182">
                  <c:v>358.3364668629327</c:v>
                </c:pt>
                <c:pt idx="183">
                  <c:v>358.3364668629327</c:v>
                </c:pt>
                <c:pt idx="184">
                  <c:v>358.3364668629327</c:v>
                </c:pt>
                <c:pt idx="185">
                  <c:v>358.3364668629327</c:v>
                </c:pt>
                <c:pt idx="186">
                  <c:v>358.3364668629327</c:v>
                </c:pt>
                <c:pt idx="187">
                  <c:v>358.3364668629327</c:v>
                </c:pt>
                <c:pt idx="188">
                  <c:v>358.3364668629327</c:v>
                </c:pt>
                <c:pt idx="189">
                  <c:v>358.3364668629327</c:v>
                </c:pt>
                <c:pt idx="190">
                  <c:v>358.3364668629327</c:v>
                </c:pt>
                <c:pt idx="191">
                  <c:v>358.3364668629327</c:v>
                </c:pt>
                <c:pt idx="192">
                  <c:v>358.3364668629327</c:v>
                </c:pt>
                <c:pt idx="193">
                  <c:v>358.3364668629327</c:v>
                </c:pt>
                <c:pt idx="194">
                  <c:v>358.3364668629327</c:v>
                </c:pt>
                <c:pt idx="195">
                  <c:v>358.3364668629327</c:v>
                </c:pt>
                <c:pt idx="196">
                  <c:v>358.3364668629327</c:v>
                </c:pt>
                <c:pt idx="197">
                  <c:v>358.3364668629327</c:v>
                </c:pt>
                <c:pt idx="198">
                  <c:v>358.3364668629327</c:v>
                </c:pt>
                <c:pt idx="199">
                  <c:v>358.3364668629327</c:v>
                </c:pt>
                <c:pt idx="200">
                  <c:v>358.3364668629327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45.584627750837576</c:v>
                </c:pt>
                <c:pt idx="22">
                  <c:v>60.41745678275786</c:v>
                </c:pt>
                <c:pt idx="23">
                  <c:v>75.154841693095705</c:v>
                </c:pt>
                <c:pt idx="24">
                  <c:v>89.818285035590179</c:v>
                </c:pt>
                <c:pt idx="25">
                  <c:v>104.42161400042001</c:v>
                </c:pt>
                <c:pt idx="26">
                  <c:v>91.742969984406372</c:v>
                </c:pt>
                <c:pt idx="27">
                  <c:v>105.9557293591423</c:v>
                </c:pt>
                <c:pt idx="28">
                  <c:v>120.12142182376846</c:v>
                </c:pt>
                <c:pt idx="29">
                  <c:v>134.24638938649045</c:v>
                </c:pt>
                <c:pt idx="30">
                  <c:v>148.33552588657849</c:v>
                </c:pt>
                <c:pt idx="31">
                  <c:v>134.24638938649045</c:v>
                </c:pt>
                <c:pt idx="32">
                  <c:v>146.81397834828735</c:v>
                </c:pt>
                <c:pt idx="33">
                  <c:v>159.35586286360194</c:v>
                </c:pt>
                <c:pt idx="34">
                  <c:v>171.87435267338171</c:v>
                </c:pt>
                <c:pt idx="35">
                  <c:v>184.37139305479846</c:v>
                </c:pt>
                <c:pt idx="36">
                  <c:v>168.46242240333265</c:v>
                </c:pt>
                <c:pt idx="37">
                  <c:v>179.07212574507776</c:v>
                </c:pt>
                <c:pt idx="38">
                  <c:v>189.66710135325764</c:v>
                </c:pt>
                <c:pt idx="39">
                  <c:v>200.24828861934861</c:v>
                </c:pt>
                <c:pt idx="40">
                  <c:v>210.81651943579459</c:v>
                </c:pt>
                <c:pt idx="41">
                  <c:v>193.8255924984071</c:v>
                </c:pt>
                <c:pt idx="42">
                  <c:v>203.26907123098988</c:v>
                </c:pt>
                <c:pt idx="43">
                  <c:v>212.70239804910184</c:v>
                </c:pt>
                <c:pt idx="44">
                  <c:v>222.12608711761609</c:v>
                </c:pt>
                <c:pt idx="45">
                  <c:v>231.54060536306474</c:v>
                </c:pt>
                <c:pt idx="46">
                  <c:v>212.70239804910184</c:v>
                </c:pt>
                <c:pt idx="47">
                  <c:v>220.24209728386401</c:v>
                </c:pt>
                <c:pt idx="48">
                  <c:v>227.77587045440154</c:v>
                </c:pt>
                <c:pt idx="49">
                  <c:v>235.30394147234654</c:v>
                </c:pt>
                <c:pt idx="50">
                  <c:v>242.82651873322848</c:v>
                </c:pt>
                <c:pt idx="51">
                  <c:v>229.28193394845093</c:v>
                </c:pt>
                <c:pt idx="52">
                  <c:v>236.43267338641544</c:v>
                </c:pt>
                <c:pt idx="53">
                  <c:v>243.57848190120231</c:v>
                </c:pt>
                <c:pt idx="54">
                  <c:v>250.71952474895636</c:v>
                </c:pt>
                <c:pt idx="55">
                  <c:v>257.85595699105767</c:v>
                </c:pt>
                <c:pt idx="56">
                  <c:v>246.58580846713622</c:v>
                </c:pt>
                <c:pt idx="57">
                  <c:v>252.22230966781112</c:v>
                </c:pt>
                <c:pt idx="58">
                  <c:v>257.85595699105767</c:v>
                </c:pt>
                <c:pt idx="59">
                  <c:v>263.48682168593831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265.73840375453761</c:v>
                </c:pt>
                <c:pt idx="63">
                  <c:v>270.61536157536983</c:v>
                </c:pt>
                <c:pt idx="64">
                  <c:v>275.49034176419696</c:v>
                </c:pt>
                <c:pt idx="65">
                  <c:v>280.36338431358683</c:v>
                </c:pt>
                <c:pt idx="66">
                  <c:v>273.24059406456803</c:v>
                </c:pt>
                <c:pt idx="67">
                  <c:v>277.36481607055651</c:v>
                </c:pt>
                <c:pt idx="68">
                  <c:v>281.48766152009563</c:v>
                </c:pt>
                <c:pt idx="69">
                  <c:v>285.6091534570931</c:v>
                </c:pt>
                <c:pt idx="70">
                  <c:v>289.72931420493518</c:v>
                </c:pt>
                <c:pt idx="71">
                  <c:v>283.73591438004928</c:v>
                </c:pt>
                <c:pt idx="72">
                  <c:v>287.107546598586</c:v>
                </c:pt>
                <c:pt idx="73">
                  <c:v>290.47829302179059</c:v>
                </c:pt>
                <c:pt idx="74">
                  <c:v>293.84816539917779</c:v>
                </c:pt>
                <c:pt idx="75">
                  <c:v>297.21717518827546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304.70083122716056</c:v>
                </c:pt>
                <c:pt idx="81">
                  <c:v>299.08847869495395</c:v>
                </c:pt>
                <c:pt idx="82">
                  <c:v>299.08847869495395</c:v>
                </c:pt>
                <c:pt idx="83">
                  <c:v>299.08847869495395</c:v>
                </c:pt>
                <c:pt idx="84">
                  <c:v>299.08847869495395</c:v>
                </c:pt>
                <c:pt idx="85">
                  <c:v>299.08847869495395</c:v>
                </c:pt>
                <c:pt idx="86">
                  <c:v>299.08847869495395</c:v>
                </c:pt>
                <c:pt idx="87">
                  <c:v>299.08847869495395</c:v>
                </c:pt>
                <c:pt idx="88">
                  <c:v>299.08847869495395</c:v>
                </c:pt>
                <c:pt idx="89">
                  <c:v>299.08847869495395</c:v>
                </c:pt>
                <c:pt idx="90">
                  <c:v>299.08847869495395</c:v>
                </c:pt>
                <c:pt idx="91">
                  <c:v>299.08847869495395</c:v>
                </c:pt>
                <c:pt idx="92">
                  <c:v>299.08847869495395</c:v>
                </c:pt>
                <c:pt idx="93">
                  <c:v>299.08847869495395</c:v>
                </c:pt>
                <c:pt idx="94">
                  <c:v>299.08847869495395</c:v>
                </c:pt>
                <c:pt idx="95">
                  <c:v>299.08847869495395</c:v>
                </c:pt>
                <c:pt idx="96">
                  <c:v>299.08847869495395</c:v>
                </c:pt>
                <c:pt idx="97">
                  <c:v>299.08847869495395</c:v>
                </c:pt>
                <c:pt idx="98">
                  <c:v>299.08847869495395</c:v>
                </c:pt>
                <c:pt idx="99">
                  <c:v>299.08847869495395</c:v>
                </c:pt>
                <c:pt idx="100">
                  <c:v>299.08847869495395</c:v>
                </c:pt>
                <c:pt idx="101">
                  <c:v>299.08847869495395</c:v>
                </c:pt>
                <c:pt idx="102">
                  <c:v>299.08847869495395</c:v>
                </c:pt>
                <c:pt idx="103">
                  <c:v>299.08847869495395</c:v>
                </c:pt>
                <c:pt idx="104">
                  <c:v>299.08847869495395</c:v>
                </c:pt>
                <c:pt idx="105">
                  <c:v>299.08847869495395</c:v>
                </c:pt>
                <c:pt idx="106">
                  <c:v>299.08847869495395</c:v>
                </c:pt>
                <c:pt idx="107">
                  <c:v>299.08847869495395</c:v>
                </c:pt>
                <c:pt idx="108">
                  <c:v>299.08847869495395</c:v>
                </c:pt>
                <c:pt idx="109">
                  <c:v>299.08847869495395</c:v>
                </c:pt>
                <c:pt idx="110">
                  <c:v>299.08847869495395</c:v>
                </c:pt>
                <c:pt idx="111">
                  <c:v>299.08847869495395</c:v>
                </c:pt>
                <c:pt idx="112">
                  <c:v>299.08847869495395</c:v>
                </c:pt>
                <c:pt idx="113">
                  <c:v>299.08847869495395</c:v>
                </c:pt>
                <c:pt idx="114">
                  <c:v>299.08847869495395</c:v>
                </c:pt>
                <c:pt idx="115">
                  <c:v>299.08847869495395</c:v>
                </c:pt>
                <c:pt idx="116">
                  <c:v>299.08847869495395</c:v>
                </c:pt>
                <c:pt idx="117">
                  <c:v>299.08847869495395</c:v>
                </c:pt>
                <c:pt idx="118">
                  <c:v>299.08847869495395</c:v>
                </c:pt>
                <c:pt idx="119">
                  <c:v>299.08847869495395</c:v>
                </c:pt>
                <c:pt idx="120">
                  <c:v>299.08847869495395</c:v>
                </c:pt>
                <c:pt idx="121">
                  <c:v>299.08847869495395</c:v>
                </c:pt>
                <c:pt idx="122">
                  <c:v>299.08847869495395</c:v>
                </c:pt>
                <c:pt idx="123">
                  <c:v>299.08847869495395</c:v>
                </c:pt>
                <c:pt idx="124">
                  <c:v>299.08847869495395</c:v>
                </c:pt>
                <c:pt idx="125">
                  <c:v>299.08847869495395</c:v>
                </c:pt>
                <c:pt idx="126">
                  <c:v>299.08847869495395</c:v>
                </c:pt>
                <c:pt idx="127">
                  <c:v>299.08847869495395</c:v>
                </c:pt>
                <c:pt idx="128">
                  <c:v>299.08847869495395</c:v>
                </c:pt>
                <c:pt idx="129">
                  <c:v>299.08847869495395</c:v>
                </c:pt>
                <c:pt idx="130">
                  <c:v>299.08847869495395</c:v>
                </c:pt>
                <c:pt idx="131">
                  <c:v>299.08847869495395</c:v>
                </c:pt>
                <c:pt idx="132">
                  <c:v>299.08847869495395</c:v>
                </c:pt>
                <c:pt idx="133">
                  <c:v>299.08847869495395</c:v>
                </c:pt>
                <c:pt idx="134">
                  <c:v>299.08847869495395</c:v>
                </c:pt>
                <c:pt idx="135">
                  <c:v>299.08847869495395</c:v>
                </c:pt>
                <c:pt idx="136">
                  <c:v>299.08847869495395</c:v>
                </c:pt>
                <c:pt idx="137">
                  <c:v>299.08847869495395</c:v>
                </c:pt>
                <c:pt idx="138">
                  <c:v>299.08847869495395</c:v>
                </c:pt>
                <c:pt idx="139">
                  <c:v>299.08847869495395</c:v>
                </c:pt>
                <c:pt idx="140">
                  <c:v>299.08847869495395</c:v>
                </c:pt>
                <c:pt idx="141">
                  <c:v>299.08847869495395</c:v>
                </c:pt>
                <c:pt idx="142">
                  <c:v>299.08847869495395</c:v>
                </c:pt>
                <c:pt idx="143">
                  <c:v>299.08847869495395</c:v>
                </c:pt>
                <c:pt idx="144">
                  <c:v>299.08847869495395</c:v>
                </c:pt>
                <c:pt idx="145">
                  <c:v>299.08847869495395</c:v>
                </c:pt>
                <c:pt idx="146">
                  <c:v>299.08847869495395</c:v>
                </c:pt>
                <c:pt idx="147">
                  <c:v>299.08847869495395</c:v>
                </c:pt>
                <c:pt idx="148">
                  <c:v>299.08847869495395</c:v>
                </c:pt>
                <c:pt idx="149">
                  <c:v>299.08847869495395</c:v>
                </c:pt>
                <c:pt idx="150">
                  <c:v>299.08847869495395</c:v>
                </c:pt>
                <c:pt idx="151">
                  <c:v>299.08847869495395</c:v>
                </c:pt>
                <c:pt idx="152">
                  <c:v>299.08847869495395</c:v>
                </c:pt>
                <c:pt idx="153">
                  <c:v>299.08847869495395</c:v>
                </c:pt>
                <c:pt idx="154">
                  <c:v>299.08847869495395</c:v>
                </c:pt>
                <c:pt idx="155">
                  <c:v>299.08847869495395</c:v>
                </c:pt>
                <c:pt idx="156">
                  <c:v>299.08847869495395</c:v>
                </c:pt>
                <c:pt idx="157">
                  <c:v>299.08847869495395</c:v>
                </c:pt>
                <c:pt idx="158">
                  <c:v>299.08847869495395</c:v>
                </c:pt>
                <c:pt idx="159">
                  <c:v>299.08847869495395</c:v>
                </c:pt>
                <c:pt idx="160">
                  <c:v>299.08847869495395</c:v>
                </c:pt>
                <c:pt idx="161">
                  <c:v>299.08847869495395</c:v>
                </c:pt>
                <c:pt idx="162">
                  <c:v>299.08847869495395</c:v>
                </c:pt>
                <c:pt idx="163">
                  <c:v>299.08847869495395</c:v>
                </c:pt>
                <c:pt idx="164">
                  <c:v>299.08847869495395</c:v>
                </c:pt>
                <c:pt idx="165">
                  <c:v>299.08847869495395</c:v>
                </c:pt>
                <c:pt idx="166">
                  <c:v>299.08847869495395</c:v>
                </c:pt>
                <c:pt idx="167">
                  <c:v>299.08847869495395</c:v>
                </c:pt>
                <c:pt idx="168">
                  <c:v>299.08847869495395</c:v>
                </c:pt>
                <c:pt idx="169">
                  <c:v>299.08847869495395</c:v>
                </c:pt>
                <c:pt idx="170">
                  <c:v>299.08847869495395</c:v>
                </c:pt>
                <c:pt idx="171">
                  <c:v>299.08847869495395</c:v>
                </c:pt>
                <c:pt idx="172">
                  <c:v>299.08847869495395</c:v>
                </c:pt>
                <c:pt idx="173">
                  <c:v>299.08847869495395</c:v>
                </c:pt>
                <c:pt idx="174">
                  <c:v>299.08847869495395</c:v>
                </c:pt>
                <c:pt idx="175">
                  <c:v>299.08847869495395</c:v>
                </c:pt>
                <c:pt idx="176">
                  <c:v>299.08847869495395</c:v>
                </c:pt>
                <c:pt idx="177">
                  <c:v>299.08847869495395</c:v>
                </c:pt>
                <c:pt idx="178">
                  <c:v>299.08847869495395</c:v>
                </c:pt>
                <c:pt idx="179">
                  <c:v>299.08847869495395</c:v>
                </c:pt>
                <c:pt idx="180">
                  <c:v>299.08847869495395</c:v>
                </c:pt>
                <c:pt idx="181">
                  <c:v>299.08847869495395</c:v>
                </c:pt>
                <c:pt idx="182">
                  <c:v>299.08847869495395</c:v>
                </c:pt>
                <c:pt idx="183">
                  <c:v>299.08847869495395</c:v>
                </c:pt>
                <c:pt idx="184">
                  <c:v>299.08847869495395</c:v>
                </c:pt>
                <c:pt idx="185">
                  <c:v>299.08847869495395</c:v>
                </c:pt>
                <c:pt idx="186">
                  <c:v>299.08847869495395</c:v>
                </c:pt>
                <c:pt idx="187">
                  <c:v>299.08847869495395</c:v>
                </c:pt>
                <c:pt idx="188">
                  <c:v>299.08847869495395</c:v>
                </c:pt>
                <c:pt idx="189">
                  <c:v>299.08847869495395</c:v>
                </c:pt>
                <c:pt idx="190">
                  <c:v>299.08847869495395</c:v>
                </c:pt>
                <c:pt idx="191">
                  <c:v>299.08847869495395</c:v>
                </c:pt>
                <c:pt idx="192">
                  <c:v>299.08847869495395</c:v>
                </c:pt>
                <c:pt idx="193">
                  <c:v>299.08847869495395</c:v>
                </c:pt>
                <c:pt idx="194">
                  <c:v>299.08847869495395</c:v>
                </c:pt>
                <c:pt idx="195">
                  <c:v>299.08847869495395</c:v>
                </c:pt>
                <c:pt idx="196">
                  <c:v>299.08847869495395</c:v>
                </c:pt>
                <c:pt idx="197">
                  <c:v>299.08847869495395</c:v>
                </c:pt>
                <c:pt idx="198">
                  <c:v>299.08847869495395</c:v>
                </c:pt>
                <c:pt idx="199">
                  <c:v>299.08847869495395</c:v>
                </c:pt>
                <c:pt idx="200">
                  <c:v>299.08847869495395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293.4737779390652</c:v>
                </c:pt>
                <c:pt idx="92">
                  <c:v>293.4737779390652</c:v>
                </c:pt>
                <c:pt idx="93">
                  <c:v>293.4737779390652</c:v>
                </c:pt>
                <c:pt idx="94">
                  <c:v>293.4737779390652</c:v>
                </c:pt>
                <c:pt idx="95">
                  <c:v>293.4737779390652</c:v>
                </c:pt>
                <c:pt idx="96">
                  <c:v>293.4737779390652</c:v>
                </c:pt>
                <c:pt idx="97">
                  <c:v>293.4737779390652</c:v>
                </c:pt>
                <c:pt idx="98">
                  <c:v>293.4737779390652</c:v>
                </c:pt>
                <c:pt idx="99">
                  <c:v>293.4737779390652</c:v>
                </c:pt>
                <c:pt idx="100">
                  <c:v>293.4737779390652</c:v>
                </c:pt>
                <c:pt idx="101">
                  <c:v>293.4737779390652</c:v>
                </c:pt>
                <c:pt idx="102">
                  <c:v>293.4737779390652</c:v>
                </c:pt>
                <c:pt idx="103">
                  <c:v>293.4737779390652</c:v>
                </c:pt>
                <c:pt idx="104">
                  <c:v>293.4737779390652</c:v>
                </c:pt>
                <c:pt idx="105">
                  <c:v>293.4737779390652</c:v>
                </c:pt>
                <c:pt idx="106">
                  <c:v>293.4737779390652</c:v>
                </c:pt>
                <c:pt idx="107">
                  <c:v>293.4737779390652</c:v>
                </c:pt>
                <c:pt idx="108">
                  <c:v>293.4737779390652</c:v>
                </c:pt>
                <c:pt idx="109">
                  <c:v>293.4737779390652</c:v>
                </c:pt>
                <c:pt idx="110">
                  <c:v>293.4737779390652</c:v>
                </c:pt>
                <c:pt idx="111">
                  <c:v>293.4737779390652</c:v>
                </c:pt>
                <c:pt idx="112">
                  <c:v>293.4737779390652</c:v>
                </c:pt>
                <c:pt idx="113">
                  <c:v>293.4737779390652</c:v>
                </c:pt>
                <c:pt idx="114">
                  <c:v>293.4737779390652</c:v>
                </c:pt>
                <c:pt idx="115">
                  <c:v>293.4737779390652</c:v>
                </c:pt>
                <c:pt idx="116">
                  <c:v>293.4737779390652</c:v>
                </c:pt>
                <c:pt idx="117">
                  <c:v>293.4737779390652</c:v>
                </c:pt>
                <c:pt idx="118">
                  <c:v>293.4737779390652</c:v>
                </c:pt>
                <c:pt idx="119">
                  <c:v>293.4737779390652</c:v>
                </c:pt>
                <c:pt idx="120">
                  <c:v>293.4737779390652</c:v>
                </c:pt>
                <c:pt idx="121">
                  <c:v>293.4737779390652</c:v>
                </c:pt>
                <c:pt idx="122">
                  <c:v>293.4737779390652</c:v>
                </c:pt>
                <c:pt idx="123">
                  <c:v>293.4737779390652</c:v>
                </c:pt>
                <c:pt idx="124">
                  <c:v>293.4737779390652</c:v>
                </c:pt>
                <c:pt idx="125">
                  <c:v>293.4737779390652</c:v>
                </c:pt>
                <c:pt idx="126">
                  <c:v>293.4737779390652</c:v>
                </c:pt>
                <c:pt idx="127">
                  <c:v>293.4737779390652</c:v>
                </c:pt>
                <c:pt idx="128">
                  <c:v>293.4737779390652</c:v>
                </c:pt>
                <c:pt idx="129">
                  <c:v>293.4737779390652</c:v>
                </c:pt>
                <c:pt idx="130">
                  <c:v>293.4737779390652</c:v>
                </c:pt>
                <c:pt idx="131">
                  <c:v>293.4737779390652</c:v>
                </c:pt>
                <c:pt idx="132">
                  <c:v>293.4737779390652</c:v>
                </c:pt>
                <c:pt idx="133">
                  <c:v>293.4737779390652</c:v>
                </c:pt>
                <c:pt idx="134">
                  <c:v>293.4737779390652</c:v>
                </c:pt>
                <c:pt idx="135">
                  <c:v>293.4737779390652</c:v>
                </c:pt>
                <c:pt idx="136">
                  <c:v>293.4737779390652</c:v>
                </c:pt>
                <c:pt idx="137">
                  <c:v>293.4737779390652</c:v>
                </c:pt>
                <c:pt idx="138">
                  <c:v>293.4737779390652</c:v>
                </c:pt>
                <c:pt idx="139">
                  <c:v>293.4737779390652</c:v>
                </c:pt>
                <c:pt idx="140">
                  <c:v>293.4737779390652</c:v>
                </c:pt>
                <c:pt idx="141">
                  <c:v>293.4737779390652</c:v>
                </c:pt>
                <c:pt idx="142">
                  <c:v>293.4737779390652</c:v>
                </c:pt>
                <c:pt idx="143">
                  <c:v>293.4737779390652</c:v>
                </c:pt>
                <c:pt idx="144">
                  <c:v>293.4737779390652</c:v>
                </c:pt>
                <c:pt idx="145">
                  <c:v>293.4737779390652</c:v>
                </c:pt>
                <c:pt idx="146">
                  <c:v>293.4737779390652</c:v>
                </c:pt>
                <c:pt idx="147">
                  <c:v>293.4737779390652</c:v>
                </c:pt>
                <c:pt idx="148">
                  <c:v>293.4737779390652</c:v>
                </c:pt>
                <c:pt idx="149">
                  <c:v>293.4737779390652</c:v>
                </c:pt>
                <c:pt idx="150">
                  <c:v>293.4737779390652</c:v>
                </c:pt>
                <c:pt idx="151">
                  <c:v>293.4737779390652</c:v>
                </c:pt>
                <c:pt idx="152">
                  <c:v>293.4737779390652</c:v>
                </c:pt>
                <c:pt idx="153">
                  <c:v>293.4737779390652</c:v>
                </c:pt>
                <c:pt idx="154">
                  <c:v>293.4737779390652</c:v>
                </c:pt>
                <c:pt idx="155">
                  <c:v>293.4737779390652</c:v>
                </c:pt>
                <c:pt idx="156">
                  <c:v>293.4737779390652</c:v>
                </c:pt>
                <c:pt idx="157">
                  <c:v>293.4737779390652</c:v>
                </c:pt>
                <c:pt idx="158">
                  <c:v>293.4737779390652</c:v>
                </c:pt>
                <c:pt idx="159">
                  <c:v>293.4737779390652</c:v>
                </c:pt>
                <c:pt idx="160">
                  <c:v>293.4737779390652</c:v>
                </c:pt>
                <c:pt idx="161">
                  <c:v>293.4737779390652</c:v>
                </c:pt>
                <c:pt idx="162">
                  <c:v>293.4737779390652</c:v>
                </c:pt>
                <c:pt idx="163">
                  <c:v>293.4737779390652</c:v>
                </c:pt>
                <c:pt idx="164">
                  <c:v>293.4737779390652</c:v>
                </c:pt>
                <c:pt idx="165">
                  <c:v>293.4737779390652</c:v>
                </c:pt>
                <c:pt idx="166">
                  <c:v>293.4737779390652</c:v>
                </c:pt>
                <c:pt idx="167">
                  <c:v>293.4737779390652</c:v>
                </c:pt>
                <c:pt idx="168">
                  <c:v>293.4737779390652</c:v>
                </c:pt>
                <c:pt idx="169">
                  <c:v>293.4737779390652</c:v>
                </c:pt>
                <c:pt idx="170">
                  <c:v>293.4737779390652</c:v>
                </c:pt>
                <c:pt idx="171">
                  <c:v>293.4737779390652</c:v>
                </c:pt>
                <c:pt idx="172">
                  <c:v>293.4737779390652</c:v>
                </c:pt>
                <c:pt idx="173">
                  <c:v>293.4737779390652</c:v>
                </c:pt>
                <c:pt idx="174">
                  <c:v>293.4737779390652</c:v>
                </c:pt>
                <c:pt idx="175">
                  <c:v>293.4737779390652</c:v>
                </c:pt>
                <c:pt idx="176">
                  <c:v>293.4737779390652</c:v>
                </c:pt>
                <c:pt idx="177">
                  <c:v>293.4737779390652</c:v>
                </c:pt>
                <c:pt idx="178">
                  <c:v>293.4737779390652</c:v>
                </c:pt>
                <c:pt idx="179">
                  <c:v>293.4737779390652</c:v>
                </c:pt>
                <c:pt idx="180">
                  <c:v>293.4737779390652</c:v>
                </c:pt>
                <c:pt idx="181">
                  <c:v>293.4737779390652</c:v>
                </c:pt>
                <c:pt idx="182">
                  <c:v>293.4737779390652</c:v>
                </c:pt>
                <c:pt idx="183">
                  <c:v>293.4737779390652</c:v>
                </c:pt>
                <c:pt idx="184">
                  <c:v>293.4737779390652</c:v>
                </c:pt>
                <c:pt idx="185">
                  <c:v>293.4737779390652</c:v>
                </c:pt>
                <c:pt idx="186">
                  <c:v>293.4737779390652</c:v>
                </c:pt>
                <c:pt idx="187">
                  <c:v>293.4737779390652</c:v>
                </c:pt>
                <c:pt idx="188">
                  <c:v>293.4737779390652</c:v>
                </c:pt>
                <c:pt idx="189">
                  <c:v>293.4737779390652</c:v>
                </c:pt>
                <c:pt idx="190">
                  <c:v>293.4737779390652</c:v>
                </c:pt>
                <c:pt idx="191">
                  <c:v>293.4737779390652</c:v>
                </c:pt>
                <c:pt idx="192">
                  <c:v>293.4737779390652</c:v>
                </c:pt>
                <c:pt idx="193">
                  <c:v>293.4737779390652</c:v>
                </c:pt>
                <c:pt idx="194">
                  <c:v>293.4737779390652</c:v>
                </c:pt>
                <c:pt idx="195">
                  <c:v>293.4737779390652</c:v>
                </c:pt>
                <c:pt idx="196">
                  <c:v>293.4737779390652</c:v>
                </c:pt>
                <c:pt idx="197">
                  <c:v>293.4737779390652</c:v>
                </c:pt>
                <c:pt idx="198">
                  <c:v>293.4737779390652</c:v>
                </c:pt>
                <c:pt idx="199">
                  <c:v>293.4737779390652</c:v>
                </c:pt>
                <c:pt idx="200">
                  <c:v>293.4737779390652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2.8003312125399855</c:v>
                </c:pt>
                <c:pt idx="2">
                  <c:v>3.2331920402137686</c:v>
                </c:pt>
                <c:pt idx="3">
                  <c:v>3.7332025678830316</c:v>
                </c:pt>
                <c:pt idx="4">
                  <c:v>4.3108149429496834</c:v>
                </c:pt>
                <c:pt idx="5">
                  <c:v>4.9781133778350988</c:v>
                </c:pt>
                <c:pt idx="6">
                  <c:v>5.7490697393655807</c:v>
                </c:pt>
                <c:pt idx="7">
                  <c:v>6.6398392732714306</c:v>
                </c:pt>
                <c:pt idx="8">
                  <c:v>7.6691027819060977</c:v>
                </c:pt>
                <c:pt idx="9">
                  <c:v>8.8584625701591815</c:v>
                </c:pt>
                <c:pt idx="10">
                  <c:v>10.232900629015736</c:v>
                </c:pt>
                <c:pt idx="11">
                  <c:v>11.821308863270147</c:v>
                </c:pt>
                <c:pt idx="12">
                  <c:v>13.657102718463641</c:v>
                </c:pt>
                <c:pt idx="13">
                  <c:v>15.778931355698667</c:v>
                </c:pt>
                <c:pt idx="14">
                  <c:v>18.231499600430144</c:v>
                </c:pt>
                <c:pt idx="15">
                  <c:v>21.066519297648501</c:v>
                </c:pt>
                <c:pt idx="16">
                  <c:v>24.343810493205584</c:v>
                </c:pt>
                <c:pt idx="17">
                  <c:v>28.1325760898273</c:v>
                </c:pt>
                <c:pt idx="18">
                  <c:v>32.512877366644709</c:v>
                </c:pt>
                <c:pt idx="19">
                  <c:v>37.577342084023471</c:v>
                </c:pt>
                <c:pt idx="20">
                  <c:v>43.433141915145256</c:v>
                </c:pt>
                <c:pt idx="21">
                  <c:v>50.204281761211853</c:v>
                </c:pt>
                <c:pt idx="22">
                  <c:v>58.034250244652092</c:v>
                </c:pt>
                <c:pt idx="23">
                  <c:v>67.089088480753915</c:v>
                </c:pt>
                <c:pt idx="24">
                  <c:v>77.560943272449364</c:v>
                </c:pt>
                <c:pt idx="25">
                  <c:v>89.672181352278031</c:v>
                </c:pt>
                <c:pt idx="26">
                  <c:v>103.68015343787452</c:v>
                </c:pt>
                <c:pt idx="27">
                  <c:v>119.88271093697669</c:v>
                </c:pt>
                <c:pt idx="28">
                  <c:v>138.62459444131827</c:v>
                </c:pt>
                <c:pt idx="29">
                  <c:v>160.30483204099406</c:v>
                </c:pt>
                <c:pt idx="30">
                  <c:v>185.38530738365804</c:v>
                </c:pt>
                <c:pt idx="31">
                  <c:v>202.15695713632087</c:v>
                </c:pt>
                <c:pt idx="32">
                  <c:v>218.896389340062</c:v>
                </c:pt>
                <c:pt idx="33">
                  <c:v>235.60641491555052</c:v>
                </c:pt>
                <c:pt idx="34">
                  <c:v>252.28941320358533</c:v>
                </c:pt>
                <c:pt idx="35">
                  <c:v>268.94742300350816</c:v>
                </c:pt>
                <c:pt idx="36">
                  <c:v>285.58220983875952</c:v>
                </c:pt>
                <c:pt idx="37">
                  <c:v>302.19531670920935</c:v>
                </c:pt>
                <c:pt idx="38">
                  <c:v>318.78810308772921</c:v>
                </c:pt>
                <c:pt idx="39">
                  <c:v>335.3617753666083</c:v>
                </c:pt>
                <c:pt idx="40">
                  <c:v>351.91741096693619</c:v>
                </c:pt>
                <c:pt idx="41">
                  <c:v>368.45597767200616</c:v>
                </c:pt>
                <c:pt idx="42">
                  <c:v>384.97834930705795</c:v>
                </c:pt>
                <c:pt idx="43">
                  <c:v>401.48531858615166</c:v>
                </c:pt>
                <c:pt idx="44">
                  <c:v>417.97760773574419</c:v>
                </c:pt>
                <c:pt idx="45">
                  <c:v>286.53807275731737</c:v>
                </c:pt>
                <c:pt idx="46">
                  <c:v>305.49525036873763</c:v>
                </c:pt>
                <c:pt idx="47">
                  <c:v>324.42628241024585</c:v>
                </c:pt>
                <c:pt idx="48">
                  <c:v>343.33290865299324</c:v>
                </c:pt>
                <c:pt idx="49">
                  <c:v>362.21666164592745</c:v>
                </c:pt>
                <c:pt idx="50">
                  <c:v>381.0789011389449</c:v>
                </c:pt>
                <c:pt idx="51">
                  <c:v>399.92084133223278</c:v>
                </c:pt>
                <c:pt idx="52">
                  <c:v>324.19593866003095</c:v>
                </c:pt>
                <c:pt idx="53">
                  <c:v>342.13541811743772</c:v>
                </c:pt>
                <c:pt idx="54">
                  <c:v>360.05422528837494</c:v>
                </c:pt>
                <c:pt idx="55">
                  <c:v>377.9535333985848</c:v>
                </c:pt>
                <c:pt idx="56">
                  <c:v>395.83439550905376</c:v>
                </c:pt>
                <c:pt idx="57">
                  <c:v>413.6977618081408</c:v>
                </c:pt>
                <c:pt idx="58">
                  <c:v>431.5444937609393</c:v>
                </c:pt>
                <c:pt idx="59">
                  <c:v>449.37537579598796</c:v>
                </c:pt>
                <c:pt idx="60">
                  <c:v>366.63997103610541</c:v>
                </c:pt>
                <c:pt idx="61">
                  <c:v>383.05260621790489</c:v>
                </c:pt>
                <c:pt idx="62">
                  <c:v>399.44995891129639</c:v>
                </c:pt>
                <c:pt idx="63">
                  <c:v>415.83274460053161</c:v>
                </c:pt>
                <c:pt idx="64">
                  <c:v>432.2016178086721</c:v>
                </c:pt>
                <c:pt idx="65">
                  <c:v>448.55717945158</c:v>
                </c:pt>
                <c:pt idx="66">
                  <c:v>464.89998306352408</c:v>
                </c:pt>
                <c:pt idx="67">
                  <c:v>481.23054010190486</c:v>
                </c:pt>
                <c:pt idx="68">
                  <c:v>414.9119991016837</c:v>
                </c:pt>
                <c:pt idx="69">
                  <c:v>430.70031054337193</c:v>
                </c:pt>
                <c:pt idx="70">
                  <c:v>446.47619034039707</c:v>
                </c:pt>
                <c:pt idx="71">
                  <c:v>462.24013947003141</c:v>
                </c:pt>
                <c:pt idx="72">
                  <c:v>477.99262196351879</c:v>
                </c:pt>
                <c:pt idx="73">
                  <c:v>493.73406878377614</c:v>
                </c:pt>
                <c:pt idx="74">
                  <c:v>509.46488118294218</c:v>
                </c:pt>
                <c:pt idx="75">
                  <c:v>525.18543362377125</c:v>
                </c:pt>
                <c:pt idx="76">
                  <c:v>460.79091173203955</c:v>
                </c:pt>
                <c:pt idx="77">
                  <c:v>476.1352879594624</c:v>
                </c:pt>
                <c:pt idx="78">
                  <c:v>491.46914791217046</c:v>
                </c:pt>
                <c:pt idx="79">
                  <c:v>506.79286578924075</c:v>
                </c:pt>
                <c:pt idx="80">
                  <c:v>522.10679132390158</c:v>
                </c:pt>
                <c:pt idx="81">
                  <c:v>537.41125206871482</c:v>
                </c:pt>
                <c:pt idx="82">
                  <c:v>552.70655540699499</c:v>
                </c:pt>
                <c:pt idx="83">
                  <c:v>567.99299033007594</c:v>
                </c:pt>
                <c:pt idx="84">
                  <c:v>583.27082901338281</c:v>
                </c:pt>
                <c:pt idx="85">
                  <c:v>507.3705030083218</c:v>
                </c:pt>
                <c:pt idx="86">
                  <c:v>521.80472372005397</c:v>
                </c:pt>
                <c:pt idx="87">
                  <c:v>536.23053032132236</c:v>
                </c:pt>
                <c:pt idx="88">
                  <c:v>550.64818097363013</c:v>
                </c:pt>
                <c:pt idx="89">
                  <c:v>565.0579192225382</c:v>
                </c:pt>
                <c:pt idx="90">
                  <c:v>579.45997518452327</c:v>
                </c:pt>
                <c:pt idx="91">
                  <c:v>593.85456660975365</c:v>
                </c:pt>
                <c:pt idx="92">
                  <c:v>608.24189983651058</c:v>
                </c:pt>
                <c:pt idx="93">
                  <c:v>622.62217065065283</c:v>
                </c:pt>
                <c:pt idx="94">
                  <c:v>559.79655228570277</c:v>
                </c:pt>
                <c:pt idx="95">
                  <c:v>574.45349960251963</c:v>
                </c:pt>
                <c:pt idx="96">
                  <c:v>589.10264170815833</c:v>
                </c:pt>
                <c:pt idx="97">
                  <c:v>603.74419994106245</c:v>
                </c:pt>
                <c:pt idx="98">
                  <c:v>618.37838403441208</c:v>
                </c:pt>
                <c:pt idx="99">
                  <c:v>633.00539299054276</c:v>
                </c:pt>
                <c:pt idx="100">
                  <c:v>647.62541587038834</c:v>
                </c:pt>
                <c:pt idx="101">
                  <c:v>662.23863250797024</c:v>
                </c:pt>
                <c:pt idx="102">
                  <c:v>676.84521415858501</c:v>
                </c:pt>
                <c:pt idx="103">
                  <c:v>691.44532408816588</c:v>
                </c:pt>
                <c:pt idx="104">
                  <c:v>603.98712558784928</c:v>
                </c:pt>
                <c:pt idx="105">
                  <c:v>617.8064802109642</c:v>
                </c:pt>
                <c:pt idx="106">
                  <c:v>631.61942985868268</c:v>
                </c:pt>
                <c:pt idx="107">
                  <c:v>645.42613426708465</c:v>
                </c:pt>
                <c:pt idx="108">
                  <c:v>659.22674578463784</c:v>
                </c:pt>
                <c:pt idx="109">
                  <c:v>673.02140986458164</c:v>
                </c:pt>
                <c:pt idx="110">
                  <c:v>686.8102655148673</c:v>
                </c:pt>
                <c:pt idx="111">
                  <c:v>700.59344571010945</c:v>
                </c:pt>
                <c:pt idx="112">
                  <c:v>714.37107776945629</c:v>
                </c:pt>
                <c:pt idx="113">
                  <c:v>728.1432837038127</c:v>
                </c:pt>
                <c:pt idx="114">
                  <c:v>661.96210378718581</c:v>
                </c:pt>
                <c:pt idx="115">
                  <c:v>676.8271878372434</c:v>
                </c:pt>
                <c:pt idx="116">
                  <c:v>691.68556890460331</c:v>
                </c:pt>
                <c:pt idx="117">
                  <c:v>706.53741116506023</c:v>
                </c:pt>
                <c:pt idx="118">
                  <c:v>721.38287133448409</c:v>
                </c:pt>
                <c:pt idx="119">
                  <c:v>736.22209915749488</c:v>
                </c:pt>
                <c:pt idx="120">
                  <c:v>751.05523785472121</c:v>
                </c:pt>
                <c:pt idx="121">
                  <c:v>765.88242453292025</c:v>
                </c:pt>
                <c:pt idx="122">
                  <c:v>780.70379056171123</c:v>
                </c:pt>
                <c:pt idx="123">
                  <c:v>795.51946192024172</c:v>
                </c:pt>
                <c:pt idx="124">
                  <c:v>810.32955951670726</c:v>
                </c:pt>
                <c:pt idx="125">
                  <c:v>825.13419948332239</c:v>
                </c:pt>
                <c:pt idx="126">
                  <c:v>716.4150784082957</c:v>
                </c:pt>
                <c:pt idx="127">
                  <c:v>730.56978561423057</c:v>
                </c:pt>
                <c:pt idx="128">
                  <c:v>744.71890525163633</c:v>
                </c:pt>
                <c:pt idx="129">
                  <c:v>758.86255836048906</c:v>
                </c:pt>
                <c:pt idx="130">
                  <c:v>773.00086110445602</c:v>
                </c:pt>
                <c:pt idx="131">
                  <c:v>787.13392505478203</c:v>
                </c:pt>
                <c:pt idx="132">
                  <c:v>801.26185745274233</c:v>
                </c:pt>
                <c:pt idx="133">
                  <c:v>815.38476145264315</c:v>
                </c:pt>
                <c:pt idx="134">
                  <c:v>829.50273634712312</c:v>
                </c:pt>
                <c:pt idx="135">
                  <c:v>843.61587777633497</c:v>
                </c:pt>
                <c:pt idx="136">
                  <c:v>857.72427792241604</c:v>
                </c:pt>
                <c:pt idx="137">
                  <c:v>871.82802569050909</c:v>
                </c:pt>
                <c:pt idx="138">
                  <c:v>754.70929469446401</c:v>
                </c:pt>
                <c:pt idx="139">
                  <c:v>768.37303041901862</c:v>
                </c:pt>
                <c:pt idx="140">
                  <c:v>782.03184065338644</c:v>
                </c:pt>
                <c:pt idx="141">
                  <c:v>795.68582348177642</c:v>
                </c:pt>
                <c:pt idx="142">
                  <c:v>809.33507335034358</c:v>
                </c:pt>
                <c:pt idx="143">
                  <c:v>822.97968126247281</c:v>
                </c:pt>
                <c:pt idx="144">
                  <c:v>836.61973496045312</c:v>
                </c:pt>
                <c:pt idx="145">
                  <c:v>850.25531909469748</c:v>
                </c:pt>
                <c:pt idx="146">
                  <c:v>863.88651538155307</c:v>
                </c:pt>
                <c:pt idx="147">
                  <c:v>877.51340275064501</c:v>
                </c:pt>
                <c:pt idx="148">
                  <c:v>891.13605748259954</c:v>
                </c:pt>
                <c:pt idx="149">
                  <c:v>904.7545533379174</c:v>
                </c:pt>
                <c:pt idx="150">
                  <c:v>595.43330762275843</c:v>
                </c:pt>
                <c:pt idx="151">
                  <c:v>593.07353171184252</c:v>
                </c:pt>
                <c:pt idx="152">
                  <c:v>590.71356036407008</c:v>
                </c:pt>
                <c:pt idx="153">
                  <c:v>588.35339268743132</c:v>
                </c:pt>
                <c:pt idx="154">
                  <c:v>407.08387130248093</c:v>
                </c:pt>
                <c:pt idx="155">
                  <c:v>405.82357951358364</c:v>
                </c:pt>
                <c:pt idx="156">
                  <c:v>404.56320310435973</c:v>
                </c:pt>
                <c:pt idx="157">
                  <c:v>403.30274177339476</c:v>
                </c:pt>
                <c:pt idx="158">
                  <c:v>284.36289483215313</c:v>
                </c:pt>
                <c:pt idx="159">
                  <c:v>283.18442692718742</c:v>
                </c:pt>
                <c:pt idx="160">
                  <c:v>282.00584912141625</c:v>
                </c:pt>
                <c:pt idx="161">
                  <c:v>280.82716088921825</c:v>
                </c:pt>
                <c:pt idx="162">
                  <c:v>41.486953298564259</c:v>
                </c:pt>
                <c:pt idx="163">
                  <c:v>41.486953298564259</c:v>
                </c:pt>
                <c:pt idx="164">
                  <c:v>41.486953298564259</c:v>
                </c:pt>
                <c:pt idx="165">
                  <c:v>41.486953298564259</c:v>
                </c:pt>
                <c:pt idx="166">
                  <c:v>41.486953298564259</c:v>
                </c:pt>
                <c:pt idx="167">
                  <c:v>41.486953298564259</c:v>
                </c:pt>
                <c:pt idx="168">
                  <c:v>41.486953298564259</c:v>
                </c:pt>
                <c:pt idx="169">
                  <c:v>41.486953298564259</c:v>
                </c:pt>
                <c:pt idx="170">
                  <c:v>41.486953298564259</c:v>
                </c:pt>
                <c:pt idx="171">
                  <c:v>41.486953298564259</c:v>
                </c:pt>
                <c:pt idx="172">
                  <c:v>41.486953298564259</c:v>
                </c:pt>
                <c:pt idx="173">
                  <c:v>41.486953298564259</c:v>
                </c:pt>
                <c:pt idx="174">
                  <c:v>41.486953298564259</c:v>
                </c:pt>
                <c:pt idx="175">
                  <c:v>41.486953298564259</c:v>
                </c:pt>
                <c:pt idx="176">
                  <c:v>41.486953298564259</c:v>
                </c:pt>
                <c:pt idx="177">
                  <c:v>41.486953298564259</c:v>
                </c:pt>
                <c:pt idx="178">
                  <c:v>41.486953298564259</c:v>
                </c:pt>
                <c:pt idx="179">
                  <c:v>41.486953298564259</c:v>
                </c:pt>
                <c:pt idx="180">
                  <c:v>41.486953298564259</c:v>
                </c:pt>
                <c:pt idx="181">
                  <c:v>41.486953298564259</c:v>
                </c:pt>
                <c:pt idx="182">
                  <c:v>41.486953298564259</c:v>
                </c:pt>
                <c:pt idx="183">
                  <c:v>41.486953298564259</c:v>
                </c:pt>
                <c:pt idx="184">
                  <c:v>41.486953298564259</c:v>
                </c:pt>
                <c:pt idx="185">
                  <c:v>41.486953298564259</c:v>
                </c:pt>
                <c:pt idx="186">
                  <c:v>41.486953298564259</c:v>
                </c:pt>
                <c:pt idx="187">
                  <c:v>41.486953298564259</c:v>
                </c:pt>
                <c:pt idx="188">
                  <c:v>41.486953298564259</c:v>
                </c:pt>
                <c:pt idx="189">
                  <c:v>41.486953298564259</c:v>
                </c:pt>
                <c:pt idx="190">
                  <c:v>41.486953298564259</c:v>
                </c:pt>
                <c:pt idx="191">
                  <c:v>41.486953298564259</c:v>
                </c:pt>
                <c:pt idx="192">
                  <c:v>41.486953298564259</c:v>
                </c:pt>
                <c:pt idx="193">
                  <c:v>41.486953298564259</c:v>
                </c:pt>
                <c:pt idx="194">
                  <c:v>41.486953298564259</c:v>
                </c:pt>
                <c:pt idx="195">
                  <c:v>41.486953298564259</c:v>
                </c:pt>
                <c:pt idx="196">
                  <c:v>41.486953298564259</c:v>
                </c:pt>
                <c:pt idx="197">
                  <c:v>41.486953298564259</c:v>
                </c:pt>
                <c:pt idx="198">
                  <c:v>41.486953298564259</c:v>
                </c:pt>
                <c:pt idx="199">
                  <c:v>41.486953298564259</c:v>
                </c:pt>
                <c:pt idx="200">
                  <c:v>41.486953298564259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2" zoomScale="80" zoomScaleNormal="80" workbookViewId="0">
      <selection activeCell="A280" sqref="A28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0.16561300000000001</v>
      </c>
      <c r="D9" s="33">
        <f t="shared" ref="D9:D18" si="0">C9*$C$5</f>
        <v>0.99367800000000006</v>
      </c>
      <c r="E9" s="265">
        <v>161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50</v>
      </c>
      <c r="C10" s="264">
        <v>0.12784200000000001</v>
      </c>
      <c r="D10" s="33">
        <f t="shared" si="0"/>
        <v>0.76705200000000007</v>
      </c>
      <c r="E10" s="265">
        <v>191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326</v>
      </c>
      <c r="H10" s="23" t="s">
        <v>328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13</v>
      </c>
      <c r="C11" s="264">
        <v>0.11040899999999999</v>
      </c>
      <c r="D11" s="33">
        <f t="shared" si="0"/>
        <v>0.66245399999999999</v>
      </c>
      <c r="E11" s="265">
        <v>100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22</v>
      </c>
      <c r="C12" s="264">
        <v>0.16561300000000001</v>
      </c>
      <c r="D12" s="33">
        <f t="shared" si="0"/>
        <v>0.99367800000000006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25</v>
      </c>
      <c r="C13" s="32">
        <v>5.5204000000000003E-2</v>
      </c>
      <c r="D13" s="33">
        <f t="shared" si="0"/>
        <v>0.33122400000000002</v>
      </c>
      <c r="E13" s="34">
        <v>115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29</v>
      </c>
      <c r="C14" s="32">
        <v>5.5204000000000003E-2</v>
      </c>
      <c r="D14" s="33">
        <f t="shared" si="0"/>
        <v>0.33122400000000002</v>
      </c>
      <c r="E14" s="34">
        <v>69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21</v>
      </c>
      <c r="C15" s="32">
        <v>3.1960000000000002E-2</v>
      </c>
      <c r="D15" s="33">
        <f t="shared" si="0"/>
        <v>0.19176000000000001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326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98</v>
      </c>
      <c r="C16" s="32">
        <v>2.3244000000000001E-2</v>
      </c>
      <c r="D16" s="33">
        <f t="shared" si="0"/>
        <v>0.139464</v>
      </c>
      <c r="E16" s="34">
        <v>90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325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6</v>
      </c>
      <c r="C17" s="32">
        <v>2.3244000000000001E-2</v>
      </c>
      <c r="D17" s="33">
        <f t="shared" si="0"/>
        <v>0.139464</v>
      </c>
      <c r="E17" s="34">
        <v>161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325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111</v>
      </c>
      <c r="C18" s="32">
        <v>0.24166699999999999</v>
      </c>
      <c r="D18" s="33">
        <f t="shared" si="0"/>
        <v>1.450002</v>
      </c>
      <c r="E18" s="34">
        <v>24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327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1.0000000000000002</v>
      </c>
      <c r="D19" s="38">
        <f>SUM(D9:D18)</f>
        <v>6.0000000000000018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87.705128209999998</v>
      </c>
      <c r="C36" s="259"/>
      <c r="D36" s="259"/>
      <c r="E36" s="260"/>
      <c r="F36" s="260"/>
      <c r="G36" s="260"/>
      <c r="H36" s="260"/>
      <c r="I36" s="49">
        <f>IFERROR(B36/A36,"")</f>
        <v>2.9235042736666665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44</v>
      </c>
      <c r="B37" s="259">
        <v>201.77</v>
      </c>
      <c r="C37" s="259">
        <v>1</v>
      </c>
      <c r="D37" s="259">
        <v>74.010000000000005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8.147490842142858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51</v>
      </c>
      <c r="B38" s="259">
        <v>192.85</v>
      </c>
      <c r="C38" s="259">
        <v>2</v>
      </c>
      <c r="D38" s="259">
        <v>46.13</v>
      </c>
      <c r="E38" s="260">
        <v>1</v>
      </c>
      <c r="F38" s="260"/>
      <c r="G38" s="260"/>
      <c r="H38" s="260"/>
      <c r="I38" s="53">
        <f t="shared" si="1"/>
        <v>9.2985714285714263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59</v>
      </c>
      <c r="B39" s="259">
        <v>217.3</v>
      </c>
      <c r="C39" s="259">
        <v>3</v>
      </c>
      <c r="D39" s="259">
        <v>48.96</v>
      </c>
      <c r="E39" s="260">
        <v>1</v>
      </c>
      <c r="F39" s="260"/>
      <c r="G39" s="260"/>
      <c r="H39" s="260"/>
      <c r="I39" s="49">
        <f t="shared" si="1"/>
        <v>8.8225000000000016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67</v>
      </c>
      <c r="B40" s="259">
        <v>233.08</v>
      </c>
      <c r="C40" s="259">
        <v>4</v>
      </c>
      <c r="D40" s="259">
        <v>40.630000000000003</v>
      </c>
      <c r="E40" s="260">
        <v>1</v>
      </c>
      <c r="F40" s="260"/>
      <c r="G40" s="260"/>
      <c r="H40" s="260"/>
      <c r="I40" s="49">
        <f t="shared" si="1"/>
        <v>8.0925000000000011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75</v>
      </c>
      <c r="B41" s="259">
        <v>254.89</v>
      </c>
      <c r="C41" s="259">
        <v>5</v>
      </c>
      <c r="D41" s="259">
        <v>39.54</v>
      </c>
      <c r="E41" s="260">
        <v>1</v>
      </c>
      <c r="F41" s="260"/>
      <c r="G41" s="260"/>
      <c r="H41" s="260"/>
      <c r="I41" s="53">
        <f t="shared" si="1"/>
        <v>7.8049999999999962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84</v>
      </c>
      <c r="B42" s="259">
        <v>283.77</v>
      </c>
      <c r="C42" s="259">
        <v>6</v>
      </c>
      <c r="D42" s="259">
        <v>44.89</v>
      </c>
      <c r="E42" s="260">
        <v>1</v>
      </c>
      <c r="F42" s="260"/>
      <c r="G42" s="260"/>
      <c r="H42" s="260"/>
      <c r="I42" s="53">
        <f t="shared" si="1"/>
        <v>7.6022222222222204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93</v>
      </c>
      <c r="B43" s="259">
        <v>303.37</v>
      </c>
      <c r="C43" s="259">
        <v>7</v>
      </c>
      <c r="D43" s="259">
        <v>38.57</v>
      </c>
      <c r="E43" s="260">
        <v>1</v>
      </c>
      <c r="F43" s="260"/>
      <c r="G43" s="260"/>
      <c r="H43" s="260"/>
      <c r="I43" s="49">
        <f t="shared" si="1"/>
        <v>7.1655555555555566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103</v>
      </c>
      <c r="B44" s="259">
        <v>337.71</v>
      </c>
      <c r="C44" s="259">
        <v>8</v>
      </c>
      <c r="D44" s="259">
        <v>50.51</v>
      </c>
      <c r="E44" s="260">
        <v>1</v>
      </c>
      <c r="F44" s="260"/>
      <c r="G44" s="260"/>
      <c r="H44" s="260"/>
      <c r="I44" s="49">
        <f t="shared" si="1"/>
        <v>7.2909999999999968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113</v>
      </c>
      <c r="B45" s="261">
        <v>356.05</v>
      </c>
      <c r="C45" s="259">
        <v>9</v>
      </c>
      <c r="D45" s="261">
        <v>40.479999999999997</v>
      </c>
      <c r="E45" s="260">
        <v>1</v>
      </c>
      <c r="F45" s="260"/>
      <c r="G45" s="260"/>
      <c r="H45" s="260"/>
      <c r="I45" s="49">
        <f t="shared" si="1"/>
        <v>6.8850000000000025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125</v>
      </c>
      <c r="B46" s="262">
        <v>404.61</v>
      </c>
      <c r="C46" s="259">
        <v>10</v>
      </c>
      <c r="D46" s="262">
        <v>61.5</v>
      </c>
      <c r="E46" s="260">
        <v>1</v>
      </c>
      <c r="F46" s="260"/>
      <c r="G46" s="260"/>
      <c r="H46" s="260"/>
      <c r="I46" s="49">
        <f t="shared" si="1"/>
        <v>7.4200000000000017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137</v>
      </c>
      <c r="B47" s="261">
        <v>428.03</v>
      </c>
      <c r="C47" s="259">
        <v>11</v>
      </c>
      <c r="D47" s="261">
        <v>65.53</v>
      </c>
      <c r="E47" s="260">
        <v>1</v>
      </c>
      <c r="F47" s="260"/>
      <c r="G47" s="260"/>
      <c r="H47" s="260"/>
      <c r="I47" s="49">
        <f t="shared" si="1"/>
        <v>7.0766666666666636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149</v>
      </c>
      <c r="B48" s="261">
        <v>444.56</v>
      </c>
      <c r="C48" s="259">
        <v>12</v>
      </c>
      <c r="D48" s="261">
        <v>153.56</v>
      </c>
      <c r="E48" s="260">
        <v>1</v>
      </c>
      <c r="F48" s="260"/>
      <c r="G48" s="260"/>
      <c r="H48" s="260"/>
      <c r="I48" s="49">
        <f t="shared" si="1"/>
        <v>6.8383333333333338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153</v>
      </c>
      <c r="B49" s="261">
        <v>286.3</v>
      </c>
      <c r="C49" s="259">
        <v>13</v>
      </c>
      <c r="D49" s="261">
        <v>89.29</v>
      </c>
      <c r="E49" s="260">
        <v>1</v>
      </c>
      <c r="F49" s="260"/>
      <c r="G49" s="260"/>
      <c r="H49" s="260"/>
      <c r="I49" s="49">
        <f t="shared" si="1"/>
        <v>-1.1749999999999972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157</v>
      </c>
      <c r="B50" s="261">
        <v>194.52</v>
      </c>
      <c r="C50" s="261">
        <v>14</v>
      </c>
      <c r="D50" s="261">
        <v>57.95</v>
      </c>
      <c r="E50" s="260">
        <v>1</v>
      </c>
      <c r="F50" s="260"/>
      <c r="G50" s="260"/>
      <c r="H50" s="260"/>
      <c r="I50" s="49">
        <f t="shared" si="1"/>
        <v>-0.62249999999999517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161</v>
      </c>
      <c r="B51" s="261">
        <v>134.26</v>
      </c>
      <c r="C51" s="261">
        <v>15</v>
      </c>
      <c r="D51" s="261">
        <v>115.43</v>
      </c>
      <c r="E51" s="260">
        <v>1</v>
      </c>
      <c r="F51" s="260"/>
      <c r="G51" s="260"/>
      <c r="H51" s="260"/>
      <c r="I51" s="49">
        <f t="shared" si="1"/>
        <v>-0.57750000000000057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Tilleul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56.743589739999997</v>
      </c>
      <c r="C62" s="261"/>
      <c r="D62" s="261"/>
      <c r="E62" s="260"/>
      <c r="F62" s="260"/>
      <c r="G62" s="260"/>
      <c r="H62" s="260"/>
      <c r="I62" s="53">
        <f>IFERROR(B62/A62,"")</f>
        <v>1.8914529913333333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60</v>
      </c>
      <c r="B63" s="261">
        <v>201.62</v>
      </c>
      <c r="C63" s="261">
        <v>1</v>
      </c>
      <c r="D63" s="261">
        <v>69.84</v>
      </c>
      <c r="E63" s="260">
        <v>1</v>
      </c>
      <c r="F63" s="260"/>
      <c r="G63" s="260"/>
      <c r="H63" s="260"/>
      <c r="I63" s="49">
        <f>IF(A63&lt;&gt;0,(B63-(B62-D62))/(A63-A62),"")</f>
        <v>4.8292136753333335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69</v>
      </c>
      <c r="B64" s="261">
        <v>190.79</v>
      </c>
      <c r="C64" s="261">
        <v>2</v>
      </c>
      <c r="D64" s="261">
        <v>39.35</v>
      </c>
      <c r="E64" s="260">
        <v>1</v>
      </c>
      <c r="F64" s="260"/>
      <c r="G64" s="260"/>
      <c r="H64" s="260"/>
      <c r="I64" s="49">
        <f>IF(A64&lt;&gt;0,(B64-(B63-D63))/(A64-A63),"")</f>
        <v>6.5566666666666658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77</v>
      </c>
      <c r="B65" s="261">
        <v>202.52</v>
      </c>
      <c r="C65" s="261">
        <v>3</v>
      </c>
      <c r="D65" s="261">
        <v>31.56</v>
      </c>
      <c r="E65" s="260">
        <v>1</v>
      </c>
      <c r="F65" s="260"/>
      <c r="G65" s="260"/>
      <c r="H65" s="260"/>
      <c r="I65" s="49">
        <f>IF(A65&lt;&gt;0,(B65-(B64-D64))/(A65-A64),"")</f>
        <v>6.3850000000000016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86</v>
      </c>
      <c r="B66" s="261">
        <v>229.27</v>
      </c>
      <c r="C66" s="261">
        <v>4</v>
      </c>
      <c r="D66" s="261">
        <v>34.46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6.4788888888888891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95</v>
      </c>
      <c r="B67" s="261">
        <v>252.57</v>
      </c>
      <c r="C67" s="261">
        <v>5</v>
      </c>
      <c r="D67" s="261">
        <v>38.770000000000003</v>
      </c>
      <c r="E67" s="260">
        <v>1</v>
      </c>
      <c r="F67" s="260"/>
      <c r="G67" s="260"/>
      <c r="H67" s="260"/>
      <c r="I67" s="49">
        <f t="shared" si="2"/>
        <v>6.4177777777777765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104</v>
      </c>
      <c r="B68" s="261">
        <v>271.37</v>
      </c>
      <c r="C68" s="261">
        <v>6</v>
      </c>
      <c r="D68" s="261">
        <v>35.979999999999997</v>
      </c>
      <c r="E68" s="260">
        <v>1</v>
      </c>
      <c r="F68" s="260"/>
      <c r="G68" s="260"/>
      <c r="H68" s="260"/>
      <c r="I68" s="49">
        <f t="shared" si="2"/>
        <v>6.3966666666666692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113</v>
      </c>
      <c r="B69" s="261">
        <v>293.89999999999998</v>
      </c>
      <c r="C69" s="261">
        <v>7</v>
      </c>
      <c r="D69" s="261">
        <v>37.82</v>
      </c>
      <c r="E69" s="260">
        <v>1</v>
      </c>
      <c r="F69" s="260"/>
      <c r="G69" s="260"/>
      <c r="H69" s="260"/>
      <c r="I69" s="49">
        <f t="shared" si="2"/>
        <v>6.5011111111111068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122</v>
      </c>
      <c r="B70" s="261">
        <v>315.27</v>
      </c>
      <c r="C70" s="261">
        <v>8</v>
      </c>
      <c r="D70" s="261">
        <v>41.63</v>
      </c>
      <c r="E70" s="260">
        <v>1</v>
      </c>
      <c r="F70" s="260"/>
      <c r="G70" s="260"/>
      <c r="H70" s="260"/>
      <c r="I70" s="49">
        <f t="shared" si="2"/>
        <v>6.5766666666666662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132</v>
      </c>
      <c r="B71" s="261">
        <v>340.57</v>
      </c>
      <c r="C71" s="261">
        <v>9</v>
      </c>
      <c r="D71" s="261">
        <v>44.19</v>
      </c>
      <c r="E71" s="260">
        <v>1</v>
      </c>
      <c r="F71" s="260"/>
      <c r="G71" s="260"/>
      <c r="H71" s="260"/>
      <c r="I71" s="49">
        <f t="shared" si="2"/>
        <v>6.6930000000000005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144</v>
      </c>
      <c r="B72" s="261">
        <v>379.92</v>
      </c>
      <c r="C72" s="261">
        <v>10</v>
      </c>
      <c r="D72" s="261">
        <v>55.05</v>
      </c>
      <c r="E72" s="260">
        <v>1</v>
      </c>
      <c r="F72" s="260"/>
      <c r="G72" s="260"/>
      <c r="H72" s="260"/>
      <c r="I72" s="49">
        <f t="shared" si="2"/>
        <v>6.9616666666666687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156</v>
      </c>
      <c r="B73" s="261">
        <v>409.2</v>
      </c>
      <c r="C73" s="261">
        <v>11</v>
      </c>
      <c r="D73" s="261">
        <v>59.1</v>
      </c>
      <c r="E73" s="260">
        <v>1</v>
      </c>
      <c r="F73" s="260"/>
      <c r="G73" s="260"/>
      <c r="H73" s="260"/>
      <c r="I73" s="49">
        <f t="shared" si="2"/>
        <v>7.027499999999999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168</v>
      </c>
      <c r="B74" s="261">
        <v>435.65</v>
      </c>
      <c r="C74" s="261">
        <v>12</v>
      </c>
      <c r="D74" s="261">
        <v>63.91</v>
      </c>
      <c r="E74" s="260">
        <v>1</v>
      </c>
      <c r="F74" s="260"/>
      <c r="G74" s="260"/>
      <c r="H74" s="260"/>
      <c r="I74" s="49">
        <f t="shared" si="2"/>
        <v>7.1291666666666673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180</v>
      </c>
      <c r="B75" s="261">
        <v>456.54</v>
      </c>
      <c r="C75" s="261">
        <v>13</v>
      </c>
      <c r="D75" s="261">
        <v>154.91999999999999</v>
      </c>
      <c r="E75" s="260">
        <v>1</v>
      </c>
      <c r="F75" s="260"/>
      <c r="G75" s="260"/>
      <c r="H75" s="260"/>
      <c r="I75" s="49">
        <f t="shared" si="2"/>
        <v>7.0666666666666673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184</v>
      </c>
      <c r="B76" s="261">
        <v>300.14</v>
      </c>
      <c r="C76" s="261">
        <v>14</v>
      </c>
      <c r="D76" s="261">
        <v>88.94</v>
      </c>
      <c r="E76" s="260">
        <v>1</v>
      </c>
      <c r="F76" s="260"/>
      <c r="G76" s="260"/>
      <c r="H76" s="260"/>
      <c r="I76" s="49">
        <f t="shared" si="2"/>
        <v>-0.37000000000000455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188</v>
      </c>
      <c r="B77" s="257">
        <v>211.27</v>
      </c>
      <c r="C77" s="256">
        <v>15</v>
      </c>
      <c r="D77" s="256">
        <v>63.4</v>
      </c>
      <c r="E77" s="255">
        <v>1</v>
      </c>
      <c r="F77" s="255"/>
      <c r="G77" s="255"/>
      <c r="H77" s="255"/>
      <c r="I77" s="49">
        <f t="shared" si="2"/>
        <v>1.75000000000054E-2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191</v>
      </c>
      <c r="B78" s="257">
        <v>145.01</v>
      </c>
      <c r="C78" s="256">
        <v>16</v>
      </c>
      <c r="D78" s="256">
        <v>126.3</v>
      </c>
      <c r="E78" s="255">
        <v>1</v>
      </c>
      <c r="F78" s="255"/>
      <c r="G78" s="255"/>
      <c r="H78" s="255"/>
      <c r="I78" s="49">
        <f t="shared" si="2"/>
        <v>-0.95333333333333792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18</v>
      </c>
      <c r="C88" s="261"/>
      <c r="D88" s="261">
        <v>0</v>
      </c>
      <c r="E88" s="260"/>
      <c r="F88" s="260"/>
      <c r="G88" s="260"/>
      <c r="H88" s="260"/>
      <c r="I88" s="53">
        <f>IFERROR(B88/A88,"")</f>
        <v>1.8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47</v>
      </c>
      <c r="C89" s="261"/>
      <c r="D89" s="261">
        <v>0</v>
      </c>
      <c r="E89" s="260"/>
      <c r="F89" s="260"/>
      <c r="G89" s="260"/>
      <c r="H89" s="260"/>
      <c r="I89" s="53">
        <f t="shared" ref="I89:I107" si="3">IF(A89&lt;&gt;0,(B89-(B88-D88))/(A89-A88),"")</f>
        <v>5.8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87</v>
      </c>
      <c r="C90" s="261">
        <v>1</v>
      </c>
      <c r="D90" s="261">
        <v>29</v>
      </c>
      <c r="E90" s="260"/>
      <c r="F90" s="260"/>
      <c r="G90" s="260"/>
      <c r="H90" s="260">
        <v>1</v>
      </c>
      <c r="I90" s="53">
        <f t="shared" si="3"/>
        <v>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98</v>
      </c>
      <c r="C91" s="261">
        <v>2</v>
      </c>
      <c r="D91" s="261">
        <v>19</v>
      </c>
      <c r="E91" s="260"/>
      <c r="F91" s="260"/>
      <c r="G91" s="260"/>
      <c r="H91" s="260">
        <v>1</v>
      </c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119</v>
      </c>
      <c r="C92" s="261">
        <v>3</v>
      </c>
      <c r="D92" s="261">
        <v>20</v>
      </c>
      <c r="E92" s="260"/>
      <c r="F92" s="260"/>
      <c r="G92" s="260"/>
      <c r="H92" s="260">
        <v>1</v>
      </c>
      <c r="I92" s="53">
        <f t="shared" si="3"/>
        <v>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135</v>
      </c>
      <c r="C93" s="261">
        <v>4</v>
      </c>
      <c r="D93" s="261">
        <v>20</v>
      </c>
      <c r="E93" s="260">
        <v>1</v>
      </c>
      <c r="F93" s="260"/>
      <c r="G93" s="260"/>
      <c r="H93" s="260"/>
      <c r="I93" s="53">
        <f t="shared" si="3"/>
        <v>7.2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150</v>
      </c>
      <c r="C94" s="261">
        <v>5</v>
      </c>
      <c r="D94" s="261">
        <v>20</v>
      </c>
      <c r="E94" s="260">
        <v>1</v>
      </c>
      <c r="F94" s="260"/>
      <c r="G94" s="260"/>
      <c r="H94" s="260"/>
      <c r="I94" s="53">
        <f t="shared" si="3"/>
        <v>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162</v>
      </c>
      <c r="C95" s="261">
        <v>6</v>
      </c>
      <c r="D95" s="261">
        <v>19</v>
      </c>
      <c r="E95" s="260">
        <v>1</v>
      </c>
      <c r="F95" s="260"/>
      <c r="G95" s="260"/>
      <c r="H95" s="260"/>
      <c r="I95" s="53">
        <f t="shared" si="3"/>
        <v>6.4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173</v>
      </c>
      <c r="C96" s="261">
        <v>7</v>
      </c>
      <c r="D96" s="261">
        <v>18</v>
      </c>
      <c r="E96" s="260">
        <v>1</v>
      </c>
      <c r="F96" s="260"/>
      <c r="G96" s="260"/>
      <c r="H96" s="260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181</v>
      </c>
      <c r="C97" s="261">
        <v>8</v>
      </c>
      <c r="D97" s="261">
        <v>17</v>
      </c>
      <c r="E97" s="260">
        <v>1</v>
      </c>
      <c r="F97" s="260"/>
      <c r="G97" s="260"/>
      <c r="H97" s="260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189</v>
      </c>
      <c r="C98" s="261">
        <v>9</v>
      </c>
      <c r="D98" s="261">
        <v>16</v>
      </c>
      <c r="E98" s="260">
        <v>1</v>
      </c>
      <c r="F98" s="260"/>
      <c r="G98" s="260"/>
      <c r="H98" s="260"/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195</v>
      </c>
      <c r="C99" s="261">
        <v>10</v>
      </c>
      <c r="D99" s="261">
        <v>15</v>
      </c>
      <c r="E99" s="260">
        <v>1</v>
      </c>
      <c r="F99" s="260"/>
      <c r="G99" s="260"/>
      <c r="H99" s="260"/>
      <c r="I99" s="53">
        <f t="shared" si="3"/>
        <v>4.4000000000000004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201</v>
      </c>
      <c r="C100" s="261">
        <v>11</v>
      </c>
      <c r="D100" s="261">
        <v>14</v>
      </c>
      <c r="E100" s="260">
        <v>1</v>
      </c>
      <c r="F100" s="260"/>
      <c r="G100" s="260"/>
      <c r="H100" s="260"/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204</v>
      </c>
      <c r="C101" s="261">
        <v>12</v>
      </c>
      <c r="D101" s="261">
        <v>12</v>
      </c>
      <c r="E101" s="260">
        <v>1</v>
      </c>
      <c r="F101" s="260"/>
      <c r="G101" s="260"/>
      <c r="H101" s="260"/>
      <c r="I101" s="53">
        <f t="shared" si="3"/>
        <v>3.4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208</v>
      </c>
      <c r="C102" s="261">
        <v>13</v>
      </c>
      <c r="D102" s="261">
        <v>11</v>
      </c>
      <c r="E102" s="260">
        <v>1</v>
      </c>
      <c r="F102" s="260"/>
      <c r="G102" s="260"/>
      <c r="H102" s="260"/>
      <c r="I102" s="53">
        <f t="shared" si="3"/>
        <v>3.2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85</v>
      </c>
      <c r="B103" s="257">
        <v>211</v>
      </c>
      <c r="C103" s="256">
        <v>14</v>
      </c>
      <c r="D103" s="256">
        <v>10</v>
      </c>
      <c r="E103" s="255">
        <v>1</v>
      </c>
      <c r="F103" s="255"/>
      <c r="G103" s="255"/>
      <c r="H103" s="255"/>
      <c r="I103" s="53">
        <f t="shared" si="3"/>
        <v>2.8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90</v>
      </c>
      <c r="B104" s="257">
        <v>215</v>
      </c>
      <c r="C104" s="256">
        <v>15</v>
      </c>
      <c r="D104" s="256">
        <v>10</v>
      </c>
      <c r="E104" s="255">
        <v>1</v>
      </c>
      <c r="F104" s="255"/>
      <c r="G104" s="255"/>
      <c r="H104" s="255"/>
      <c r="I104" s="53">
        <f t="shared" si="3"/>
        <v>2.8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95</v>
      </c>
      <c r="B105" s="257">
        <v>219</v>
      </c>
      <c r="C105" s="256">
        <v>16</v>
      </c>
      <c r="D105" s="256">
        <v>11</v>
      </c>
      <c r="E105" s="255">
        <v>1</v>
      </c>
      <c r="F105" s="255"/>
      <c r="G105" s="255"/>
      <c r="H105" s="255"/>
      <c r="I105" s="53">
        <f t="shared" si="3"/>
        <v>2.8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100</v>
      </c>
      <c r="B106" s="257">
        <v>223</v>
      </c>
      <c r="C106" s="256">
        <v>17</v>
      </c>
      <c r="D106" s="256">
        <v>11</v>
      </c>
      <c r="E106" s="255">
        <v>1</v>
      </c>
      <c r="F106" s="255"/>
      <c r="G106" s="255"/>
      <c r="H106" s="255"/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plane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15</v>
      </c>
      <c r="B114" s="261">
        <v>37</v>
      </c>
      <c r="C114" s="261">
        <v>1</v>
      </c>
      <c r="D114" s="261">
        <v>15</v>
      </c>
      <c r="E114" s="260"/>
      <c r="F114" s="260"/>
      <c r="G114" s="260"/>
      <c r="H114" s="260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20</v>
      </c>
      <c r="B115" s="261">
        <v>80</v>
      </c>
      <c r="C115" s="261">
        <v>2</v>
      </c>
      <c r="D115" s="261">
        <v>28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25</v>
      </c>
      <c r="B116" s="261">
        <v>115</v>
      </c>
      <c r="C116" s="261">
        <v>3</v>
      </c>
      <c r="D116" s="261">
        <v>28</v>
      </c>
      <c r="E116" s="260"/>
      <c r="F116" s="260"/>
      <c r="G116" s="260"/>
      <c r="H116" s="260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146</v>
      </c>
      <c r="C117" s="261">
        <v>4</v>
      </c>
      <c r="D117" s="261">
        <v>28</v>
      </c>
      <c r="E117" s="260"/>
      <c r="F117" s="260"/>
      <c r="G117" s="260"/>
      <c r="H117" s="260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35</v>
      </c>
      <c r="B118" s="261">
        <v>172</v>
      </c>
      <c r="C118" s="261">
        <v>5</v>
      </c>
      <c r="D118" s="261">
        <v>28</v>
      </c>
      <c r="E118" s="260">
        <v>1</v>
      </c>
      <c r="F118" s="260"/>
      <c r="G118" s="260"/>
      <c r="H118" s="260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40</v>
      </c>
      <c r="B119" s="261">
        <v>192</v>
      </c>
      <c r="C119" s="261">
        <v>6</v>
      </c>
      <c r="D119" s="261">
        <v>28</v>
      </c>
      <c r="E119" s="260">
        <v>1</v>
      </c>
      <c r="F119" s="260"/>
      <c r="G119" s="260"/>
      <c r="H119" s="260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45</v>
      </c>
      <c r="B120" s="261">
        <v>205</v>
      </c>
      <c r="C120" s="261">
        <v>7</v>
      </c>
      <c r="D120" s="261">
        <v>22</v>
      </c>
      <c r="E120" s="260">
        <v>1</v>
      </c>
      <c r="F120" s="260"/>
      <c r="G120" s="260"/>
      <c r="H120" s="260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50</v>
      </c>
      <c r="B121" s="261">
        <v>219</v>
      </c>
      <c r="C121" s="261">
        <v>8</v>
      </c>
      <c r="D121" s="261">
        <v>17</v>
      </c>
      <c r="E121" s="260">
        <v>1</v>
      </c>
      <c r="F121" s="260"/>
      <c r="G121" s="260"/>
      <c r="H121" s="260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55</v>
      </c>
      <c r="B122" s="261">
        <v>232</v>
      </c>
      <c r="C122" s="261">
        <v>9</v>
      </c>
      <c r="D122" s="261">
        <v>13</v>
      </c>
      <c r="E122" s="260">
        <v>1</v>
      </c>
      <c r="F122" s="260"/>
      <c r="G122" s="260"/>
      <c r="H122" s="260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v>245</v>
      </c>
      <c r="C123" s="261">
        <v>10</v>
      </c>
      <c r="D123" s="261">
        <v>12</v>
      </c>
      <c r="E123" s="260">
        <v>1</v>
      </c>
      <c r="F123" s="260"/>
      <c r="G123" s="260"/>
      <c r="H123" s="260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v>255</v>
      </c>
      <c r="C124" s="261">
        <v>11</v>
      </c>
      <c r="D124" s="261">
        <v>11</v>
      </c>
      <c r="E124" s="260">
        <v>1</v>
      </c>
      <c r="F124" s="260"/>
      <c r="G124" s="260"/>
      <c r="H124" s="260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v>263</v>
      </c>
      <c r="C125" s="261">
        <v>12</v>
      </c>
      <c r="D125" s="261">
        <v>10</v>
      </c>
      <c r="E125" s="260">
        <v>1</v>
      </c>
      <c r="F125" s="260"/>
      <c r="G125" s="260"/>
      <c r="H125" s="260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v>270</v>
      </c>
      <c r="C126" s="261">
        <v>13</v>
      </c>
      <c r="D126" s="261">
        <v>9</v>
      </c>
      <c r="E126" s="260">
        <v>1</v>
      </c>
      <c r="F126" s="260"/>
      <c r="G126" s="260"/>
      <c r="H126" s="260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v>275</v>
      </c>
      <c r="C127" s="261">
        <v>14</v>
      </c>
      <c r="D127" s="261">
        <v>8</v>
      </c>
      <c r="E127" s="260">
        <v>1</v>
      </c>
      <c r="F127" s="260"/>
      <c r="G127" s="260"/>
      <c r="H127" s="260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Hêtre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32</v>
      </c>
      <c r="C140" s="50"/>
      <c r="D140" s="60">
        <v>0</v>
      </c>
      <c r="E140" s="51"/>
      <c r="F140" s="51"/>
      <c r="G140" s="51"/>
      <c r="H140" s="51"/>
      <c r="I140" s="57">
        <f>IFERROR(B140/A140,"")</f>
        <v>1.6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25</v>
      </c>
      <c r="B141" s="60">
        <v>76</v>
      </c>
      <c r="C141" s="50">
        <v>1</v>
      </c>
      <c r="D141" s="60">
        <v>7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8.8000000000000007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116</v>
      </c>
      <c r="C142" s="50">
        <v>2</v>
      </c>
      <c r="D142" s="60">
        <v>28</v>
      </c>
      <c r="E142" s="51"/>
      <c r="F142" s="51"/>
      <c r="G142" s="51"/>
      <c r="H142" s="51">
        <v>1</v>
      </c>
      <c r="I142" s="57">
        <f t="shared" si="5"/>
        <v>9.4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35</v>
      </c>
      <c r="B143" s="60">
        <v>139</v>
      </c>
      <c r="C143" s="50">
        <v>3</v>
      </c>
      <c r="D143" s="60">
        <v>28</v>
      </c>
      <c r="E143" s="51">
        <v>1</v>
      </c>
      <c r="F143" s="51"/>
      <c r="G143" s="51"/>
      <c r="H143" s="51"/>
      <c r="I143" s="57">
        <f t="shared" si="5"/>
        <v>10.199999999999999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40</v>
      </c>
      <c r="B144" s="60">
        <v>163</v>
      </c>
      <c r="C144" s="50">
        <v>4</v>
      </c>
      <c r="D144" s="60">
        <v>28</v>
      </c>
      <c r="E144" s="51">
        <v>1</v>
      </c>
      <c r="F144" s="51"/>
      <c r="G144" s="51"/>
      <c r="H144" s="51"/>
      <c r="I144" s="57">
        <f t="shared" si="5"/>
        <v>10.4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45</v>
      </c>
      <c r="B145" s="60">
        <v>190</v>
      </c>
      <c r="C145" s="50">
        <v>5</v>
      </c>
      <c r="D145" s="60">
        <v>28</v>
      </c>
      <c r="E145" s="51">
        <v>1</v>
      </c>
      <c r="F145" s="51"/>
      <c r="G145" s="51"/>
      <c r="H145" s="51"/>
      <c r="I145" s="57">
        <f t="shared" si="5"/>
        <v>11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50</v>
      </c>
      <c r="B146" s="60">
        <v>217</v>
      </c>
      <c r="C146" s="50">
        <v>6</v>
      </c>
      <c r="D146" s="60">
        <v>28</v>
      </c>
      <c r="E146" s="51">
        <v>1</v>
      </c>
      <c r="F146" s="51"/>
      <c r="G146" s="51"/>
      <c r="H146" s="51"/>
      <c r="I146" s="57">
        <f t="shared" si="5"/>
        <v>11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55</v>
      </c>
      <c r="B147" s="60">
        <v>244</v>
      </c>
      <c r="C147" s="50">
        <v>7</v>
      </c>
      <c r="D147" s="60">
        <v>28</v>
      </c>
      <c r="E147" s="51">
        <v>1</v>
      </c>
      <c r="F147" s="51"/>
      <c r="G147" s="51"/>
      <c r="H147" s="51"/>
      <c r="I147" s="57">
        <f>IF(A147&lt;&gt;0,(B147-(B146-D146))/(A147-A146),"")</f>
        <v>11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60</v>
      </c>
      <c r="B148" s="60">
        <v>270</v>
      </c>
      <c r="C148" s="50">
        <v>8</v>
      </c>
      <c r="D148" s="60">
        <v>28</v>
      </c>
      <c r="E148" s="51">
        <v>1</v>
      </c>
      <c r="F148" s="51"/>
      <c r="G148" s="51"/>
      <c r="H148" s="51"/>
      <c r="I148" s="57">
        <f t="shared" si="5"/>
        <v>10.8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65</v>
      </c>
      <c r="B149" s="60">
        <v>294</v>
      </c>
      <c r="C149" s="50">
        <v>9</v>
      </c>
      <c r="D149" s="60">
        <v>28</v>
      </c>
      <c r="E149" s="51">
        <v>1</v>
      </c>
      <c r="F149" s="51"/>
      <c r="G149" s="51"/>
      <c r="H149" s="51"/>
      <c r="I149" s="57">
        <f t="shared" si="5"/>
        <v>10.4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70</v>
      </c>
      <c r="B150" s="60">
        <v>316</v>
      </c>
      <c r="C150" s="50">
        <v>10</v>
      </c>
      <c r="D150" s="60">
        <v>28</v>
      </c>
      <c r="E150" s="51">
        <v>1</v>
      </c>
      <c r="F150" s="51"/>
      <c r="G150" s="51"/>
      <c r="H150" s="51"/>
      <c r="I150" s="57">
        <f t="shared" si="5"/>
        <v>10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75</v>
      </c>
      <c r="B151" s="60">
        <v>335</v>
      </c>
      <c r="C151" s="50">
        <v>11</v>
      </c>
      <c r="D151" s="60">
        <v>28</v>
      </c>
      <c r="E151" s="51">
        <v>1</v>
      </c>
      <c r="F151" s="51"/>
      <c r="G151" s="51"/>
      <c r="H151" s="51"/>
      <c r="I151" s="57">
        <f t="shared" si="5"/>
        <v>9.4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80</v>
      </c>
      <c r="B152" s="60">
        <v>351</v>
      </c>
      <c r="C152" s="50">
        <v>12</v>
      </c>
      <c r="D152" s="60">
        <v>28</v>
      </c>
      <c r="E152" s="54">
        <v>1</v>
      </c>
      <c r="F152" s="54"/>
      <c r="G152" s="54"/>
      <c r="H152" s="54"/>
      <c r="I152" s="57">
        <f t="shared" si="5"/>
        <v>8.8000000000000007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85</v>
      </c>
      <c r="B153" s="60">
        <v>365</v>
      </c>
      <c r="C153" s="50">
        <v>13</v>
      </c>
      <c r="D153" s="60">
        <v>27</v>
      </c>
      <c r="E153" s="54">
        <v>1</v>
      </c>
      <c r="F153" s="54"/>
      <c r="G153" s="54"/>
      <c r="H153" s="54"/>
      <c r="I153" s="57">
        <f t="shared" si="5"/>
        <v>8.4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90</v>
      </c>
      <c r="B154" s="56">
        <v>377</v>
      </c>
      <c r="C154" s="50">
        <v>14</v>
      </c>
      <c r="D154" s="50">
        <v>26</v>
      </c>
      <c r="E154" s="54">
        <v>1</v>
      </c>
      <c r="F154" s="54"/>
      <c r="G154" s="54"/>
      <c r="H154" s="54"/>
      <c r="I154" s="57">
        <f t="shared" si="5"/>
        <v>7.8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95</v>
      </c>
      <c r="B155" s="56">
        <v>389</v>
      </c>
      <c r="C155" s="50">
        <v>15</v>
      </c>
      <c r="D155" s="50">
        <v>25</v>
      </c>
      <c r="E155" s="54">
        <v>1</v>
      </c>
      <c r="F155" s="54"/>
      <c r="G155" s="54"/>
      <c r="H155" s="54"/>
      <c r="I155" s="57">
        <f t="shared" si="5"/>
        <v>7.6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100</v>
      </c>
      <c r="B156" s="56">
        <v>400</v>
      </c>
      <c r="C156" s="50">
        <v>16</v>
      </c>
      <c r="D156" s="50">
        <v>24</v>
      </c>
      <c r="E156" s="54">
        <v>1</v>
      </c>
      <c r="F156" s="54"/>
      <c r="G156" s="54"/>
      <c r="H156" s="54"/>
      <c r="I156" s="57">
        <f t="shared" si="5"/>
        <v>7.2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105</v>
      </c>
      <c r="B157" s="56">
        <v>409</v>
      </c>
      <c r="C157" s="50">
        <v>17</v>
      </c>
      <c r="D157" s="50">
        <v>23</v>
      </c>
      <c r="E157" s="54">
        <v>1</v>
      </c>
      <c r="F157" s="54"/>
      <c r="G157" s="54"/>
      <c r="H157" s="54"/>
      <c r="I157" s="57">
        <f t="shared" si="5"/>
        <v>6.6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110</v>
      </c>
      <c r="B158" s="56">
        <v>420</v>
      </c>
      <c r="C158" s="50">
        <v>18</v>
      </c>
      <c r="D158" s="50">
        <v>22</v>
      </c>
      <c r="E158" s="54">
        <v>1</v>
      </c>
      <c r="F158" s="54"/>
      <c r="G158" s="54"/>
      <c r="H158" s="54"/>
      <c r="I158" s="57">
        <f t="shared" si="5"/>
        <v>6.8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115</v>
      </c>
      <c r="B159" s="56">
        <v>426</v>
      </c>
      <c r="C159" s="50">
        <v>19</v>
      </c>
      <c r="D159" s="58">
        <v>22</v>
      </c>
      <c r="E159" s="54">
        <v>1</v>
      </c>
      <c r="F159" s="54"/>
      <c r="G159" s="54"/>
      <c r="H159" s="54"/>
      <c r="I159" s="57">
        <f t="shared" si="5"/>
        <v>5.6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Merisier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25.641025639999999</v>
      </c>
      <c r="C166" s="60">
        <v>1</v>
      </c>
      <c r="D166" s="60">
        <v>1.923076923</v>
      </c>
      <c r="E166" s="51"/>
      <c r="F166" s="51"/>
      <c r="G166" s="51"/>
      <c r="H166" s="51">
        <v>1</v>
      </c>
      <c r="I166" s="49">
        <f>IFERROR(B166/A166,"")</f>
        <v>1.7094017093333334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54.487179490000003</v>
      </c>
      <c r="C167" s="60">
        <v>2</v>
      </c>
      <c r="D167" s="60">
        <v>16.025641029999999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6.153846154600001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72.435897440000005</v>
      </c>
      <c r="C168" s="60">
        <v>3</v>
      </c>
      <c r="D168" s="60">
        <v>17.30769231</v>
      </c>
      <c r="E168" s="51"/>
      <c r="F168" s="51"/>
      <c r="G168" s="51"/>
      <c r="H168" s="51">
        <v>1</v>
      </c>
      <c r="I168" s="49">
        <f t="shared" si="6"/>
        <v>6.7948717960000007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31</v>
      </c>
      <c r="B169" s="60">
        <v>99.358974360000005</v>
      </c>
      <c r="C169" s="60">
        <v>4</v>
      </c>
      <c r="D169" s="60">
        <v>23.07692308</v>
      </c>
      <c r="E169" s="51">
        <v>1</v>
      </c>
      <c r="F169" s="51"/>
      <c r="G169" s="51"/>
      <c r="H169" s="51"/>
      <c r="I169" s="49">
        <f t="shared" si="6"/>
        <v>7.3717948716666664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37</v>
      </c>
      <c r="B170" s="60">
        <v>120.5128205</v>
      </c>
      <c r="C170" s="60">
        <v>5</v>
      </c>
      <c r="D170" s="60">
        <v>23.07692308</v>
      </c>
      <c r="E170" s="51">
        <v>1</v>
      </c>
      <c r="F170" s="51"/>
      <c r="G170" s="51"/>
      <c r="H170" s="51"/>
      <c r="I170" s="49">
        <f t="shared" si="6"/>
        <v>7.3717948699999996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44</v>
      </c>
      <c r="B171" s="60">
        <v>147.43589739999999</v>
      </c>
      <c r="C171" s="60">
        <v>6</v>
      </c>
      <c r="D171" s="60">
        <v>27.564102559999998</v>
      </c>
      <c r="E171" s="51">
        <v>1</v>
      </c>
      <c r="F171" s="51"/>
      <c r="G171" s="51"/>
      <c r="H171" s="51"/>
      <c r="I171" s="49">
        <f t="shared" si="6"/>
        <v>7.1428571399999976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52</v>
      </c>
      <c r="B172" s="60">
        <v>173.07692309999999</v>
      </c>
      <c r="C172" s="60">
        <v>7</v>
      </c>
      <c r="D172" s="60">
        <v>30.76923077</v>
      </c>
      <c r="E172" s="51">
        <v>1</v>
      </c>
      <c r="F172" s="51"/>
      <c r="G172" s="51"/>
      <c r="H172" s="51"/>
      <c r="I172" s="49">
        <f t="shared" si="6"/>
        <v>6.6506410324999994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60</v>
      </c>
      <c r="B173" s="50">
        <v>190.3846154</v>
      </c>
      <c r="C173" s="50">
        <v>8</v>
      </c>
      <c r="D173" s="50">
        <v>30.128205130000001</v>
      </c>
      <c r="E173" s="51">
        <v>1</v>
      </c>
      <c r="F173" s="51"/>
      <c r="G173" s="51"/>
      <c r="H173" s="51"/>
      <c r="I173" s="49">
        <f t="shared" si="6"/>
        <v>6.0096153837500026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69</v>
      </c>
      <c r="B174" s="50">
        <v>210.2564103</v>
      </c>
      <c r="C174" s="50"/>
      <c r="D174" s="50"/>
      <c r="E174" s="51"/>
      <c r="F174" s="51"/>
      <c r="G174" s="51"/>
      <c r="H174" s="51"/>
      <c r="I174" s="49">
        <f t="shared" si="6"/>
        <v>5.5555555588888881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Erable champêtre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20</v>
      </c>
      <c r="B192" s="60">
        <v>18</v>
      </c>
      <c r="C192" s="60">
        <v>1</v>
      </c>
      <c r="D192" s="60">
        <v>3</v>
      </c>
      <c r="E192" s="51"/>
      <c r="F192" s="51"/>
      <c r="G192" s="51"/>
      <c r="H192" s="51">
        <v>1</v>
      </c>
      <c r="I192" s="49">
        <f>IFERROR(B192/A192,"")</f>
        <v>0.9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25</v>
      </c>
      <c r="B193" s="60">
        <v>53</v>
      </c>
      <c r="C193" s="60">
        <v>2</v>
      </c>
      <c r="D193" s="60">
        <v>14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7.6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30</v>
      </c>
      <c r="B194" s="60">
        <v>76</v>
      </c>
      <c r="C194" s="60">
        <v>3</v>
      </c>
      <c r="D194" s="60">
        <v>14</v>
      </c>
      <c r="E194" s="51"/>
      <c r="F194" s="51"/>
      <c r="G194" s="51"/>
      <c r="H194" s="51">
        <v>1</v>
      </c>
      <c r="I194" s="49">
        <f t="shared" si="7"/>
        <v>7.4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35</v>
      </c>
      <c r="B195" s="60">
        <v>95</v>
      </c>
      <c r="C195" s="60">
        <v>4</v>
      </c>
      <c r="D195" s="60">
        <v>14</v>
      </c>
      <c r="E195" s="51">
        <v>1</v>
      </c>
      <c r="F195" s="51"/>
      <c r="G195" s="51"/>
      <c r="H195" s="51"/>
      <c r="I195" s="49">
        <f t="shared" si="7"/>
        <v>6.6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40</v>
      </c>
      <c r="B196" s="60">
        <v>109</v>
      </c>
      <c r="C196" s="60">
        <v>5</v>
      </c>
      <c r="D196" s="60">
        <v>14</v>
      </c>
      <c r="E196" s="51">
        <v>1</v>
      </c>
      <c r="F196" s="51"/>
      <c r="G196" s="51"/>
      <c r="H196" s="51"/>
      <c r="I196" s="49">
        <f t="shared" si="7"/>
        <v>5.6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45</v>
      </c>
      <c r="B197" s="60">
        <v>120</v>
      </c>
      <c r="C197" s="60">
        <v>6</v>
      </c>
      <c r="D197" s="60">
        <v>14</v>
      </c>
      <c r="E197" s="51">
        <v>1</v>
      </c>
      <c r="F197" s="51"/>
      <c r="G197" s="51"/>
      <c r="H197" s="51"/>
      <c r="I197" s="49">
        <f t="shared" si="7"/>
        <v>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50</v>
      </c>
      <c r="B198" s="60">
        <v>126</v>
      </c>
      <c r="C198" s="60">
        <v>7</v>
      </c>
      <c r="D198" s="60">
        <v>11</v>
      </c>
      <c r="E198" s="51">
        <v>1</v>
      </c>
      <c r="F198" s="51"/>
      <c r="G198" s="51"/>
      <c r="H198" s="51"/>
      <c r="I198" s="49">
        <f t="shared" si="7"/>
        <v>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55</v>
      </c>
      <c r="B199" s="50">
        <v>134</v>
      </c>
      <c r="C199" s="50">
        <v>8</v>
      </c>
      <c r="D199" s="50">
        <v>9</v>
      </c>
      <c r="E199" s="51">
        <v>1</v>
      </c>
      <c r="F199" s="51"/>
      <c r="G199" s="51"/>
      <c r="H199" s="51"/>
      <c r="I199" s="49">
        <f t="shared" si="7"/>
        <v>3.8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60</v>
      </c>
      <c r="B200" s="50">
        <v>140</v>
      </c>
      <c r="C200" s="50">
        <v>9</v>
      </c>
      <c r="D200" s="50">
        <v>7</v>
      </c>
      <c r="E200" s="51">
        <v>1</v>
      </c>
      <c r="F200" s="51"/>
      <c r="G200" s="51"/>
      <c r="H200" s="51"/>
      <c r="I200" s="49">
        <f t="shared" si="7"/>
        <v>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65</v>
      </c>
      <c r="B201" s="50">
        <v>146</v>
      </c>
      <c r="C201" s="50">
        <v>10</v>
      </c>
      <c r="D201" s="50">
        <v>6</v>
      </c>
      <c r="E201" s="51">
        <v>1</v>
      </c>
      <c r="F201" s="51"/>
      <c r="G201" s="51"/>
      <c r="H201" s="51"/>
      <c r="I201" s="49">
        <f t="shared" si="7"/>
        <v>2.6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70</v>
      </c>
      <c r="B202" s="50">
        <v>151</v>
      </c>
      <c r="C202" s="50">
        <v>11</v>
      </c>
      <c r="D202" s="50">
        <v>5</v>
      </c>
      <c r="E202" s="51">
        <v>1</v>
      </c>
      <c r="F202" s="51"/>
      <c r="G202" s="51"/>
      <c r="H202" s="51"/>
      <c r="I202" s="49">
        <f t="shared" si="7"/>
        <v>2.2000000000000002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75</v>
      </c>
      <c r="B203" s="50">
        <v>155</v>
      </c>
      <c r="C203" s="50">
        <v>12</v>
      </c>
      <c r="D203" s="50">
        <v>4</v>
      </c>
      <c r="E203" s="51">
        <v>1</v>
      </c>
      <c r="F203" s="51"/>
      <c r="G203" s="51"/>
      <c r="H203" s="51"/>
      <c r="I203" s="49">
        <f t="shared" si="7"/>
        <v>1.8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80</v>
      </c>
      <c r="B204" s="50">
        <v>159</v>
      </c>
      <c r="C204" s="50">
        <v>13</v>
      </c>
      <c r="D204" s="50">
        <v>3</v>
      </c>
      <c r="E204" s="51">
        <v>1</v>
      </c>
      <c r="F204" s="51"/>
      <c r="G204" s="51"/>
      <c r="H204" s="51"/>
      <c r="I204" s="49">
        <f t="shared" si="7"/>
        <v>1.6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Aulne à feuilles en cœur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9</v>
      </c>
      <c r="C218" s="50">
        <v>1</v>
      </c>
      <c r="D218" s="60">
        <v>1</v>
      </c>
      <c r="E218" s="63"/>
      <c r="F218" s="63"/>
      <c r="G218" s="63"/>
      <c r="H218" s="63">
        <v>1</v>
      </c>
      <c r="I218" s="53">
        <f>IFERROR(B218/A218,"")</f>
        <v>0.9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15</v>
      </c>
      <c r="B219" s="60">
        <v>36</v>
      </c>
      <c r="C219" s="50">
        <v>2</v>
      </c>
      <c r="D219" s="60">
        <v>3</v>
      </c>
      <c r="E219" s="63"/>
      <c r="F219" s="63"/>
      <c r="G219" s="63"/>
      <c r="H219" s="63">
        <v>1</v>
      </c>
      <c r="I219" s="53">
        <f t="shared" ref="I219:I237" si="8">IF(A219&lt;&gt;0,(B219-(B218-D218))/(A219-A218),"")</f>
        <v>5.6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20</v>
      </c>
      <c r="B220" s="60">
        <v>84</v>
      </c>
      <c r="C220" s="50">
        <v>3</v>
      </c>
      <c r="D220" s="60">
        <v>9</v>
      </c>
      <c r="E220" s="63"/>
      <c r="F220" s="63"/>
      <c r="G220" s="63"/>
      <c r="H220" s="63">
        <v>1</v>
      </c>
      <c r="I220" s="53">
        <f t="shared" si="8"/>
        <v>10.199999999999999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25</v>
      </c>
      <c r="B221" s="55">
        <v>116</v>
      </c>
      <c r="C221" s="55">
        <v>4</v>
      </c>
      <c r="D221" s="55">
        <v>18</v>
      </c>
      <c r="E221" s="63"/>
      <c r="F221" s="63"/>
      <c r="G221" s="63"/>
      <c r="H221" s="63">
        <v>1</v>
      </c>
      <c r="I221" s="53">
        <f t="shared" si="8"/>
        <v>8.1999999999999993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30</v>
      </c>
      <c r="B222" s="55">
        <v>137</v>
      </c>
      <c r="C222" s="55">
        <v>5</v>
      </c>
      <c r="D222" s="55">
        <v>20</v>
      </c>
      <c r="E222" s="63"/>
      <c r="F222" s="63"/>
      <c r="G222" s="63"/>
      <c r="H222" s="63">
        <v>1</v>
      </c>
      <c r="I222" s="53">
        <f t="shared" si="8"/>
        <v>7.8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35</v>
      </c>
      <c r="B223" s="55">
        <v>153</v>
      </c>
      <c r="C223" s="55">
        <v>6</v>
      </c>
      <c r="D223" s="55">
        <v>21</v>
      </c>
      <c r="E223" s="63">
        <v>1</v>
      </c>
      <c r="F223" s="63"/>
      <c r="G223" s="63"/>
      <c r="H223" s="63"/>
      <c r="I223" s="53">
        <f t="shared" si="8"/>
        <v>7.2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40</v>
      </c>
      <c r="B224" s="55">
        <v>167</v>
      </c>
      <c r="C224" s="55">
        <v>7</v>
      </c>
      <c r="D224" s="55">
        <v>22</v>
      </c>
      <c r="E224" s="63">
        <v>1</v>
      </c>
      <c r="F224" s="63"/>
      <c r="G224" s="63"/>
      <c r="H224" s="63"/>
      <c r="I224" s="53">
        <f t="shared" si="8"/>
        <v>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45</v>
      </c>
      <c r="B225" s="55">
        <v>177</v>
      </c>
      <c r="C225" s="55">
        <v>8</v>
      </c>
      <c r="D225" s="55">
        <v>22</v>
      </c>
      <c r="E225" s="63">
        <v>1</v>
      </c>
      <c r="F225" s="63"/>
      <c r="G225" s="63"/>
      <c r="H225" s="63"/>
      <c r="I225" s="53">
        <f t="shared" si="8"/>
        <v>6.4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50</v>
      </c>
      <c r="B226" s="55">
        <v>184</v>
      </c>
      <c r="C226" s="55">
        <v>9</v>
      </c>
      <c r="D226" s="55">
        <v>21</v>
      </c>
      <c r="E226" s="63">
        <v>1</v>
      </c>
      <c r="F226" s="63"/>
      <c r="G226" s="63"/>
      <c r="H226" s="63"/>
      <c r="I226" s="53">
        <f t="shared" si="8"/>
        <v>5.8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55</v>
      </c>
      <c r="B227" s="55">
        <v>191</v>
      </c>
      <c r="C227" s="55">
        <v>10</v>
      </c>
      <c r="D227" s="55">
        <v>20</v>
      </c>
      <c r="E227" s="63">
        <v>1</v>
      </c>
      <c r="F227" s="63"/>
      <c r="G227" s="63"/>
      <c r="H227" s="63"/>
      <c r="I227" s="53">
        <f t="shared" si="8"/>
        <v>5.6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60</v>
      </c>
      <c r="B228" s="55">
        <v>196</v>
      </c>
      <c r="C228" s="55">
        <v>11</v>
      </c>
      <c r="D228" s="55">
        <v>19</v>
      </c>
      <c r="E228" s="63">
        <v>1</v>
      </c>
      <c r="F228" s="63"/>
      <c r="G228" s="63"/>
      <c r="H228" s="63"/>
      <c r="I228" s="53">
        <f t="shared" si="8"/>
        <v>5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65</v>
      </c>
      <c r="B229" s="55">
        <v>201</v>
      </c>
      <c r="C229" s="55">
        <v>12</v>
      </c>
      <c r="D229" s="55">
        <v>18</v>
      </c>
      <c r="E229" s="63">
        <v>1</v>
      </c>
      <c r="F229" s="63"/>
      <c r="G229" s="63"/>
      <c r="H229" s="63"/>
      <c r="I229" s="53">
        <f t="shared" si="8"/>
        <v>4.8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70</v>
      </c>
      <c r="B230" s="55">
        <v>205</v>
      </c>
      <c r="C230" s="55">
        <v>13</v>
      </c>
      <c r="D230" s="55">
        <v>17</v>
      </c>
      <c r="E230" s="64">
        <v>1</v>
      </c>
      <c r="F230" s="64"/>
      <c r="G230" s="64"/>
      <c r="H230" s="64"/>
      <c r="I230" s="53">
        <f t="shared" si="8"/>
        <v>4.4000000000000004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75</v>
      </c>
      <c r="B231" s="60">
        <v>208</v>
      </c>
      <c r="C231" s="86">
        <v>14</v>
      </c>
      <c r="D231" s="60">
        <v>16</v>
      </c>
      <c r="E231" s="54">
        <v>1</v>
      </c>
      <c r="F231" s="54"/>
      <c r="G231" s="54"/>
      <c r="H231" s="54"/>
      <c r="I231" s="53">
        <f t="shared" si="8"/>
        <v>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80</v>
      </c>
      <c r="B232" s="50">
        <v>211</v>
      </c>
      <c r="C232" s="50">
        <v>15</v>
      </c>
      <c r="D232" s="50">
        <v>15</v>
      </c>
      <c r="E232" s="54">
        <v>1</v>
      </c>
      <c r="F232" s="54"/>
      <c r="G232" s="54"/>
      <c r="H232" s="54"/>
      <c r="I232" s="53">
        <f t="shared" si="8"/>
        <v>3.8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85</v>
      </c>
      <c r="B233" s="50">
        <v>214</v>
      </c>
      <c r="C233" s="50">
        <v>16</v>
      </c>
      <c r="D233" s="50">
        <v>14</v>
      </c>
      <c r="E233" s="54">
        <v>1</v>
      </c>
      <c r="F233" s="54"/>
      <c r="G233" s="54"/>
      <c r="H233" s="54"/>
      <c r="I233" s="53">
        <f t="shared" si="8"/>
        <v>3.6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>
        <v>90</v>
      </c>
      <c r="B234" s="50">
        <v>217</v>
      </c>
      <c r="C234" s="50">
        <v>17</v>
      </c>
      <c r="D234" s="50">
        <v>13</v>
      </c>
      <c r="E234" s="54">
        <v>1</v>
      </c>
      <c r="F234" s="54"/>
      <c r="G234" s="54"/>
      <c r="H234" s="54"/>
      <c r="I234" s="53">
        <f t="shared" si="8"/>
        <v>3.4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Charme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30</v>
      </c>
      <c r="B244" s="60">
        <v>87.705128209999998</v>
      </c>
      <c r="C244" s="60"/>
      <c r="D244" s="60"/>
      <c r="E244" s="51"/>
      <c r="F244" s="51"/>
      <c r="G244" s="51"/>
      <c r="H244" s="63"/>
      <c r="I244" s="53">
        <f>IFERROR(B244/A244,"")</f>
        <v>2.9235042736666665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44</v>
      </c>
      <c r="B245" s="60">
        <v>201.77</v>
      </c>
      <c r="C245" s="60">
        <v>1</v>
      </c>
      <c r="D245" s="60">
        <v>74.010000000000005</v>
      </c>
      <c r="E245" s="63">
        <v>1</v>
      </c>
      <c r="F245" s="63"/>
      <c r="G245" s="63"/>
      <c r="H245" s="63"/>
      <c r="I245" s="53">
        <f>IF(A245&lt;&gt;0,(B245-(B244-D244))/(A245-A244),"")</f>
        <v>8.147490842142858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51</v>
      </c>
      <c r="B246" s="60">
        <v>192.85</v>
      </c>
      <c r="C246" s="60">
        <v>2</v>
      </c>
      <c r="D246" s="60">
        <v>46.13</v>
      </c>
      <c r="E246" s="63">
        <v>1</v>
      </c>
      <c r="F246" s="63"/>
      <c r="G246" s="63"/>
      <c r="H246" s="63"/>
      <c r="I246" s="53">
        <f>IF(A246&lt;&gt;0,(B246-(B245-D245))/(A246-A245),"")</f>
        <v>9.2985714285714263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59</v>
      </c>
      <c r="B247" s="60">
        <v>217.3</v>
      </c>
      <c r="C247" s="60">
        <v>3</v>
      </c>
      <c r="D247" s="60">
        <v>48.96</v>
      </c>
      <c r="E247" s="63">
        <v>1</v>
      </c>
      <c r="F247" s="63"/>
      <c r="G247" s="63"/>
      <c r="H247" s="63"/>
      <c r="I247" s="53">
        <f t="shared" ref="I247:I263" si="9">IF(A247&lt;&gt;0,(B247-(B246-D246))/(A247-A246),"")</f>
        <v>8.8225000000000016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67</v>
      </c>
      <c r="B248" s="60">
        <v>233.08</v>
      </c>
      <c r="C248" s="60">
        <v>4</v>
      </c>
      <c r="D248" s="60">
        <v>40.630000000000003</v>
      </c>
      <c r="E248" s="63">
        <v>1</v>
      </c>
      <c r="F248" s="63"/>
      <c r="G248" s="63"/>
      <c r="H248" s="63"/>
      <c r="I248" s="53">
        <f t="shared" si="9"/>
        <v>8.0925000000000011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75</v>
      </c>
      <c r="B249" s="60">
        <v>254.89</v>
      </c>
      <c r="C249" s="60">
        <v>5</v>
      </c>
      <c r="D249" s="60">
        <v>39.54</v>
      </c>
      <c r="E249" s="63">
        <v>1</v>
      </c>
      <c r="F249" s="63"/>
      <c r="G249" s="63"/>
      <c r="H249" s="63"/>
      <c r="I249" s="53">
        <f t="shared" si="9"/>
        <v>7.8049999999999962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84</v>
      </c>
      <c r="B250" s="60">
        <v>283.77</v>
      </c>
      <c r="C250" s="60">
        <v>6</v>
      </c>
      <c r="D250" s="60">
        <v>44.89</v>
      </c>
      <c r="E250" s="63">
        <v>1</v>
      </c>
      <c r="F250" s="63"/>
      <c r="G250" s="63"/>
      <c r="H250" s="63"/>
      <c r="I250" s="53">
        <f t="shared" si="9"/>
        <v>7.6022222222222204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93</v>
      </c>
      <c r="B251" s="55">
        <v>303.37</v>
      </c>
      <c r="C251" s="55">
        <v>7</v>
      </c>
      <c r="D251" s="55">
        <v>38.57</v>
      </c>
      <c r="E251" s="63">
        <v>1</v>
      </c>
      <c r="F251" s="63"/>
      <c r="G251" s="63"/>
      <c r="H251" s="63"/>
      <c r="I251" s="53">
        <f t="shared" si="9"/>
        <v>7.1655555555555566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103</v>
      </c>
      <c r="B252" s="55">
        <v>337.71</v>
      </c>
      <c r="C252" s="55">
        <v>8</v>
      </c>
      <c r="D252" s="55">
        <v>50.51</v>
      </c>
      <c r="E252" s="63">
        <v>1</v>
      </c>
      <c r="F252" s="63"/>
      <c r="G252" s="63"/>
      <c r="H252" s="63"/>
      <c r="I252" s="53">
        <f t="shared" si="9"/>
        <v>7.2909999999999968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113</v>
      </c>
      <c r="B253" s="55">
        <v>356.05</v>
      </c>
      <c r="C253" s="55">
        <v>9</v>
      </c>
      <c r="D253" s="55">
        <v>40.479999999999997</v>
      </c>
      <c r="E253" s="63">
        <v>1</v>
      </c>
      <c r="F253" s="63"/>
      <c r="G253" s="63"/>
      <c r="H253" s="63"/>
      <c r="I253" s="53">
        <f t="shared" si="9"/>
        <v>6.8850000000000025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125</v>
      </c>
      <c r="B254" s="55">
        <v>404.61</v>
      </c>
      <c r="C254" s="55">
        <v>10</v>
      </c>
      <c r="D254" s="55">
        <v>61.5</v>
      </c>
      <c r="E254" s="63">
        <v>1</v>
      </c>
      <c r="F254" s="63"/>
      <c r="G254" s="63"/>
      <c r="H254" s="63"/>
      <c r="I254" s="53">
        <f t="shared" si="9"/>
        <v>7.4200000000000017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137</v>
      </c>
      <c r="B255" s="55">
        <v>428.03</v>
      </c>
      <c r="C255" s="55">
        <v>11</v>
      </c>
      <c r="D255" s="55">
        <v>65.53</v>
      </c>
      <c r="E255" s="63">
        <v>1</v>
      </c>
      <c r="F255" s="63"/>
      <c r="G255" s="63"/>
      <c r="H255" s="63"/>
      <c r="I255" s="53">
        <f t="shared" si="9"/>
        <v>7.0766666666666636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149</v>
      </c>
      <c r="B256" s="55">
        <v>444.56</v>
      </c>
      <c r="C256" s="55">
        <v>12</v>
      </c>
      <c r="D256" s="55">
        <v>153.56</v>
      </c>
      <c r="E256" s="64">
        <v>1</v>
      </c>
      <c r="F256" s="64"/>
      <c r="G256" s="64"/>
      <c r="H256" s="64"/>
      <c r="I256" s="53">
        <f t="shared" si="9"/>
        <v>6.8383333333333338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>
        <v>153</v>
      </c>
      <c r="B257" s="60">
        <v>286.3</v>
      </c>
      <c r="C257" s="86">
        <v>13</v>
      </c>
      <c r="D257" s="60">
        <v>89.29</v>
      </c>
      <c r="E257" s="54">
        <v>1</v>
      </c>
      <c r="F257" s="54"/>
      <c r="G257" s="54"/>
      <c r="H257" s="54"/>
      <c r="I257" s="53">
        <f t="shared" si="9"/>
        <v>-1.1749999999999972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157</v>
      </c>
      <c r="B258" s="50">
        <v>194.52</v>
      </c>
      <c r="C258" s="50">
        <v>14</v>
      </c>
      <c r="D258" s="50">
        <v>57.95</v>
      </c>
      <c r="E258" s="54">
        <v>1</v>
      </c>
      <c r="F258" s="54"/>
      <c r="G258" s="54"/>
      <c r="H258" s="54"/>
      <c r="I258" s="53">
        <f t="shared" si="9"/>
        <v>-0.62249999999999517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>
        <v>161</v>
      </c>
      <c r="B259" s="50">
        <v>134.26</v>
      </c>
      <c r="C259" s="50">
        <v>15</v>
      </c>
      <c r="D259" s="50">
        <v>115.43</v>
      </c>
      <c r="E259" s="54">
        <v>1</v>
      </c>
      <c r="F259" s="54"/>
      <c r="G259" s="54"/>
      <c r="H259" s="54"/>
      <c r="I259" s="53">
        <f t="shared" si="9"/>
        <v>-0.57750000000000057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Peuplier I-214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9</v>
      </c>
      <c r="B270" s="60">
        <v>96.153846150000007</v>
      </c>
      <c r="C270" s="50"/>
      <c r="D270" s="60"/>
      <c r="E270" s="51"/>
      <c r="F270" s="51"/>
      <c r="G270" s="51"/>
      <c r="H270" s="51"/>
      <c r="I270" s="53">
        <f>IFERROR(B270/A270,"")</f>
        <v>10.683760683333334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14</v>
      </c>
      <c r="B271" s="60">
        <v>272.43589739999999</v>
      </c>
      <c r="C271" s="50"/>
      <c r="D271" s="60"/>
      <c r="E271" s="51"/>
      <c r="F271" s="51"/>
      <c r="G271" s="51"/>
      <c r="H271" s="51"/>
      <c r="I271" s="53">
        <f>IF(A271&lt;&gt;0,(B271-(B270-D270))/(A271-A270),"")</f>
        <v>35.256410250000002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19</v>
      </c>
      <c r="B272" s="60">
        <v>307.69230770000001</v>
      </c>
      <c r="C272" s="50"/>
      <c r="D272" s="60"/>
      <c r="E272" s="51"/>
      <c r="F272" s="51"/>
      <c r="G272" s="51"/>
      <c r="H272" s="51"/>
      <c r="I272" s="53">
        <f t="shared" ref="I272:I289" si="10">IF(A272&lt;&gt;0,(B272-(B271-D271))/(A272-A271),"")</f>
        <v>7.0512820600000055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24</v>
      </c>
      <c r="B273" s="60">
        <v>320.51282049999998</v>
      </c>
      <c r="C273" s="50" t="s">
        <v>324</v>
      </c>
      <c r="D273" s="60">
        <v>320.51282049999998</v>
      </c>
      <c r="E273" s="51">
        <v>0.77</v>
      </c>
      <c r="F273" s="51">
        <v>0.21</v>
      </c>
      <c r="G273" s="51">
        <v>0</v>
      </c>
      <c r="H273" s="51">
        <v>0</v>
      </c>
      <c r="I273" s="53">
        <f t="shared" si="10"/>
        <v>2.5641025599999923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="115" zoomScaleNormal="115" workbookViewId="0">
      <selection activeCell="C17" sqref="C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0.45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0.55000000000000004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Tilleul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rouge d'Amérique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Erable plane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Hêtre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Merisier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Erable champêtre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Aulne à feuilles en cœur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Charme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>Peuplier I-214</v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2.25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8.25</v>
      </c>
      <c r="H3" s="66">
        <f>(B3+E3+F3)*44/12+(C3+D3)*0.475*44/12</f>
        <v>223.66666666666666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215.41666666666666</v>
      </c>
      <c r="S3" s="59">
        <f ca="1">AVERAGE(OFFSET($R$3,0,0,'Données projet'!$E$9+1,1))-AVERAGE(OFFSET($H$3,0,0,'Données projet'!$E$9+1,1))</f>
        <v>490.57849401500789</v>
      </c>
      <c r="T3" s="59">
        <f>IF('Données projet'!E9&gt;30,$R$33-$H$33,LOOKUP('Données projet'!$E$9,$A$3:$A$203,R3:R203)-LOOKUP('Données projet'!$E$9,$A$3:$A$203,$H$3:$H$203))</f>
        <v>221.7570623669753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215.41666666666666</v>
      </c>
      <c r="AN3" s="59">
        <f ca="1">AVERAGE(OFFSET($AM$3,0,0,'Données projet'!$E$10+1,1))-AVERAGE(OFFSET($H$3,0,0,'Données projet'!$E$10+1,1))</f>
        <v>377.00534440335832</v>
      </c>
      <c r="AO3" s="59">
        <f>IF('Données projet'!E10&gt;30,$AM$33-$H$33,LOOKUP('Données projet'!$E$10,$A$3:$A$203,AM3:AM203)-LOOKUP('Données projet'!$E$10,$A$3:$A$203,$H$3:$H$203))</f>
        <v>131.56029120000656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215.41666666666666</v>
      </c>
      <c r="BI3" s="59">
        <f ca="1">AVERAGE(OFFSET($BH$3,0,0,'Données projet'!$E$11+1,1))-AVERAGE(OFFSET($H$3,0,0,'Données projet'!$E$11+1,1))</f>
        <v>314.1123649635374</v>
      </c>
      <c r="BJ3" s="59">
        <f>IF('Données projet'!E11&gt;30,$BH$33-$H$33,LOOKUP('Données projet'!$E$11,$A$3:$A$203,BH3:BH203)-LOOKUP('Données projet'!$E$11,$A$3:$A$203,$H$3:$H$203))</f>
        <v>274.92342227914889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215.41666666666666</v>
      </c>
      <c r="CD3" s="59">
        <f ca="1">AVERAGE(OFFSET($CC$3,0,0,'Données projet'!$E$12+1,1))-AVERAGE(OFFSET($H$3,0,0,'Données projet'!$E$12+1,1))</f>
        <v>309.86296291630748</v>
      </c>
      <c r="CE3" s="59">
        <f>IF('Données projet'!E12&gt;30,$CC$33-$H$33,LOOKUP('Données projet'!$E$12,$A$3:$A$203,CC3:CC203)-LOOKUP('Données projet'!$E$12,$A$3:$A$203,$H$3:$H$203))</f>
        <v>301.17633325088661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215.41666666666666</v>
      </c>
      <c r="CY3" s="59">
        <f ca="1">AVERAGE(OFFSET($CX$3,0,0,'Données projet'!$E$13+1,1))-AVERAGE(OFFSET($H$3,0,0,'Données projet'!$E$13+1,1))</f>
        <v>462.66388549889928</v>
      </c>
      <c r="CZ3" s="59">
        <f>IF('Données projet'!E13&gt;30,$CX$33-$H$33,LOOKUP('Données projet'!$E$13,$A$3:$A$203,CX3:CX203)-LOOKUP('Données projet'!$E$13,$A$3:$A$203,$H$3:$H$203))</f>
        <v>265.3725203415089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215.41666666666666</v>
      </c>
      <c r="DT3" s="59">
        <f ca="1">AVERAGE(OFFSET($DS$3,0,0,'Données projet'!$E$14+1,1))-AVERAGE(OFFSET($H$3,0,0,'Données projet'!$E$14+1,1))</f>
        <v>206.5241977687125</v>
      </c>
      <c r="DU3" s="59">
        <f>IF('Données projet'!E14&gt;30,$DS$33-$H$33,LOOKUP('Données projet'!$E$14,$A$3:$A$203,DS3:DS203)-LOOKUP('Données projet'!$E$14,$A$3:$A$203,$H$3:$H$203))</f>
        <v>205.25001043771269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215.41666666666666</v>
      </c>
      <c r="EO3" s="59">
        <f ca="1">AVERAGE(OFFSET($EN$3,0,0,'Données projet'!$E$15+1,1))-AVERAGE(OFFSET($H$3,0,0,'Données projet'!$E$15+1,1))</f>
        <v>205.83135724908942</v>
      </c>
      <c r="EP3" s="59">
        <f>IF('Données projet'!E15&gt;30,$EN$33-$H$33,LOOKUP('Données projet'!$E$15,$A$3:$A$203,EN3:EN203)-LOOKUP('Données projet'!$E$15,$A$3:$A$203,$H$3:$H$203))</f>
        <v>193.60053377311405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215.41666666666666</v>
      </c>
      <c r="FJ3" s="59">
        <f ca="1">AVERAGE(OFFSET($FI$3,0,0,'Données projet'!$E$16+1,1))-AVERAGE(OFFSET($H$3,0,0,'Données projet'!$E$16+1,1))</f>
        <v>242.76791261317206</v>
      </c>
      <c r="FK3" s="59">
        <f>IF('Données projet'!E16&gt;30,$FI$33-$H$33,LOOKUP('Données projet'!$E$16,$A$3:$A$203,FI3:FI203)-LOOKUP('Données projet'!$E$16,$A$3:$A$203,$H$3:$H$203))</f>
        <v>244.28580264867682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215.41666666666666</v>
      </c>
      <c r="GE3" s="59">
        <f ca="1">AVERAGE(OFFSET($GD$3,0,0,'Données projet'!$E$17+1,1))-AVERAGE(OFFSET($H$3,0,0,'Données projet'!$E$17+1,1))</f>
        <v>512.71941256120977</v>
      </c>
      <c r="GF3" s="59">
        <f>IF('Données projet'!E17&gt;30,$GD$33-$H$33,LOOKUP('Données projet'!$E$17,$A$3:$A$203,GD3:GD203)-LOOKUP('Données projet'!$E$17,$A$3:$A$203,$H$3:$H$203))</f>
        <v>230.65031527019354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215.41666666666666</v>
      </c>
      <c r="GZ3" s="59">
        <f ca="1">AVERAGE(OFFSET($GY$3,0,0,'Données projet'!$E$18+1,1))-AVERAGE(OFFSET($H$3,0,0,'Données projet'!$E$18+1,1))</f>
        <v>180.68917161146683</v>
      </c>
      <c r="HA3" s="59">
        <f>IF('Données projet'!E18&gt;30,$GY$33-$H$33,LOOKUP('Données projet'!$E$18,$A$3:$A$203,GY3:GY203)-LOOKUP('Données projet'!$E$18,$A$3:$A$203,$H$3:$H$203))</f>
        <v>344.42126252322419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2.25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8.25</v>
      </c>
      <c r="H4" s="66">
        <f t="shared" ref="H4:H67" si="1">(B4+E4+F4)*44/12+(C4+D4)*0.475*44/12</f>
        <v>223.66666666666666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2.9235042736666665</v>
      </c>
      <c r="N4" s="13">
        <f>IF('Données projet'!$A$36&gt;35,N3+M4-V3,IF(A4&lt;'Données projet'!$A$36,$K$205^A4,IF(A4='Données projet'!$A$36,'Données projet'!$B$36,N3+M4-V3)))</f>
        <v>1.1608269964394529</v>
      </c>
      <c r="O4" s="13">
        <f>N4*VLOOKUP('Données projet'!$B$9,Paramètres!$A$1:$I$89,3,0)*VLOOKUP('Données projet'!$B$9,Paramètres!$A$1:$I$89,5,0)</f>
        <v>1.0503162663784169</v>
      </c>
      <c r="P4" s="13">
        <f>EXP(-1.0587+0.8836*LN(O4)+0.284)</f>
        <v>0.48127189162366646</v>
      </c>
      <c r="Q4" s="20">
        <f t="shared" ref="Q4:Q34" si="2">(O4+P4)*0.475*44/12</f>
        <v>2.6675160418536286</v>
      </c>
      <c r="R4" s="59">
        <f t="shared" si="0"/>
        <v>220.02200020955823</v>
      </c>
      <c r="S4" s="59">
        <f ca="1">AVERAGE(OFFSET($R$3,0,0,'Données projet'!$E$9+1,1))-AVERAGE(OFFSET($H$3,0,0,'Données projet'!$E$9+1,1))</f>
        <v>490.57849401500789</v>
      </c>
      <c r="T4" s="59">
        <f>$T$3</f>
        <v>221.7570623669753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1.8914529913333333</v>
      </c>
      <c r="AI4" s="13">
        <f>IF('Données projet'!$A$62&gt;35,AI3+AH4-AQ3,IF(A4&lt;'Données projet'!$A$62,$AF$205^A4,IF(A4='Données projet'!$A$62,'Données projet'!$B$62,AI3+AH4-AQ3)))</f>
        <v>1.1440997575314964</v>
      </c>
      <c r="AJ4" s="13">
        <f>AI4*VLOOKUP('Données projet'!$B$10,Paramètres!$A$1:$I$89,3,0)*VLOOKUP('Données projet'!$B$10,Paramètres!$A$1:$I$89,5,0)</f>
        <v>0.76746211735212777</v>
      </c>
      <c r="AK4" s="13">
        <f>EXP(-1.0587+0.8836*LN(AJ4)+0.284)</f>
        <v>0.3647441907739416</v>
      </c>
      <c r="AL4" s="20">
        <f t="shared" ref="AL4:AL67" si="4">(AJ4+AK4)*0.475*44/12</f>
        <v>1.971925986652904</v>
      </c>
      <c r="AM4" s="59">
        <f t="shared" ref="AM4:AM67" si="5">AL4+(AD4+AE4)*44/12</f>
        <v>219.32641015435752</v>
      </c>
      <c r="AN4" s="59">
        <f ca="1">AVERAGE(OFFSET($AM$3,0,0,'Données projet'!$E$10+1,1))-AVERAGE(OFFSET($H$3,0,0,'Données projet'!$E$10+1,1))</f>
        <v>377.00534440335832</v>
      </c>
      <c r="AO4" s="59">
        <f>$AO$3</f>
        <v>131.56029120000656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1.8</v>
      </c>
      <c r="BD4" s="12">
        <f>IF('Données projet'!$A$88&gt;35,BD3+BC4-BL3,IF(A4&lt;'Données projet'!$A$88,$BA$205^A4,IF(A4='Données projet'!$A$88,'Données projet'!$B$88,BD3+BC4-BL3)))</f>
        <v>1.335141362540313</v>
      </c>
      <c r="BE4" s="13">
        <f>BD4*VLOOKUP('Données projet'!$B$11,Paramètres!$A$1:$I$89,3,0)*VLOOKUP('Données projet'!$B$11,Paramètres!$A$1:$I$89,5,0)</f>
        <v>1.1663794943152175</v>
      </c>
      <c r="BF4" s="13">
        <f>EXP(-1.0587+0.8836*LN(BE4)+0.284)</f>
        <v>0.52797307958445927</v>
      </c>
      <c r="BG4" s="20">
        <f t="shared" ref="BG4:BG67" si="7">(BE4+BF4)*0.475*44/12</f>
        <v>2.9509973995419365</v>
      </c>
      <c r="BH4" s="59">
        <f t="shared" ref="BH4:BH67" si="8">BG4+(AY4+AZ4)*44/12</f>
        <v>220.30548156724655</v>
      </c>
      <c r="BI4" s="59">
        <f ca="1">AVERAGE(OFFSET($BH$3,0,0,'Données projet'!$E$11+1,1))-AVERAGE(OFFSET($H$3,0,0,'Données projet'!$E$11+1,1))</f>
        <v>314.1123649635374</v>
      </c>
      <c r="BJ4" s="59">
        <f>$BJ$3</f>
        <v>274.92342227914889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219.92853707685609</v>
      </c>
      <c r="CD4" s="59">
        <f ca="1">AVERAGE(OFFSET($CC$3,0,0,'Données projet'!$E$12+1,1))-AVERAGE(OFFSET($H$3,0,0,'Données projet'!$E$12+1,1))</f>
        <v>309.86296291630748</v>
      </c>
      <c r="CE4" s="59">
        <f>$CE$3</f>
        <v>301.17633325088661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1.6</v>
      </c>
      <c r="CT4" s="12">
        <f>IF('Données projet'!$A$140&gt;35,CT3+CS4-DB3,IF(A4&lt;'Données projet'!$A$140,$CQ$205^A4,IF(A4='Données projet'!$A$140,'Données projet'!$B$140,CT3+CS4-DB3)))</f>
        <v>1.189207115002721</v>
      </c>
      <c r="CU4" s="17">
        <f>CT4*VLOOKUP('Données projet'!$B$13,Paramètres!$A$1:$I$89,3,0)*VLOOKUP('Données projet'!$B$13,Paramètres!$A$1:$I$89,5,0)</f>
        <v>1.0203397046723348</v>
      </c>
      <c r="CV4" s="13">
        <f>EXP(-1.0587+0.8836*LN(CU4)+0.284)</f>
        <v>0.46911460970544039</v>
      </c>
      <c r="CW4" s="20">
        <f t="shared" ref="CW4:CW67" si="13">(CU4+CV4)*0.475*44/12</f>
        <v>2.594132930874625</v>
      </c>
      <c r="CX4" s="59">
        <f t="shared" ref="CX4:CX67" si="14">CW4+(CO4+CP4)*44/12</f>
        <v>219.94861709857923</v>
      </c>
      <c r="CY4" s="59">
        <f ca="1">AVERAGE(OFFSET($CX$3,0,0,'Données projet'!$E$13+1,1))-AVERAGE(OFFSET($H$3,0,0,'Données projet'!$E$13+1,1))</f>
        <v>462.66388549889928</v>
      </c>
      <c r="CZ4" s="59">
        <f>$CZ$3</f>
        <v>265.3725203415089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1.7094017093333334</v>
      </c>
      <c r="DO4" s="12">
        <f>IF('Données projet'!$A$166&gt;35,DO3+DN4-DW3,IF(A4&lt;'Données projet'!$A$166,$DL$205^A4,IF(A4='Données projet'!$A$166,'Données projet'!$B$166,DO3+DN4-DW3)))</f>
        <v>1.2414494093530228</v>
      </c>
      <c r="DP4" s="17">
        <f>DO4*VLOOKUP('Données projet'!$B$14,Paramètres!$A$1:$I$89,3,0)*VLOOKUP('Données projet'!$B$14,Paramètres!$A$1:$I$89,5,0)</f>
        <v>0.96833053929535784</v>
      </c>
      <c r="DQ4" s="13">
        <f>EXP(-1.0587+0.8836*LN(DP4)+0.284)</f>
        <v>0.44792215440880506</v>
      </c>
      <c r="DR4" s="20">
        <f t="shared" ref="DR4:DR67" si="16">(DP4+DQ4)*0.475*44/12</f>
        <v>2.4666401082014167</v>
      </c>
      <c r="DS4" s="59">
        <f t="shared" ref="DS4:DS67" si="17">DR4+(DJ4+DK4)*44/12</f>
        <v>219.82112427590602</v>
      </c>
      <c r="DT4" s="59">
        <f ca="1">AVERAGE(OFFSET($DS$3,0,0,'Données projet'!$E$14+1,1))-AVERAGE(OFFSET($H$3,0,0,'Données projet'!$E$14+1,1))</f>
        <v>206.5241977687125</v>
      </c>
      <c r="DU4" s="59">
        <f>$DU$3</f>
        <v>205.25001043771269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0.9</v>
      </c>
      <c r="EJ4" s="12">
        <f>IF('Données projet'!$A$192&gt;35,EJ3+EI4-ER3,IF(A4&lt;'Données projet'!$A$192,$EG$205^A4,IF(A4='Données projet'!$A$192,'Données projet'!$B$192,EJ3+EI4-ER3)))</f>
        <v>1.1554831727638066</v>
      </c>
      <c r="EK4" s="17">
        <f>EJ4*VLOOKUP('Données projet'!$B$15,Paramètres!$A$1:$I$89,3,0)*VLOOKUP('Données projet'!$B$15,Paramètres!$A$1:$I$89,5,0)</f>
        <v>1.0094300997264616</v>
      </c>
      <c r="EL4" s="13">
        <f>EXP(-1.0587+0.8836*LN(EK4)+0.284)</f>
        <v>0.46467984937949935</v>
      </c>
      <c r="EM4" s="20">
        <f t="shared" ref="EM4:EM67" si="19">(EK4+EL4)*0.475*44/12</f>
        <v>2.5674081613595483</v>
      </c>
      <c r="EN4" s="59">
        <f t="shared" ref="EN4:EN67" si="20">EM4+(EE4+EF4)*44/12</f>
        <v>219.92189232906415</v>
      </c>
      <c r="EO4" s="59">
        <f ca="1">AVERAGE(OFFSET($EN$3,0,0,'Données projet'!$E$15+1,1))-AVERAGE(OFFSET($H$3,0,0,'Données projet'!$E$15+1,1))</f>
        <v>205.83135724908942</v>
      </c>
      <c r="EP4" s="59">
        <f>$EP$3</f>
        <v>193.60053377311405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0.9</v>
      </c>
      <c r="FE4" s="12">
        <f>IF('Données projet'!$A$218&gt;35,FE3+FD4-FM3,IF(A4&lt;'Données projet'!$A$218,$FB$205^A4,IF(A4='Données projet'!$A$218,'Données projet'!$B$218,FE3+FD4-FM3)))</f>
        <v>1.2457309396155174</v>
      </c>
      <c r="FF4" s="17">
        <f>FE4*VLOOKUP('Données projet'!$B$16,Paramètres!$A$1:$I$89,3,0)*VLOOKUP('Données projet'!$B$16,Paramètres!$A$1:$I$89,5,0)</f>
        <v>0.81620291163608694</v>
      </c>
      <c r="FG4" s="13">
        <f>EXP(-1.0587+0.8836*LN(FF4)+0.284)</f>
        <v>0.38513847027569503</v>
      </c>
      <c r="FH4" s="20">
        <f t="shared" ref="FH4:FH67" si="22">(FF4+FG4)*0.475*44/12</f>
        <v>2.0923362401630201</v>
      </c>
      <c r="FI4" s="59">
        <f t="shared" ref="FI4:FI67" si="23">FH4+(EZ4+FA4)*44/12</f>
        <v>219.44682040786762</v>
      </c>
      <c r="FJ4" s="59">
        <f ca="1">AVERAGE(OFFSET($FI$3,0,0,'Données projet'!$E$16+1,1))-AVERAGE(OFFSET($H$3,0,0,'Données projet'!$E$16+1,1))</f>
        <v>242.76791261317206</v>
      </c>
      <c r="FK4" s="59">
        <f>$FK$3</f>
        <v>244.28580264867682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2.9235042736666665</v>
      </c>
      <c r="FZ4" s="12">
        <f>IF('Données projet'!$A$244&gt;35,FZ3+FY4-GH3,IF(A4&lt;'Données projet'!$A$244,$FW$205^A4,IF(A4='Données projet'!$A$244,'Données projet'!$B$244,FZ3+FY4-GH3)))</f>
        <v>1.1608269964394529</v>
      </c>
      <c r="GA4" s="17">
        <f>FZ4*VLOOKUP('Données projet'!$B$17,Paramètres!$A$1:$I$89,3,0)*VLOOKUP('Données projet'!$B$17,Paramètres!$A$1:$I$89,5,0)</f>
        <v>1.1046429698117834</v>
      </c>
      <c r="GB4" s="13">
        <f>EXP(-1.0587+0.8836*LN(GA4)+0.284)</f>
        <v>0.50320270245997856</v>
      </c>
      <c r="GC4" s="20">
        <f t="shared" ref="GC4:GC67" si="25">(GA4+GB4)*0.475*44/12</f>
        <v>2.8003312125399855</v>
      </c>
      <c r="GD4" s="59">
        <f t="shared" ref="GD4:GD67" si="26">GC4+(FU4+FV4)*44/12</f>
        <v>220.1548153802446</v>
      </c>
      <c r="GE4" s="59">
        <f ca="1">AVERAGE(OFFSET($GD$3,0,0,'Données projet'!$E$17+1,1))-AVERAGE(OFFSET($H$3,0,0,'Données projet'!$E$17+1,1))</f>
        <v>512.71941256120977</v>
      </c>
      <c r="GF4" s="59">
        <f>$GF$3</f>
        <v>230.65031527019354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58.945162348767923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10.683760683333334</v>
      </c>
      <c r="GU4" s="12">
        <f>IF('Données projet'!$A$270&gt;35,GU3+GT4-HC3,IF(A4&lt;'Données projet'!$A$270,$GR$205^A4,IF(A4='Données projet'!$A$270,'Données projet'!$B$270,GU3+GT4-HC3)))</f>
        <v>1.660847009958063</v>
      </c>
      <c r="GV4" s="17">
        <f>GU4*VLOOKUP('Données projet'!$B$18,Paramètres!$A$1:$I$89,3,0)*VLOOKUP('Données projet'!$B$18,Paramètres!$A$1:$I$89,5,0)</f>
        <v>0.73063981662075106</v>
      </c>
      <c r="GW4" s="13">
        <f>EXP(-1.0587+0.8836*LN(GV4)+0.284)</f>
        <v>0.34923706701204527</v>
      </c>
      <c r="GX4" s="20">
        <f t="shared" ref="GX4:GX67" si="28">(GV4+GW4)*0.475*44/12</f>
        <v>1.8807855723271203</v>
      </c>
      <c r="GY4" s="59">
        <f t="shared" ref="GY4:GY67" si="29">GX4+(GP4+GQ4)*44/12</f>
        <v>219.23526974003173</v>
      </c>
      <c r="GZ4" s="59">
        <f ca="1">AVERAGE(OFFSET($GY$3,0,0,'Données projet'!$E$18+1,1))-AVERAGE(OFFSET($H$3,0,0,'Données projet'!$E$18+1,1))</f>
        <v>180.68917161146683</v>
      </c>
      <c r="HA4" s="59">
        <f>$HA$3</f>
        <v>344.42126252322419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2.25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8.25</v>
      </c>
      <c r="H5" s="66">
        <f t="shared" si="1"/>
        <v>223.66666666666666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2.9235042736666665</v>
      </c>
      <c r="N5" s="13">
        <f>IF('Données projet'!$A$36&gt;35,N4+M5-V4,IF(A5&lt;'Données projet'!$A$36,$K$205^A5,IF(A5='Données projet'!$A$36,'Données projet'!$B$36,N4+M5-V4)))</f>
        <v>1.3475193156626415</v>
      </c>
      <c r="O5" s="13">
        <f>N5*VLOOKUP('Données projet'!$B$9,Paramètres!$A$1:$I$89,3,0)*VLOOKUP('Données projet'!$B$9,Paramètres!$A$1:$I$89,5,0)</f>
        <v>1.2192354768115579</v>
      </c>
      <c r="P5" s="13">
        <f t="shared" ref="P5:P68" si="33">EXP(-1.0587+0.8836*LN(O5)+0.284)</f>
        <v>0.54905905766408625</v>
      </c>
      <c r="Q5" s="20">
        <f t="shared" si="2"/>
        <v>3.0797796475450805</v>
      </c>
      <c r="R5" s="59">
        <f t="shared" si="0"/>
        <v>222.35966733803156</v>
      </c>
      <c r="S5" s="59">
        <f ca="1">AVERAGE(OFFSET($R$3,0,0,'Données projet'!$E$9+1,1))-AVERAGE(OFFSET($H$3,0,0,'Données projet'!$E$9+1,1))</f>
        <v>490.57849401500789</v>
      </c>
      <c r="T5" s="59">
        <f t="shared" ref="T5:T68" si="34">$T$3</f>
        <v>221.7570623669753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1.8914529913333333</v>
      </c>
      <c r="AI5" s="13">
        <f>IF('Données projet'!$A$62&gt;35,AI4+AH5-AQ4,IF(A5&lt;'Données projet'!$A$62,$AF$205^A5,IF(A5='Données projet'!$A$62,'Données projet'!$B$62,AI4+AH5-AQ4)))</f>
        <v>1.3089642551836289</v>
      </c>
      <c r="AJ5" s="13">
        <f>AI5*VLOOKUP('Données projet'!$B$10,Paramètres!$A$1:$I$89,3,0)*VLOOKUP('Données projet'!$B$10,Paramètres!$A$1:$I$89,5,0)</f>
        <v>0.8780532223771782</v>
      </c>
      <c r="AK5" s="13">
        <f t="shared" ref="AK5:AK68" si="35">EXP(-1.0587+0.8836*LN(AJ5)+0.284)</f>
        <v>0.4108157449381441</v>
      </c>
      <c r="AL5" s="20">
        <f t="shared" si="4"/>
        <v>2.2447801180741869</v>
      </c>
      <c r="AM5" s="59">
        <f t="shared" si="5"/>
        <v>221.52466780856065</v>
      </c>
      <c r="AN5" s="59">
        <f ca="1">AVERAGE(OFFSET($AM$3,0,0,'Données projet'!$E$10+1,1))-AVERAGE(OFFSET($H$3,0,0,'Données projet'!$E$10+1,1))</f>
        <v>377.00534440335832</v>
      </c>
      <c r="AO5" s="59">
        <f t="shared" ref="AO5:AO68" si="36">$AO$3</f>
        <v>131.56029120000656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1.8</v>
      </c>
      <c r="BD5" s="12">
        <f>IF('Données projet'!$A$88&gt;35,BD4+BC5-BL4,IF(A5&lt;'Données projet'!$A$88,$BA$205^A5,IF(A5='Données projet'!$A$88,'Données projet'!$B$88,BD4+BC5-BL4)))</f>
        <v>1.7826024579660036</v>
      </c>
      <c r="BE5" s="13">
        <f>BD5*VLOOKUP('Données projet'!$B$11,Paramètres!$A$1:$I$89,3,0)*VLOOKUP('Données projet'!$B$11,Paramètres!$A$1:$I$89,5,0)</f>
        <v>1.5572815072791011</v>
      </c>
      <c r="BF5" s="13">
        <f t="shared" ref="BF5:BF68" si="37">EXP(-1.0587+0.8836*LN(BE5)+0.284)</f>
        <v>0.68159698037116012</v>
      </c>
      <c r="BG5" s="20">
        <f t="shared" si="7"/>
        <v>3.8993800326575379</v>
      </c>
      <c r="BH5" s="59">
        <f t="shared" si="8"/>
        <v>223.17926772314402</v>
      </c>
      <c r="BI5" s="59">
        <f ca="1">AVERAGE(OFFSET($BH$3,0,0,'Données projet'!$E$11+1,1))-AVERAGE(OFFSET($H$3,0,0,'Données projet'!$E$11+1,1))</f>
        <v>314.1123649635374</v>
      </c>
      <c r="BJ5" s="59">
        <f t="shared" ref="BJ5:BJ68" si="38">$BJ$3</f>
        <v>274.92342227914889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222.52601585587476</v>
      </c>
      <c r="CD5" s="59">
        <f ca="1">AVERAGE(OFFSET($CC$3,0,0,'Données projet'!$E$12+1,1))-AVERAGE(OFFSET($H$3,0,0,'Données projet'!$E$12+1,1))</f>
        <v>309.86296291630748</v>
      </c>
      <c r="CE5" s="59">
        <f t="shared" ref="CE5:CE68" si="40">$CE$3</f>
        <v>301.17633325088661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1.6</v>
      </c>
      <c r="CT5" s="12">
        <f>IF('Données projet'!$A$140&gt;35,CT4+CS5-DB4,IF(A5&lt;'Données projet'!$A$140,$CQ$205^A5,IF(A5='Données projet'!$A$140,'Données projet'!$B$140,CT4+CS5-DB4)))</f>
        <v>1.4142135623730949</v>
      </c>
      <c r="CU5" s="17">
        <f>CT5*VLOOKUP('Données projet'!$B$13,Paramètres!$A$1:$I$89,3,0)*VLOOKUP('Données projet'!$B$13,Paramètres!$A$1:$I$89,5,0)</f>
        <v>1.2133952365161156</v>
      </c>
      <c r="CV5" s="13">
        <f t="shared" ref="CV5:CV68" si="41">EXP(-1.0587+0.8836*LN(CU5)+0.284)</f>
        <v>0.54673450619692521</v>
      </c>
      <c r="CW5" s="20">
        <f t="shared" si="13"/>
        <v>3.0655593018918794</v>
      </c>
      <c r="CX5" s="59">
        <f t="shared" si="14"/>
        <v>222.34544699237836</v>
      </c>
      <c r="CY5" s="59">
        <f ca="1">AVERAGE(OFFSET($CX$3,0,0,'Données projet'!$E$13+1,1))-AVERAGE(OFFSET($H$3,0,0,'Données projet'!$E$13+1,1))</f>
        <v>462.66388549889928</v>
      </c>
      <c r="CZ5" s="59">
        <f t="shared" ref="CZ5:CZ68" si="42">$CZ$3</f>
        <v>265.3725203415089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1.7094017093333334</v>
      </c>
      <c r="DO5" s="12">
        <f>IF('Données projet'!$A$166&gt;35,DO4+DN5-DW4,IF(A5&lt;'Données projet'!$A$166,$DL$205^A5,IF(A5='Données projet'!$A$166,'Données projet'!$B$166,DO4+DN5-DW4)))</f>
        <v>1.5411966359829692</v>
      </c>
      <c r="DP5" s="17">
        <f>DO5*VLOOKUP('Données projet'!$B$14,Paramètres!$A$1:$I$89,3,0)*VLOOKUP('Données projet'!$B$14,Paramètres!$A$1:$I$89,5,0)</f>
        <v>1.2021333760667161</v>
      </c>
      <c r="DQ5" s="13">
        <f t="shared" ref="DQ5:DQ68" si="43">EXP(-1.0587+0.8836*LN(DP5)+0.284)</f>
        <v>0.54224833966525943</v>
      </c>
      <c r="DR5" s="20">
        <f t="shared" si="16"/>
        <v>3.0381314882331907</v>
      </c>
      <c r="DS5" s="59">
        <f t="shared" si="17"/>
        <v>222.31801917871968</v>
      </c>
      <c r="DT5" s="59">
        <f ca="1">AVERAGE(OFFSET($DS$3,0,0,'Données projet'!$E$14+1,1))-AVERAGE(OFFSET($H$3,0,0,'Données projet'!$E$14+1,1))</f>
        <v>206.5241977687125</v>
      </c>
      <c r="DU5" s="59">
        <f t="shared" ref="DU5:DU68" si="44">$DU$3</f>
        <v>205.25001043771269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0.9</v>
      </c>
      <c r="EJ5" s="12">
        <f>IF('Données projet'!$A$192&gt;35,EJ4+EI5-ER4,IF(A5&lt;'Données projet'!$A$192,$EG$205^A5,IF(A5='Données projet'!$A$192,'Données projet'!$B$192,EJ4+EI5-ER4)))</f>
        <v>1.335141362540313</v>
      </c>
      <c r="EK5" s="17">
        <f>EJ5*VLOOKUP('Données projet'!$B$15,Paramètres!$A$1:$I$89,3,0)*VLOOKUP('Données projet'!$B$15,Paramètres!$A$1:$I$89,5,0)</f>
        <v>1.1663794943152175</v>
      </c>
      <c r="EL5" s="13">
        <f t="shared" ref="EL5:EL68" si="45">EXP(-1.0587+0.8836*LN(EK5)+0.284)</f>
        <v>0.52797307958445927</v>
      </c>
      <c r="EM5" s="20">
        <f t="shared" si="19"/>
        <v>2.9509973995419365</v>
      </c>
      <c r="EN5" s="59">
        <f t="shared" si="20"/>
        <v>222.23088509002841</v>
      </c>
      <c r="EO5" s="59">
        <f ca="1">AVERAGE(OFFSET($EN$3,0,0,'Données projet'!$E$15+1,1))-AVERAGE(OFFSET($H$3,0,0,'Données projet'!$E$15+1,1))</f>
        <v>205.83135724908942</v>
      </c>
      <c r="EP5" s="59">
        <f t="shared" ref="EP5:EP68" si="46">$EP$3</f>
        <v>193.60053377311405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0.9</v>
      </c>
      <c r="FE5" s="12">
        <f>IF('Données projet'!$A$218&gt;35,FE4+FD5-FM4,IF(A5&lt;'Données projet'!$A$218,$FB$205^A5,IF(A5='Données projet'!$A$218,'Données projet'!$B$218,FE4+FD5-FM4)))</f>
        <v>1.5518455739153598</v>
      </c>
      <c r="FF5" s="17">
        <f>FE5*VLOOKUP('Données projet'!$B$16,Paramètres!$A$1:$I$89,3,0)*VLOOKUP('Données projet'!$B$16,Paramètres!$A$1:$I$89,5,0)</f>
        <v>1.0167692200293437</v>
      </c>
      <c r="FG5" s="13">
        <f t="shared" ref="FG5:FG68" si="47">EXP(-1.0587+0.8836*LN(FF5)+0.284)</f>
        <v>0.46766381619902025</v>
      </c>
      <c r="FH5" s="20">
        <f t="shared" si="22"/>
        <v>2.5853875380977338</v>
      </c>
      <c r="FI5" s="59">
        <f t="shared" si="23"/>
        <v>221.86527522858421</v>
      </c>
      <c r="FJ5" s="59">
        <f ca="1">AVERAGE(OFFSET($FI$3,0,0,'Données projet'!$E$16+1,1))-AVERAGE(OFFSET($H$3,0,0,'Données projet'!$E$16+1,1))</f>
        <v>242.76791261317206</v>
      </c>
      <c r="FK5" s="59">
        <f t="shared" ref="FK5:FK68" si="48">$FK$3</f>
        <v>244.28580264867682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2.9235042736666665</v>
      </c>
      <c r="FZ5" s="12">
        <f>IF('Données projet'!$A$244&gt;35,FZ4+FY5-GH4,IF(A5&lt;'Données projet'!$A$244,$FW$205^A5,IF(A5='Données projet'!$A$244,'Données projet'!$B$244,FZ4+FY5-GH4)))</f>
        <v>1.3475193156626415</v>
      </c>
      <c r="GA5" s="17">
        <f>FZ5*VLOOKUP('Données projet'!$B$17,Paramètres!$A$1:$I$89,3,0)*VLOOKUP('Données projet'!$B$17,Paramètres!$A$1:$I$89,5,0)</f>
        <v>1.2822993807845697</v>
      </c>
      <c r="GB5" s="13">
        <f t="shared" ref="GB5:GB68" si="49">EXP(-1.0587+0.8836*LN(GA5)+0.284)</f>
        <v>0.57407882412285705</v>
      </c>
      <c r="GC5" s="20">
        <f t="shared" si="25"/>
        <v>3.2331920402137686</v>
      </c>
      <c r="GD5" s="59">
        <f t="shared" si="26"/>
        <v>222.51307973070024</v>
      </c>
      <c r="GE5" s="59">
        <f ca="1">AVERAGE(OFFSET($GD$3,0,0,'Données projet'!$E$17+1,1))-AVERAGE(OFFSET($H$3,0,0,'Données projet'!$E$17+1,1))</f>
        <v>512.71941256120977</v>
      </c>
      <c r="GF5" s="59">
        <f t="shared" ref="GF5:GF68" si="50">$GF$3</f>
        <v>230.65031527019354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59.136939067102375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10.683760683333334</v>
      </c>
      <c r="GU5" s="12">
        <f>IF('Données projet'!$A$270&gt;35,GU4+GT5-HC4,IF(A5&lt;'Données projet'!$A$270,$GR$205^A5,IF(A5='Données projet'!$A$270,'Données projet'!$B$270,GU4+GT5-HC4)))</f>
        <v>2.7584127904866382</v>
      </c>
      <c r="GV5" s="17">
        <f>GU5*VLOOKUP('Données projet'!$B$18,Paramètres!$A$1:$I$89,3,0)*VLOOKUP('Données projet'!$B$18,Paramètres!$A$1:$I$89,5,0)</f>
        <v>1.2134809547908818</v>
      </c>
      <c r="GW5" s="13">
        <f t="shared" ref="GW5:GW68" si="51">EXP(-1.0587+0.8836*LN(GV5)+0.284)</f>
        <v>0.54676863346641957</v>
      </c>
      <c r="GX5" s="20">
        <f t="shared" si="28"/>
        <v>3.0657680328814667</v>
      </c>
      <c r="GY5" s="59">
        <f t="shared" si="29"/>
        <v>222.34565572336794</v>
      </c>
      <c r="GZ5" s="59">
        <f ca="1">AVERAGE(OFFSET($GY$3,0,0,'Données projet'!$E$18+1,1))-AVERAGE(OFFSET($H$3,0,0,'Données projet'!$E$18+1,1))</f>
        <v>180.68917161146683</v>
      </c>
      <c r="HA5" s="59">
        <f t="shared" ref="HA5:HA68" si="52">$HA$3</f>
        <v>344.42126252322419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2.25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8.25</v>
      </c>
      <c r="H6" s="66">
        <f t="shared" si="1"/>
        <v>223.66666666666666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2.9235042736666665</v>
      </c>
      <c r="N6" s="13">
        <f>IF('Données projet'!$A$36&gt;35,N5+M6-V5,IF(A6&lt;'Données projet'!$A$36,$K$205^A6,IF(A6='Données projet'!$A$36,'Données projet'!$B$36,N5+M6-V5)))</f>
        <v>1.564236799844811</v>
      </c>
      <c r="O6" s="13">
        <f>N6*VLOOKUP('Données projet'!$B$9,Paramètres!$A$1:$I$89,3,0)*VLOOKUP('Données projet'!$B$9,Paramètres!$A$1:$I$89,5,0)</f>
        <v>1.4153214564995851</v>
      </c>
      <c r="P6" s="13">
        <f t="shared" si="33"/>
        <v>0.62639404887312145</v>
      </c>
      <c r="Q6" s="20">
        <f t="shared" si="2"/>
        <v>3.5559878385241297</v>
      </c>
      <c r="R6" s="59">
        <f t="shared" si="0"/>
        <v>224.74908042830563</v>
      </c>
      <c r="S6" s="59">
        <f ca="1">AVERAGE(OFFSET($R$3,0,0,'Données projet'!$E$9+1,1))-AVERAGE(OFFSET($H$3,0,0,'Données projet'!$E$9+1,1))</f>
        <v>490.57849401500789</v>
      </c>
      <c r="T6" s="59">
        <f t="shared" si="34"/>
        <v>221.7570623669753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1.8914529913333333</v>
      </c>
      <c r="AI6" s="13">
        <f>IF('Données projet'!$A$62&gt;35,AI5+AH6-AQ5,IF(A6&lt;'Données projet'!$A$62,$AF$205^A6,IF(A6='Données projet'!$A$62,'Données projet'!$B$62,AI5+AH6-AQ5)))</f>
        <v>1.4975856869729856</v>
      </c>
      <c r="AJ6" s="13">
        <f>AI6*VLOOKUP('Données projet'!$B$10,Paramètres!$A$1:$I$89,3,0)*VLOOKUP('Données projet'!$B$10,Paramètres!$A$1:$I$89,5,0)</f>
        <v>1.0045804788214787</v>
      </c>
      <c r="AK6" s="13">
        <f t="shared" si="35"/>
        <v>0.46270668747588362</v>
      </c>
      <c r="AL6" s="20">
        <f t="shared" si="4"/>
        <v>2.5555251479679058</v>
      </c>
      <c r="AM6" s="59">
        <f t="shared" si="5"/>
        <v>223.74861773774941</v>
      </c>
      <c r="AN6" s="59">
        <f ca="1">AVERAGE(OFFSET($AM$3,0,0,'Données projet'!$E$10+1,1))-AVERAGE(OFFSET($H$3,0,0,'Données projet'!$E$10+1,1))</f>
        <v>377.00534440335832</v>
      </c>
      <c r="AO6" s="59">
        <f t="shared" si="36"/>
        <v>131.56029120000656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1.8</v>
      </c>
      <c r="BD6" s="12">
        <f>IF('Données projet'!$A$88&gt;35,BD5+BC6-BL5,IF(A6&lt;'Données projet'!$A$88,$BA$205^A6,IF(A6='Données projet'!$A$88,'Données projet'!$B$88,BD5+BC6-BL5)))</f>
        <v>2.3800262745964411</v>
      </c>
      <c r="BE6" s="13">
        <f>BD6*VLOOKUP('Données projet'!$B$11,Paramètres!$A$1:$I$89,3,0)*VLOOKUP('Données projet'!$B$11,Paramètres!$A$1:$I$89,5,0)</f>
        <v>2.0791909534874513</v>
      </c>
      <c r="BF6" s="13">
        <f t="shared" si="37"/>
        <v>0.87992070356451979</v>
      </c>
      <c r="BG6" s="20">
        <f t="shared" si="7"/>
        <v>5.1537861360321822</v>
      </c>
      <c r="BH6" s="59">
        <f t="shared" si="8"/>
        <v>226.3468787258137</v>
      </c>
      <c r="BI6" s="59">
        <f ca="1">AVERAGE(OFFSET($BH$3,0,0,'Données projet'!$E$11+1,1))-AVERAGE(OFFSET($H$3,0,0,'Données projet'!$E$11+1,1))</f>
        <v>314.1123649635374</v>
      </c>
      <c r="BJ6" s="59">
        <f t="shared" si="38"/>
        <v>274.92342227914889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225.28745877421903</v>
      </c>
      <c r="CD6" s="59">
        <f ca="1">AVERAGE(OFFSET($CC$3,0,0,'Données projet'!$E$12+1,1))-AVERAGE(OFFSET($H$3,0,0,'Données projet'!$E$12+1,1))</f>
        <v>309.86296291630748</v>
      </c>
      <c r="CE6" s="59">
        <f t="shared" si="40"/>
        <v>301.17633325088661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1.6</v>
      </c>
      <c r="CT6" s="12">
        <f>IF('Données projet'!$A$140&gt;35,CT5+CS6-DB5,IF(A6&lt;'Données projet'!$A$140,$CQ$205^A6,IF(A6='Données projet'!$A$140,'Données projet'!$B$140,CT5+CS6-DB5)))</f>
        <v>1.6817928305074288</v>
      </c>
      <c r="CU6" s="17">
        <f>CT6*VLOOKUP('Données projet'!$B$13,Paramètres!$A$1:$I$89,3,0)*VLOOKUP('Données projet'!$B$13,Paramètres!$A$1:$I$89,5,0)</f>
        <v>1.4429782485753739</v>
      </c>
      <c r="CV6" s="13">
        <f t="shared" si="41"/>
        <v>0.6371974227238163</v>
      </c>
      <c r="CW6" s="20">
        <f t="shared" si="13"/>
        <v>3.6229726275127558</v>
      </c>
      <c r="CX6" s="59">
        <f t="shared" si="14"/>
        <v>224.81606521729427</v>
      </c>
      <c r="CY6" s="59">
        <f ca="1">AVERAGE(OFFSET($CX$3,0,0,'Données projet'!$E$13+1,1))-AVERAGE(OFFSET($H$3,0,0,'Données projet'!$E$13+1,1))</f>
        <v>462.66388549889928</v>
      </c>
      <c r="CZ6" s="59">
        <f t="shared" si="42"/>
        <v>265.3725203415089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1.7094017093333334</v>
      </c>
      <c r="DO6" s="12">
        <f>IF('Données projet'!$A$166&gt;35,DO5+DN6-DW5,IF(A6&lt;'Données projet'!$A$166,$DL$205^A6,IF(A6='Données projet'!$A$166,'Données projet'!$B$166,DO5+DN6-DW5)))</f>
        <v>1.9133176534379228</v>
      </c>
      <c r="DP6" s="17">
        <f>DO6*VLOOKUP('Données projet'!$B$14,Paramètres!$A$1:$I$89,3,0)*VLOOKUP('Données projet'!$B$14,Paramètres!$A$1:$I$89,5,0)</f>
        <v>1.4923877696815799</v>
      </c>
      <c r="DQ6" s="13">
        <f t="shared" si="43"/>
        <v>0.65643830959380334</v>
      </c>
      <c r="DR6" s="20">
        <f t="shared" si="16"/>
        <v>3.7425387547379589</v>
      </c>
      <c r="DS6" s="59">
        <f t="shared" si="17"/>
        <v>224.93563134451946</v>
      </c>
      <c r="DT6" s="59">
        <f ca="1">AVERAGE(OFFSET($DS$3,0,0,'Données projet'!$E$14+1,1))-AVERAGE(OFFSET($H$3,0,0,'Données projet'!$E$14+1,1))</f>
        <v>206.5241977687125</v>
      </c>
      <c r="DU6" s="59">
        <f t="shared" si="44"/>
        <v>205.25001043771269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0.9</v>
      </c>
      <c r="EJ6" s="12">
        <f>IF('Données projet'!$A$192&gt;35,EJ5+EI6-ER5,IF(A6&lt;'Données projet'!$A$192,$EG$205^A6,IF(A6='Données projet'!$A$192,'Données projet'!$B$192,EJ5+EI6-ER5)))</f>
        <v>1.5427333776762726</v>
      </c>
      <c r="EK6" s="17">
        <f>EJ6*VLOOKUP('Données projet'!$B$15,Paramètres!$A$1:$I$89,3,0)*VLOOKUP('Données projet'!$B$15,Paramètres!$A$1:$I$89,5,0)</f>
        <v>1.3477318787379919</v>
      </c>
      <c r="EL6" s="13">
        <f t="shared" si="45"/>
        <v>0.59988737006377257</v>
      </c>
      <c r="EM6" s="20">
        <f t="shared" si="19"/>
        <v>3.3921035249964064</v>
      </c>
      <c r="EN6" s="59">
        <f t="shared" si="20"/>
        <v>224.58519611477791</v>
      </c>
      <c r="EO6" s="59">
        <f ca="1">AVERAGE(OFFSET($EN$3,0,0,'Données projet'!$E$15+1,1))-AVERAGE(OFFSET($H$3,0,0,'Données projet'!$E$15+1,1))</f>
        <v>205.83135724908942</v>
      </c>
      <c r="EP6" s="59">
        <f t="shared" si="46"/>
        <v>193.60053377311405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0.9</v>
      </c>
      <c r="FE6" s="12">
        <f>IF('Données projet'!$A$218&gt;35,FE5+FD6-FM5,IF(A6&lt;'Données projet'!$A$218,$FB$205^A6,IF(A6='Données projet'!$A$218,'Données projet'!$B$218,FE5+FD6-FM5)))</f>
        <v>1.9331820449317632</v>
      </c>
      <c r="FF6" s="17">
        <f>FE6*VLOOKUP('Données projet'!$B$16,Paramètres!$A$1:$I$89,3,0)*VLOOKUP('Données projet'!$B$16,Paramètres!$A$1:$I$89,5,0)</f>
        <v>1.2666208758392912</v>
      </c>
      <c r="FG6" s="13">
        <f t="shared" si="47"/>
        <v>0.56787223780909624</v>
      </c>
      <c r="FH6" s="20">
        <f t="shared" si="22"/>
        <v>3.1950755062709413</v>
      </c>
      <c r="FI6" s="59">
        <f t="shared" si="23"/>
        <v>224.38816809605245</v>
      </c>
      <c r="FJ6" s="59">
        <f ca="1">AVERAGE(OFFSET($FI$3,0,0,'Données projet'!$E$16+1,1))-AVERAGE(OFFSET($H$3,0,0,'Données projet'!$E$16+1,1))</f>
        <v>242.76791261317206</v>
      </c>
      <c r="FK6" s="59">
        <f t="shared" si="48"/>
        <v>244.28580264867682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2.9235042736666665</v>
      </c>
      <c r="FZ6" s="12">
        <f>IF('Données projet'!$A$244&gt;35,FZ5+FY6-GH5,IF(A6&lt;'Données projet'!$A$244,$FW$205^A6,IF(A6='Données projet'!$A$244,'Données projet'!$B$244,FZ5+FY6-GH5)))</f>
        <v>1.564236799844811</v>
      </c>
      <c r="GA6" s="17">
        <f>FZ6*VLOOKUP('Données projet'!$B$17,Paramètres!$A$1:$I$89,3,0)*VLOOKUP('Données projet'!$B$17,Paramètres!$A$1:$I$89,5,0)</f>
        <v>1.4885277387323224</v>
      </c>
      <c r="GB6" s="13">
        <f t="shared" si="49"/>
        <v>0.65493785048281561</v>
      </c>
      <c r="GC6" s="20">
        <f t="shared" si="25"/>
        <v>3.7332025678830316</v>
      </c>
      <c r="GD6" s="59">
        <f t="shared" si="26"/>
        <v>224.92629515766455</v>
      </c>
      <c r="GE6" s="59">
        <f ca="1">AVERAGE(OFFSET($GD$3,0,0,'Données projet'!$E$17+1,1))-AVERAGE(OFFSET($H$3,0,0,'Données projet'!$E$17+1,1))</f>
        <v>512.71941256120977</v>
      </c>
      <c r="GF6" s="59">
        <f t="shared" si="50"/>
        <v>230.65031527019354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59.325388888122234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10.683760683333334</v>
      </c>
      <c r="GU6" s="12">
        <f>IF('Données projet'!$A$270&gt;35,GU5+GT6-HC5,IF(A6&lt;'Données projet'!$A$270,$GR$205^A6,IF(A6='Données projet'!$A$270,'Données projet'!$B$270,GU5+GT6-HC5)))</f>
        <v>4.5813016353098099</v>
      </c>
      <c r="GV6" s="17">
        <f>GU6*VLOOKUP('Données projet'!$B$18,Paramètres!$A$1:$I$89,3,0)*VLOOKUP('Données projet'!$B$18,Paramètres!$A$1:$I$89,5,0)</f>
        <v>2.0154062154054917</v>
      </c>
      <c r="GW6" s="13">
        <f t="shared" si="51"/>
        <v>0.85602579674747081</v>
      </c>
      <c r="GX6" s="20">
        <f t="shared" si="28"/>
        <v>5.0010774211664097</v>
      </c>
      <c r="GY6" s="59">
        <f t="shared" si="29"/>
        <v>226.19417001094791</v>
      </c>
      <c r="GZ6" s="59">
        <f ca="1">AVERAGE(OFFSET($GY$3,0,0,'Données projet'!$E$18+1,1))-AVERAGE(OFFSET($H$3,0,0,'Données projet'!$E$18+1,1))</f>
        <v>180.68917161146683</v>
      </c>
      <c r="HA6" s="59">
        <f t="shared" si="52"/>
        <v>344.42126252322419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2.25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8.25</v>
      </c>
      <c r="H7" s="66">
        <f t="shared" si="1"/>
        <v>223.66666666666666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2.9235042736666665</v>
      </c>
      <c r="N7" s="13">
        <f>IF('Données projet'!$A$36&gt;35,N6+M7-V6,IF(A7&lt;'Données projet'!$A$36,$K$205^A7,IF(A7='Données projet'!$A$36,'Données projet'!$B$36,N6+M7-V6)))</f>
        <v>1.8158083060839136</v>
      </c>
      <c r="O7" s="13">
        <f>N7*VLOOKUP('Données projet'!$B$9,Paramètres!$A$1:$I$89,3,0)*VLOOKUP('Données projet'!$B$9,Paramètres!$A$1:$I$89,5,0)</f>
        <v>1.6429433553447248</v>
      </c>
      <c r="P7" s="13">
        <f t="shared" si="33"/>
        <v>0.7146216768246334</v>
      </c>
      <c r="Q7" s="20">
        <f t="shared" si="2"/>
        <v>4.1060924310282987</v>
      </c>
      <c r="R7" s="59">
        <f t="shared" si="0"/>
        <v>227.20040291546346</v>
      </c>
      <c r="S7" s="59">
        <f ca="1">AVERAGE(OFFSET($R$3,0,0,'Données projet'!$E$9+1,1))-AVERAGE(OFFSET($H$3,0,0,'Données projet'!$E$9+1,1))</f>
        <v>490.57849401500789</v>
      </c>
      <c r="T7" s="59">
        <f t="shared" si="34"/>
        <v>221.7570623669753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1.8914529913333333</v>
      </c>
      <c r="AI7" s="13">
        <f>IF('Données projet'!$A$62&gt;35,AI6+AH7-AQ6,IF(A7&lt;'Données projet'!$A$62,$AF$205^A7,IF(A7='Données projet'!$A$62,'Données projet'!$B$62,AI6+AH7-AQ6)))</f>
        <v>1.7133874213484324</v>
      </c>
      <c r="AJ7" s="13">
        <f>AI7*VLOOKUP('Données projet'!$B$10,Paramètres!$A$1:$I$89,3,0)*VLOOKUP('Données projet'!$B$10,Paramètres!$A$1:$I$89,5,0)</f>
        <v>1.1493402822405285</v>
      </c>
      <c r="AK7" s="13">
        <f t="shared" si="35"/>
        <v>0.52115207674706188</v>
      </c>
      <c r="AL7" s="20">
        <f t="shared" si="4"/>
        <v>2.9094408585700529</v>
      </c>
      <c r="AM7" s="59">
        <f t="shared" si="5"/>
        <v>226.00375134300523</v>
      </c>
      <c r="AN7" s="59">
        <f ca="1">AVERAGE(OFFSET($AM$3,0,0,'Données projet'!$E$10+1,1))-AVERAGE(OFFSET($H$3,0,0,'Données projet'!$E$10+1,1))</f>
        <v>377.00534440335832</v>
      </c>
      <c r="AO7" s="59">
        <f t="shared" si="36"/>
        <v>131.56029120000656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1.8</v>
      </c>
      <c r="BD7" s="12">
        <f>IF('Données projet'!$A$88&gt;35,BD6+BC7-BL6,IF(A7&lt;'Données projet'!$A$88,$BA$205^A7,IF(A7='Données projet'!$A$88,'Données projet'!$B$88,BD6+BC7-BL6)))</f>
        <v>3.1776715231464374</v>
      </c>
      <c r="BE7" s="13">
        <f>BD7*VLOOKUP('Données projet'!$B$11,Paramètres!$A$1:$I$89,3,0)*VLOOKUP('Données projet'!$B$11,Paramètres!$A$1:$I$89,5,0)</f>
        <v>2.7760138426207281</v>
      </c>
      <c r="BF7" s="13">
        <f t="shared" si="37"/>
        <v>1.135950520408497</v>
      </c>
      <c r="BG7" s="20">
        <f t="shared" si="7"/>
        <v>6.8133379322758998</v>
      </c>
      <c r="BH7" s="59">
        <f t="shared" si="8"/>
        <v>229.90764841671108</v>
      </c>
      <c r="BI7" s="59">
        <f ca="1">AVERAGE(OFFSET($BH$3,0,0,'Données projet'!$E$11+1,1))-AVERAGE(OFFSET($H$3,0,0,'Données projet'!$E$11+1,1))</f>
        <v>314.1123649635374</v>
      </c>
      <c r="BJ7" s="59">
        <f t="shared" si="38"/>
        <v>274.92342227914889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228.25942243725734</v>
      </c>
      <c r="CD7" s="59">
        <f ca="1">AVERAGE(OFFSET($CC$3,0,0,'Données projet'!$E$12+1,1))-AVERAGE(OFFSET($H$3,0,0,'Données projet'!$E$12+1,1))</f>
        <v>309.86296291630748</v>
      </c>
      <c r="CE7" s="59">
        <f t="shared" si="40"/>
        <v>301.17633325088661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1.6</v>
      </c>
      <c r="CT7" s="12">
        <f>IF('Données projet'!$A$140&gt;35,CT6+CS7-DB6,IF(A7&lt;'Données projet'!$A$140,$CQ$205^A7,IF(A7='Données projet'!$A$140,'Données projet'!$B$140,CT6+CS7-DB6)))</f>
        <v>1.9999999999999996</v>
      </c>
      <c r="CU7" s="17">
        <f>CT7*VLOOKUP('Données projet'!$B$13,Paramètres!$A$1:$I$89,3,0)*VLOOKUP('Données projet'!$B$13,Paramètres!$A$1:$I$89,5,0)</f>
        <v>1.7159999999999997</v>
      </c>
      <c r="CV7" s="13">
        <f t="shared" si="41"/>
        <v>0.74262837066960552</v>
      </c>
      <c r="CW7" s="20">
        <f t="shared" si="13"/>
        <v>4.2821110789162296</v>
      </c>
      <c r="CX7" s="59">
        <f t="shared" si="14"/>
        <v>227.37642156335139</v>
      </c>
      <c r="CY7" s="59">
        <f ca="1">AVERAGE(OFFSET($CX$3,0,0,'Données projet'!$E$13+1,1))-AVERAGE(OFFSET($H$3,0,0,'Données projet'!$E$13+1,1))</f>
        <v>462.66388549889928</v>
      </c>
      <c r="CZ7" s="59">
        <f t="shared" si="42"/>
        <v>265.3725203415089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1.7094017093333334</v>
      </c>
      <c r="DO7" s="12">
        <f>IF('Données projet'!$A$166&gt;35,DO6+DN7-DW6,IF(A7&lt;'Données projet'!$A$166,$DL$205^A7,IF(A7='Données projet'!$A$166,'Données projet'!$B$166,DO6+DN7-DW6)))</f>
        <v>2.3752870707652209</v>
      </c>
      <c r="DP7" s="17">
        <f>DO7*VLOOKUP('Données projet'!$B$14,Paramètres!$A$1:$I$89,3,0)*VLOOKUP('Données projet'!$B$14,Paramètres!$A$1:$I$89,5,0)</f>
        <v>1.8527239151968724</v>
      </c>
      <c r="DQ7" s="13">
        <f t="shared" si="43"/>
        <v>0.79467510139059161</v>
      </c>
      <c r="DR7" s="20">
        <f t="shared" si="16"/>
        <v>4.6108866205564993</v>
      </c>
      <c r="DS7" s="59">
        <f t="shared" si="17"/>
        <v>227.70519710499167</v>
      </c>
      <c r="DT7" s="59">
        <f ca="1">AVERAGE(OFFSET($DS$3,0,0,'Données projet'!$E$14+1,1))-AVERAGE(OFFSET($H$3,0,0,'Données projet'!$E$14+1,1))</f>
        <v>206.5241977687125</v>
      </c>
      <c r="DU7" s="59">
        <f t="shared" si="44"/>
        <v>205.25001043771269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0.9</v>
      </c>
      <c r="EJ7" s="12">
        <f>IF('Données projet'!$A$192&gt;35,EJ6+EI7-ER6,IF(A7&lt;'Données projet'!$A$192,$EG$205^A7,IF(A7='Données projet'!$A$192,'Données projet'!$B$192,EJ6+EI7-ER6)))</f>
        <v>1.7826024579660036</v>
      </c>
      <c r="EK7" s="17">
        <f>EJ7*VLOOKUP('Données projet'!$B$15,Paramètres!$A$1:$I$89,3,0)*VLOOKUP('Données projet'!$B$15,Paramètres!$A$1:$I$89,5,0)</f>
        <v>1.5572815072791011</v>
      </c>
      <c r="EL7" s="13">
        <f t="shared" si="45"/>
        <v>0.68159698037116012</v>
      </c>
      <c r="EM7" s="20">
        <f t="shared" si="19"/>
        <v>3.8993800326575379</v>
      </c>
      <c r="EN7" s="59">
        <f t="shared" si="20"/>
        <v>226.99369051709272</v>
      </c>
      <c r="EO7" s="59">
        <f ca="1">AVERAGE(OFFSET($EN$3,0,0,'Données projet'!$E$15+1,1))-AVERAGE(OFFSET($H$3,0,0,'Données projet'!$E$15+1,1))</f>
        <v>205.83135724908942</v>
      </c>
      <c r="EP7" s="59">
        <f t="shared" si="46"/>
        <v>193.60053377311405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0.9</v>
      </c>
      <c r="FE7" s="12">
        <f>IF('Données projet'!$A$218&gt;35,FE6+FD7-FM6,IF(A7&lt;'Données projet'!$A$218,$FB$205^A7,IF(A7='Données projet'!$A$218,'Données projet'!$B$218,FE6+FD7-FM6)))</f>
        <v>2.4082246852806923</v>
      </c>
      <c r="FF7" s="17">
        <f>FE7*VLOOKUP('Données projet'!$B$16,Paramètres!$A$1:$I$89,3,0)*VLOOKUP('Données projet'!$B$16,Paramètres!$A$1:$I$89,5,0)</f>
        <v>1.5778688137959096</v>
      </c>
      <c r="FG7" s="13">
        <f t="shared" si="47"/>
        <v>0.68955276697540291</v>
      </c>
      <c r="FH7" s="20">
        <f t="shared" si="22"/>
        <v>3.9490925865100355</v>
      </c>
      <c r="FI7" s="59">
        <f t="shared" si="23"/>
        <v>227.0434030709452</v>
      </c>
      <c r="FJ7" s="59">
        <f ca="1">AVERAGE(OFFSET($FI$3,0,0,'Données projet'!$E$16+1,1))-AVERAGE(OFFSET($H$3,0,0,'Données projet'!$E$16+1,1))</f>
        <v>242.76791261317206</v>
      </c>
      <c r="FK7" s="59">
        <f t="shared" si="48"/>
        <v>244.28580264867682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2.9235042736666665</v>
      </c>
      <c r="FZ7" s="12">
        <f>IF('Données projet'!$A$244&gt;35,FZ6+FY7-GH6,IF(A7&lt;'Données projet'!$A$244,$FW$205^A7,IF(A7='Données projet'!$A$244,'Données projet'!$B$244,FZ6+FY7-GH6)))</f>
        <v>1.8158083060839136</v>
      </c>
      <c r="GA7" s="17">
        <f>FZ7*VLOOKUP('Données projet'!$B$17,Paramètres!$A$1:$I$89,3,0)*VLOOKUP('Données projet'!$B$17,Paramètres!$A$1:$I$89,5,0)</f>
        <v>1.7279231840694524</v>
      </c>
      <c r="GB7" s="13">
        <f t="shared" si="49"/>
        <v>0.74718587408347581</v>
      </c>
      <c r="GC7" s="20">
        <f t="shared" si="25"/>
        <v>4.3108149429496834</v>
      </c>
      <c r="GD7" s="59">
        <f t="shared" si="26"/>
        <v>227.40512542738486</v>
      </c>
      <c r="GE7" s="59">
        <f ca="1">AVERAGE(OFFSET($GD$3,0,0,'Données projet'!$E$17+1,1))-AVERAGE(OFFSET($H$3,0,0,'Données projet'!$E$17+1,1))</f>
        <v>512.71941256120977</v>
      </c>
      <c r="GF7" s="59">
        <f t="shared" si="50"/>
        <v>230.65031527019354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59.510569526058077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10.683760683333334</v>
      </c>
      <c r="GU7" s="12">
        <f>IF('Données projet'!$A$270&gt;35,GU6+GT7-HC6,IF(A7&lt;'Données projet'!$A$270,$GR$205^A7,IF(A7='Données projet'!$A$270,'Données projet'!$B$270,GU6+GT7-HC6)))</f>
        <v>7.6088411227202828</v>
      </c>
      <c r="GV7" s="17">
        <f>GU7*VLOOKUP('Données projet'!$B$18,Paramètres!$A$1:$I$89,3,0)*VLOOKUP('Données projet'!$B$18,Paramètres!$A$1:$I$89,5,0)</f>
        <v>3.3472813867071065</v>
      </c>
      <c r="GW7" s="13">
        <f t="shared" si="51"/>
        <v>1.3402015401860954</v>
      </c>
      <c r="GX7" s="20">
        <f t="shared" si="28"/>
        <v>8.1640327643389909</v>
      </c>
      <c r="GY7" s="59">
        <f t="shared" si="29"/>
        <v>231.25834324877417</v>
      </c>
      <c r="GZ7" s="59">
        <f ca="1">AVERAGE(OFFSET($GY$3,0,0,'Données projet'!$E$18+1,1))-AVERAGE(OFFSET($H$3,0,0,'Données projet'!$E$18+1,1))</f>
        <v>180.68917161146683</v>
      </c>
      <c r="HA7" s="59">
        <f t="shared" si="52"/>
        <v>344.42126252322419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2.25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8.25</v>
      </c>
      <c r="H8" s="66">
        <f t="shared" si="1"/>
        <v>223.66666666666666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2.9235042736666665</v>
      </c>
      <c r="N8" s="13">
        <f>IF('Données projet'!$A$36&gt;35,N7+M8-V7,IF(A8&lt;'Données projet'!$A$36,$K$205^A8,IF(A8='Données projet'!$A$36,'Données projet'!$B$36,N7+M8-V7)))</f>
        <v>2.1078393020612003</v>
      </c>
      <c r="O8" s="13">
        <f>N8*VLOOKUP('Données projet'!$B$9,Paramètres!$A$1:$I$89,3,0)*VLOOKUP('Données projet'!$B$9,Paramètres!$A$1:$I$89,5,0)</f>
        <v>1.9071730005049738</v>
      </c>
      <c r="P8" s="13">
        <f t="shared" si="33"/>
        <v>0.8152761698588421</v>
      </c>
      <c r="Q8" s="20">
        <f t="shared" si="2"/>
        <v>4.7415989717169795</v>
      </c>
      <c r="R8" s="59">
        <f t="shared" si="0"/>
        <v>229.72534829389605</v>
      </c>
      <c r="S8" s="59">
        <f ca="1">AVERAGE(OFFSET($R$3,0,0,'Données projet'!$E$9+1,1))-AVERAGE(OFFSET($H$3,0,0,'Données projet'!$E$9+1,1))</f>
        <v>490.57849401500789</v>
      </c>
      <c r="T8" s="59">
        <f t="shared" si="34"/>
        <v>221.7570623669753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1.8914529913333333</v>
      </c>
      <c r="AI8" s="13">
        <f>IF('Données projet'!$A$62&gt;35,AI7+AH8-AQ7,IF(A8&lt;'Données projet'!$A$62,$AF$205^A8,IF(A8='Données projet'!$A$62,'Données projet'!$B$62,AI7+AH8-AQ7)))</f>
        <v>1.9602861333222572</v>
      </c>
      <c r="AJ8" s="13">
        <f>AI8*VLOOKUP('Données projet'!$B$10,Paramètres!$A$1:$I$89,3,0)*VLOOKUP('Données projet'!$B$10,Paramètres!$A$1:$I$89,5,0)</f>
        <v>1.3149599382325701</v>
      </c>
      <c r="AK8" s="13">
        <f t="shared" si="35"/>
        <v>0.58697981777479968</v>
      </c>
      <c r="AL8" s="20">
        <f t="shared" si="4"/>
        <v>3.3125450750461689</v>
      </c>
      <c r="AM8" s="59">
        <f t="shared" si="5"/>
        <v>228.29629439722524</v>
      </c>
      <c r="AN8" s="59">
        <f ca="1">AVERAGE(OFFSET($AM$3,0,0,'Données projet'!$E$10+1,1))-AVERAGE(OFFSET($H$3,0,0,'Données projet'!$E$10+1,1))</f>
        <v>377.00534440335832</v>
      </c>
      <c r="AO8" s="59">
        <f t="shared" si="36"/>
        <v>131.56029120000656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1.8</v>
      </c>
      <c r="BD8" s="12">
        <f>IF('Données projet'!$A$88&gt;35,BD7+BC8-BL7,IF(A8&lt;'Données projet'!$A$88,$BA$205^A8,IF(A8='Données projet'!$A$88,'Données projet'!$B$88,BD7+BC8-BL7)))</f>
        <v>4.2426406871192865</v>
      </c>
      <c r="BE8" s="13">
        <f>BD8*VLOOKUP('Données projet'!$B$11,Paramètres!$A$1:$I$89,3,0)*VLOOKUP('Données projet'!$B$11,Paramètres!$A$1:$I$89,5,0)</f>
        <v>3.7063709042674091</v>
      </c>
      <c r="BF8" s="13">
        <f t="shared" si="37"/>
        <v>1.4664771263922398</v>
      </c>
      <c r="BG8" s="20">
        <f t="shared" si="7"/>
        <v>9.0093769867322209</v>
      </c>
      <c r="BH8" s="59">
        <f t="shared" si="8"/>
        <v>233.99312630891131</v>
      </c>
      <c r="BI8" s="59">
        <f ca="1">AVERAGE(OFFSET($BH$3,0,0,'Données projet'!$E$11+1,1))-AVERAGE(OFFSET($H$3,0,0,'Données projet'!$E$11+1,1))</f>
        <v>314.1123649635374</v>
      </c>
      <c r="BJ8" s="59">
        <f t="shared" si="38"/>
        <v>274.92342227914889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231.50069398829197</v>
      </c>
      <c r="CD8" s="59">
        <f ca="1">AVERAGE(OFFSET($CC$3,0,0,'Données projet'!$E$12+1,1))-AVERAGE(OFFSET($H$3,0,0,'Données projet'!$E$12+1,1))</f>
        <v>309.86296291630748</v>
      </c>
      <c r="CE8" s="59">
        <f t="shared" si="40"/>
        <v>301.17633325088661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1.6</v>
      </c>
      <c r="CT8" s="12">
        <f>IF('Données projet'!$A$140&gt;35,CT7+CS8-DB7,IF(A8&lt;'Données projet'!$A$140,$CQ$205^A8,IF(A8='Données projet'!$A$140,'Données projet'!$B$140,CT7+CS8-DB7)))</f>
        <v>2.3784142300054416</v>
      </c>
      <c r="CU8" s="17">
        <f>CT8*VLOOKUP('Données projet'!$B$13,Paramètres!$A$1:$I$89,3,0)*VLOOKUP('Données projet'!$B$13,Paramètres!$A$1:$I$89,5,0)</f>
        <v>2.0406794093446692</v>
      </c>
      <c r="CV8" s="13">
        <f t="shared" si="41"/>
        <v>0.86550396667632346</v>
      </c>
      <c r="CW8" s="20">
        <f t="shared" si="13"/>
        <v>5.061602713236562</v>
      </c>
      <c r="CX8" s="59">
        <f t="shared" si="14"/>
        <v>230.04535203541565</v>
      </c>
      <c r="CY8" s="59">
        <f ca="1">AVERAGE(OFFSET($CX$3,0,0,'Données projet'!$E$13+1,1))-AVERAGE(OFFSET($H$3,0,0,'Données projet'!$E$13+1,1))</f>
        <v>462.66388549889928</v>
      </c>
      <c r="CZ8" s="59">
        <f t="shared" si="42"/>
        <v>265.3725203415089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1.7094017093333334</v>
      </c>
      <c r="DO8" s="12">
        <f>IF('Données projet'!$A$166&gt;35,DO7+DN8-DW7,IF(A8&lt;'Données projet'!$A$166,$DL$205^A8,IF(A8='Données projet'!$A$166,'Données projet'!$B$166,DO7+DN8-DW7)))</f>
        <v>2.9487987310453554</v>
      </c>
      <c r="DP8" s="17">
        <f>DO8*VLOOKUP('Données projet'!$B$14,Paramètres!$A$1:$I$89,3,0)*VLOOKUP('Données projet'!$B$14,Paramètres!$A$1:$I$89,5,0)</f>
        <v>2.3000630102153772</v>
      </c>
      <c r="DQ8" s="13">
        <f t="shared" si="43"/>
        <v>0.9620226417938913</v>
      </c>
      <c r="DR8" s="20">
        <f t="shared" si="16"/>
        <v>5.6814658439161425</v>
      </c>
      <c r="DS8" s="59">
        <f t="shared" si="17"/>
        <v>230.66521516609521</v>
      </c>
      <c r="DT8" s="59">
        <f ca="1">AVERAGE(OFFSET($DS$3,0,0,'Données projet'!$E$14+1,1))-AVERAGE(OFFSET($H$3,0,0,'Données projet'!$E$14+1,1))</f>
        <v>206.5241977687125</v>
      </c>
      <c r="DU8" s="59">
        <f t="shared" si="44"/>
        <v>205.25001043771269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0.9</v>
      </c>
      <c r="EJ8" s="12">
        <f>IF('Données projet'!$A$192&gt;35,EJ7+EI8-ER7,IF(A8&lt;'Données projet'!$A$192,$EG$205^A8,IF(A8='Données projet'!$A$192,'Données projet'!$B$192,EJ7+EI8-ER7)))</f>
        <v>2.0597671439071181</v>
      </c>
      <c r="EK8" s="17">
        <f>EJ8*VLOOKUP('Données projet'!$B$15,Paramètres!$A$1:$I$89,3,0)*VLOOKUP('Données projet'!$B$15,Paramètres!$A$1:$I$89,5,0)</f>
        <v>1.7994125769172586</v>
      </c>
      <c r="EL8" s="13">
        <f t="shared" si="45"/>
        <v>0.77443611390200762</v>
      </c>
      <c r="EM8" s="20">
        <f t="shared" si="19"/>
        <v>4.4827864698435551</v>
      </c>
      <c r="EN8" s="59">
        <f t="shared" si="20"/>
        <v>229.46653579202263</v>
      </c>
      <c r="EO8" s="59">
        <f ca="1">AVERAGE(OFFSET($EN$3,0,0,'Données projet'!$E$15+1,1))-AVERAGE(OFFSET($H$3,0,0,'Données projet'!$E$15+1,1))</f>
        <v>205.83135724908942</v>
      </c>
      <c r="EP8" s="59">
        <f t="shared" si="46"/>
        <v>193.60053377311405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0.9</v>
      </c>
      <c r="FE8" s="12">
        <f>IF('Données projet'!$A$218&gt;35,FE7+FD8-FM7,IF(A8&lt;'Données projet'!$A$218,$FB$205^A8,IF(A8='Données projet'!$A$218,'Données projet'!$B$218,FE7+FD8-FM7)))</f>
        <v>3.0000000000000004</v>
      </c>
      <c r="FF8" s="17">
        <f>FE8*VLOOKUP('Données projet'!$B$16,Paramètres!$A$1:$I$89,3,0)*VLOOKUP('Données projet'!$B$16,Paramètres!$A$1:$I$89,5,0)</f>
        <v>1.9656000000000005</v>
      </c>
      <c r="FG8" s="13">
        <f t="shared" si="47"/>
        <v>0.83730632840564978</v>
      </c>
      <c r="FH8" s="20">
        <f t="shared" si="22"/>
        <v>4.8817285219731739</v>
      </c>
      <c r="FI8" s="59">
        <f t="shared" si="23"/>
        <v>229.86547784415225</v>
      </c>
      <c r="FJ8" s="59">
        <f ca="1">AVERAGE(OFFSET($FI$3,0,0,'Données projet'!$E$16+1,1))-AVERAGE(OFFSET($H$3,0,0,'Données projet'!$E$16+1,1))</f>
        <v>242.76791261317206</v>
      </c>
      <c r="FK8" s="59">
        <f t="shared" si="48"/>
        <v>244.28580264867682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2.9235042736666665</v>
      </c>
      <c r="FZ8" s="12">
        <f>IF('Données projet'!$A$244&gt;35,FZ7+FY8-GH7,IF(A8&lt;'Données projet'!$A$244,$FW$205^A8,IF(A8='Données projet'!$A$244,'Données projet'!$B$244,FZ7+FY8-GH7)))</f>
        <v>2.1078393020612003</v>
      </c>
      <c r="GA8" s="17">
        <f>FZ8*VLOOKUP('Données projet'!$B$17,Paramètres!$A$1:$I$89,3,0)*VLOOKUP('Données projet'!$B$17,Paramètres!$A$1:$I$89,5,0)</f>
        <v>2.0058198798414382</v>
      </c>
      <c r="GB8" s="13">
        <f t="shared" si="49"/>
        <v>0.85242703566196809</v>
      </c>
      <c r="GC8" s="20">
        <f t="shared" si="25"/>
        <v>4.9781133778350988</v>
      </c>
      <c r="GD8" s="59">
        <f t="shared" si="26"/>
        <v>229.96186270001417</v>
      </c>
      <c r="GE8" s="59">
        <f ca="1">AVERAGE(OFFSET($GD$3,0,0,'Données projet'!$E$17+1,1))-AVERAGE(OFFSET($H$3,0,0,'Données projet'!$E$17+1,1))</f>
        <v>512.71941256120977</v>
      </c>
      <c r="GF8" s="59">
        <f t="shared" si="50"/>
        <v>230.65031527019354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59.692537693927633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10.683760683333334</v>
      </c>
      <c r="GU8" s="12">
        <f>IF('Données projet'!$A$270&gt;35,GU7+GT8-HC7,IF(A8&lt;'Données projet'!$A$270,$GR$205^A8,IF(A8='Données projet'!$A$270,'Données projet'!$B$270,GU7+GT8-HC7)))</f>
        <v>12.637121027915933</v>
      </c>
      <c r="GV8" s="17">
        <f>GU8*VLOOKUP('Données projet'!$B$18,Paramètres!$A$1:$I$89,3,0)*VLOOKUP('Données projet'!$B$18,Paramètres!$A$1:$I$89,5,0)</f>
        <v>5.5593222826007773</v>
      </c>
      <c r="GW8" s="13">
        <f t="shared" si="51"/>
        <v>2.0982313560429389</v>
      </c>
      <c r="GX8" s="20">
        <f t="shared" si="28"/>
        <v>13.336905920637804</v>
      </c>
      <c r="GY8" s="59">
        <f t="shared" si="29"/>
        <v>238.32065524281688</v>
      </c>
      <c r="GZ8" s="59">
        <f ca="1">AVERAGE(OFFSET($GY$3,0,0,'Données projet'!$E$18+1,1))-AVERAGE(OFFSET($H$3,0,0,'Données projet'!$E$18+1,1))</f>
        <v>180.68917161146683</v>
      </c>
      <c r="HA8" s="59">
        <f t="shared" si="52"/>
        <v>344.42126252322419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2.25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8.25</v>
      </c>
      <c r="H9" s="66">
        <f t="shared" si="1"/>
        <v>223.66666666666666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2.9235042736666665</v>
      </c>
      <c r="N9" s="13">
        <f>IF('Données projet'!$A$36&gt;35,N8+M9-V8,IF(A9&lt;'Données projet'!$A$36,$K$205^A9,IF(A9='Données projet'!$A$36,'Données projet'!$B$36,N8+M9-V8)))</f>
        <v>2.4468367659887358</v>
      </c>
      <c r="O9" s="13">
        <f>N9*VLOOKUP('Données projet'!$B$9,Paramètres!$A$1:$I$89,3,0)*VLOOKUP('Données projet'!$B$9,Paramètres!$A$1:$I$89,5,0)</f>
        <v>2.2138979058666082</v>
      </c>
      <c r="P9" s="13">
        <f t="shared" si="33"/>
        <v>0.93010785244178018</v>
      </c>
      <c r="Q9" s="20">
        <f t="shared" si="2"/>
        <v>5.4758100290537763</v>
      </c>
      <c r="R9" s="59">
        <f t="shared" si="0"/>
        <v>232.33742347237032</v>
      </c>
      <c r="S9" s="59">
        <f ca="1">AVERAGE(OFFSET($R$3,0,0,'Données projet'!$E$9+1,1))-AVERAGE(OFFSET($H$3,0,0,'Données projet'!$E$9+1,1))</f>
        <v>490.57849401500789</v>
      </c>
      <c r="T9" s="59">
        <f t="shared" si="34"/>
        <v>221.7570623669753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1.8914529913333333</v>
      </c>
      <c r="AI9" s="13">
        <f>IF('Données projet'!$A$62&gt;35,AI8+AH9-AQ8,IF(A9&lt;'Données projet'!$A$62,$AF$205^A9,IF(A9='Données projet'!$A$62,'Données projet'!$B$62,AI8+AH9-AQ8)))</f>
        <v>2.2427628898263494</v>
      </c>
      <c r="AJ9" s="13">
        <f>AI9*VLOOKUP('Données projet'!$B$10,Paramètres!$A$1:$I$89,3,0)*VLOOKUP('Données projet'!$B$10,Paramètres!$A$1:$I$89,5,0)</f>
        <v>1.5044453464955152</v>
      </c>
      <c r="AK9" s="13">
        <f t="shared" si="35"/>
        <v>0.66112238988958349</v>
      </c>
      <c r="AL9" s="20">
        <f t="shared" si="4"/>
        <v>3.7716971408707138</v>
      </c>
      <c r="AM9" s="59">
        <f t="shared" si="5"/>
        <v>230.63331058418726</v>
      </c>
      <c r="AN9" s="59">
        <f ca="1">AVERAGE(OFFSET($AM$3,0,0,'Données projet'!$E$10+1,1))-AVERAGE(OFFSET($H$3,0,0,'Données projet'!$E$10+1,1))</f>
        <v>377.00534440335832</v>
      </c>
      <c r="AO9" s="59">
        <f t="shared" si="36"/>
        <v>131.56029120000656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1.8</v>
      </c>
      <c r="BD9" s="12">
        <f>IF('Données projet'!$A$88&gt;35,BD8+BC9-BL8,IF(A9&lt;'Données projet'!$A$88,$BA$205^A9,IF(A9='Données projet'!$A$88,'Données projet'!$B$88,BD8+BC9-BL8)))</f>
        <v>5.6645250677694134</v>
      </c>
      <c r="BE9" s="13">
        <f>BD9*VLOOKUP('Données projet'!$B$11,Paramètres!$A$1:$I$89,3,0)*VLOOKUP('Données projet'!$B$11,Paramètres!$A$1:$I$89,5,0)</f>
        <v>4.9485290992033608</v>
      </c>
      <c r="BF9" s="13">
        <f t="shared" si="37"/>
        <v>1.8931767921179217</v>
      </c>
      <c r="BG9" s="20">
        <f t="shared" si="7"/>
        <v>11.915971094051232</v>
      </c>
      <c r="BH9" s="59">
        <f t="shared" si="8"/>
        <v>238.77758453736777</v>
      </c>
      <c r="BI9" s="59">
        <f ca="1">AVERAGE(OFFSET($BH$3,0,0,'Données projet'!$E$11+1,1))-AVERAGE(OFFSET($H$3,0,0,'Données projet'!$E$11+1,1))</f>
        <v>314.1123649635374</v>
      </c>
      <c r="BJ9" s="59">
        <f t="shared" si="38"/>
        <v>274.92342227914889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235.08553101151529</v>
      </c>
      <c r="CD9" s="59">
        <f ca="1">AVERAGE(OFFSET($CC$3,0,0,'Données projet'!$E$12+1,1))-AVERAGE(OFFSET($H$3,0,0,'Données projet'!$E$12+1,1))</f>
        <v>309.86296291630748</v>
      </c>
      <c r="CE9" s="59">
        <f t="shared" si="40"/>
        <v>301.17633325088661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1.6</v>
      </c>
      <c r="CT9" s="12">
        <f>IF('Données projet'!$A$140&gt;35,CT8+CS9-DB8,IF(A9&lt;'Données projet'!$A$140,$CQ$205^A9,IF(A9='Données projet'!$A$140,'Données projet'!$B$140,CT8+CS9-DB8)))</f>
        <v>2.8284271247461894</v>
      </c>
      <c r="CU9" s="17">
        <f>CT9*VLOOKUP('Données projet'!$B$13,Paramètres!$A$1:$I$89,3,0)*VLOOKUP('Données projet'!$B$13,Paramètres!$A$1:$I$89,5,0)</f>
        <v>2.4267904730322307</v>
      </c>
      <c r="CV9" s="13">
        <f t="shared" si="41"/>
        <v>1.0087106093953995</v>
      </c>
      <c r="CW9" s="20">
        <f t="shared" si="13"/>
        <v>5.9834977185614555</v>
      </c>
      <c r="CX9" s="59">
        <f t="shared" si="14"/>
        <v>232.84511116187801</v>
      </c>
      <c r="CY9" s="59">
        <f ca="1">AVERAGE(OFFSET($CX$3,0,0,'Données projet'!$E$13+1,1))-AVERAGE(OFFSET($H$3,0,0,'Données projet'!$E$13+1,1))</f>
        <v>462.66388549889928</v>
      </c>
      <c r="CZ9" s="59">
        <f t="shared" si="42"/>
        <v>265.3725203415089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1.7094017093333334</v>
      </c>
      <c r="DO9" s="12">
        <f>IF('Données projet'!$A$166&gt;35,DO8+DN9-DW8,IF(A9&lt;'Données projet'!$A$166,$DL$205^A9,IF(A9='Données projet'!$A$166,'Données projet'!$B$166,DO8+DN9-DW8)))</f>
        <v>3.6607844429571994</v>
      </c>
      <c r="DP9" s="17">
        <f>DO9*VLOOKUP('Données projet'!$B$14,Paramètres!$A$1:$I$89,3,0)*VLOOKUP('Données projet'!$B$14,Paramètres!$A$1:$I$89,5,0)</f>
        <v>2.8554118655066154</v>
      </c>
      <c r="DQ9" s="13">
        <f t="shared" si="43"/>
        <v>1.1646112501884092</v>
      </c>
      <c r="DR9" s="20">
        <f t="shared" si="16"/>
        <v>7.0015402598355001</v>
      </c>
      <c r="DS9" s="59">
        <f t="shared" si="17"/>
        <v>233.86315370315205</v>
      </c>
      <c r="DT9" s="59">
        <f ca="1">AVERAGE(OFFSET($DS$3,0,0,'Données projet'!$E$14+1,1))-AVERAGE(OFFSET($H$3,0,0,'Données projet'!$E$14+1,1))</f>
        <v>206.5241977687125</v>
      </c>
      <c r="DU9" s="59">
        <f t="shared" si="44"/>
        <v>205.25001043771269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0.9</v>
      </c>
      <c r="EJ9" s="12">
        <f>IF('Données projet'!$A$192&gt;35,EJ8+EI9-ER8,IF(A9&lt;'Données projet'!$A$192,$EG$205^A9,IF(A9='Données projet'!$A$192,'Données projet'!$B$192,EJ8+EI9-ER8)))</f>
        <v>2.3800262745964411</v>
      </c>
      <c r="EK9" s="17">
        <f>EJ9*VLOOKUP('Données projet'!$B$15,Paramètres!$A$1:$I$89,3,0)*VLOOKUP('Données projet'!$B$15,Paramètres!$A$1:$I$89,5,0)</f>
        <v>2.0791909534874513</v>
      </c>
      <c r="EL9" s="13">
        <f t="shared" si="45"/>
        <v>0.87992070356451979</v>
      </c>
      <c r="EM9" s="20">
        <f t="shared" si="19"/>
        <v>5.1537861360321822</v>
      </c>
      <c r="EN9" s="59">
        <f t="shared" si="20"/>
        <v>232.01539957934872</v>
      </c>
      <c r="EO9" s="59">
        <f ca="1">AVERAGE(OFFSET($EN$3,0,0,'Données projet'!$E$15+1,1))-AVERAGE(OFFSET($H$3,0,0,'Données projet'!$E$15+1,1))</f>
        <v>205.83135724908942</v>
      </c>
      <c r="EP9" s="59">
        <f t="shared" si="46"/>
        <v>193.60053377311405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0.9</v>
      </c>
      <c r="FE9" s="12">
        <f>IF('Données projet'!$A$218&gt;35,FE8+FD9-FM8,IF(A9&lt;'Données projet'!$A$218,$FB$205^A9,IF(A9='Données projet'!$A$218,'Données projet'!$B$218,FE8+FD9-FM8)))</f>
        <v>3.7371928188465526</v>
      </c>
      <c r="FF9" s="17">
        <f>FE9*VLOOKUP('Données projet'!$B$16,Paramètres!$A$1:$I$89,3,0)*VLOOKUP('Données projet'!$B$16,Paramètres!$A$1:$I$89,5,0)</f>
        <v>2.448608734908261</v>
      </c>
      <c r="FG9" s="13">
        <f t="shared" si="47"/>
        <v>1.0167197075625076</v>
      </c>
      <c r="FH9" s="20">
        <f t="shared" si="22"/>
        <v>6.035447037303256</v>
      </c>
      <c r="FI9" s="59">
        <f t="shared" si="23"/>
        <v>232.89706048061979</v>
      </c>
      <c r="FJ9" s="59">
        <f ca="1">AVERAGE(OFFSET($FI$3,0,0,'Données projet'!$E$16+1,1))-AVERAGE(OFFSET($H$3,0,0,'Données projet'!$E$16+1,1))</f>
        <v>242.76791261317206</v>
      </c>
      <c r="FK9" s="59">
        <f t="shared" si="48"/>
        <v>244.28580264867682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2.9235042736666665</v>
      </c>
      <c r="FZ9" s="12">
        <f>IF('Données projet'!$A$244&gt;35,FZ8+FY9-GH8,IF(A9&lt;'Données projet'!$A$244,$FW$205^A9,IF(A9='Données projet'!$A$244,'Données projet'!$B$244,FZ8+FY9-GH8)))</f>
        <v>2.4468367659887358</v>
      </c>
      <c r="GA9" s="17">
        <f>FZ9*VLOOKUP('Données projet'!$B$17,Paramètres!$A$1:$I$89,3,0)*VLOOKUP('Données projet'!$B$17,Paramètres!$A$1:$I$89,5,0)</f>
        <v>2.3284098665148809</v>
      </c>
      <c r="GB9" s="13">
        <f t="shared" si="49"/>
        <v>0.97249141924526095</v>
      </c>
      <c r="GC9" s="20">
        <f t="shared" si="25"/>
        <v>5.7490697393655807</v>
      </c>
      <c r="GD9" s="59">
        <f t="shared" si="26"/>
        <v>232.61068318268212</v>
      </c>
      <c r="GE9" s="59">
        <f ca="1">AVERAGE(OFFSET($GD$3,0,0,'Données projet'!$E$17+1,1))-AVERAGE(OFFSET($H$3,0,0,'Données projet'!$E$17+1,1))</f>
        <v>512.71941256120977</v>
      </c>
      <c r="GF9" s="59">
        <f t="shared" si="50"/>
        <v>230.65031527019354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59.871349120904512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10.683760683333334</v>
      </c>
      <c r="GU9" s="12">
        <f>IF('Données projet'!$A$270&gt;35,GU8+GT9-HC8,IF(A9&lt;'Données projet'!$A$270,$GR$205^A9,IF(A9='Données projet'!$A$270,'Données projet'!$B$270,GU8+GT9-HC8)))</f>
        <v>20.98832467369234</v>
      </c>
      <c r="GV9" s="17">
        <f>GU9*VLOOKUP('Données projet'!$B$18,Paramètres!$A$1:$I$89,3,0)*VLOOKUP('Données projet'!$B$18,Paramètres!$A$1:$I$89,5,0)</f>
        <v>9.2331837904507346</v>
      </c>
      <c r="GW9" s="13">
        <f t="shared" si="51"/>
        <v>3.2850095239186663</v>
      </c>
      <c r="GX9" s="20">
        <f t="shared" si="28"/>
        <v>21.802520022526707</v>
      </c>
      <c r="GY9" s="59">
        <f t="shared" si="29"/>
        <v>248.66413346584324</v>
      </c>
      <c r="GZ9" s="59">
        <f ca="1">AVERAGE(OFFSET($GY$3,0,0,'Données projet'!$E$18+1,1))-AVERAGE(OFFSET($H$3,0,0,'Données projet'!$E$18+1,1))</f>
        <v>180.68917161146683</v>
      </c>
      <c r="HA9" s="59">
        <f t="shared" si="52"/>
        <v>344.42126252322419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2.25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8.25</v>
      </c>
      <c r="H10" s="66">
        <f t="shared" si="1"/>
        <v>223.66666666666666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2.9235042736666665</v>
      </c>
      <c r="N10" s="13">
        <f>IF('Données projet'!$A$36&gt;35,N9+M10-V9,IF(A10&lt;'Données projet'!$A$36,$K$205^A10,IF(A10='Données projet'!$A$36,'Données projet'!$B$36,N9+M10-V9)))</f>
        <v>2.840354173840328</v>
      </c>
      <c r="O10" s="13">
        <f>N10*VLOOKUP('Données projet'!$B$9,Paramètres!$A$1:$I$89,3,0)*VLOOKUP('Données projet'!$B$9,Paramètres!$A$1:$I$89,5,0)</f>
        <v>2.5699524564907286</v>
      </c>
      <c r="P10" s="13">
        <f t="shared" si="33"/>
        <v>1.0611135823136404</v>
      </c>
      <c r="Q10" s="20">
        <f t="shared" si="2"/>
        <v>6.3241066842509426</v>
      </c>
      <c r="R10" s="59">
        <f t="shared" si="0"/>
        <v>235.05221032755446</v>
      </c>
      <c r="S10" s="59">
        <f ca="1">AVERAGE(OFFSET($R$3,0,0,'Données projet'!$E$9+1,1))-AVERAGE(OFFSET($H$3,0,0,'Données projet'!$E$9+1,1))</f>
        <v>490.57849401500789</v>
      </c>
      <c r="T10" s="59">
        <f t="shared" si="34"/>
        <v>221.7570623669753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1.8914529913333333</v>
      </c>
      <c r="AI10" s="13">
        <f>IF('Données projet'!$A$62&gt;35,AI9+AH10-AQ9,IF(A10&lt;'Données projet'!$A$62,$AF$205^A10,IF(A10='Données projet'!$A$62,'Données projet'!$B$62,AI9+AH10-AQ9)))</f>
        <v>2.5659444784509642</v>
      </c>
      <c r="AJ10" s="13">
        <f>AI10*VLOOKUP('Données projet'!$B$10,Paramètres!$A$1:$I$89,3,0)*VLOOKUP('Données projet'!$B$10,Paramètres!$A$1:$I$89,5,0)</f>
        <v>1.7212355561449069</v>
      </c>
      <c r="AK10" s="13">
        <f t="shared" si="35"/>
        <v>0.7446300557151444</v>
      </c>
      <c r="AL10" s="20">
        <f t="shared" si="4"/>
        <v>4.2947159406562561</v>
      </c>
      <c r="AM10" s="59">
        <f t="shared" si="5"/>
        <v>233.02281958395977</v>
      </c>
      <c r="AN10" s="59">
        <f ca="1">AVERAGE(OFFSET($AM$3,0,0,'Données projet'!$E$10+1,1))-AVERAGE(OFFSET($H$3,0,0,'Données projet'!$E$10+1,1))</f>
        <v>377.00534440335832</v>
      </c>
      <c r="AO10" s="59">
        <f t="shared" si="36"/>
        <v>131.56029120000656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1.8</v>
      </c>
      <c r="BD10" s="12">
        <f>IF('Données projet'!$A$88&gt;35,BD9+BC10-BL9,IF(A10&lt;'Données projet'!$A$88,$BA$205^A10,IF(A10='Données projet'!$A$88,'Données projet'!$B$88,BD9+BC10-BL9)))</f>
        <v>7.5629417171254145</v>
      </c>
      <c r="BE10" s="13">
        <f>BD10*VLOOKUP('Données projet'!$B$11,Paramètres!$A$1:$I$89,3,0)*VLOOKUP('Données projet'!$B$11,Paramètres!$A$1:$I$89,5,0)</f>
        <v>6.6069858840807631</v>
      </c>
      <c r="BF10" s="13">
        <f t="shared" si="37"/>
        <v>2.4440329151477385</v>
      </c>
      <c r="BG10" s="20">
        <f t="shared" si="7"/>
        <v>15.763857741989639</v>
      </c>
      <c r="BH10" s="59">
        <f t="shared" si="8"/>
        <v>244.49196138529317</v>
      </c>
      <c r="BI10" s="59">
        <f ca="1">AVERAGE(OFFSET($BH$3,0,0,'Données projet'!$E$11+1,1))-AVERAGE(OFFSET($H$3,0,0,'Données projet'!$E$11+1,1))</f>
        <v>314.1123649635374</v>
      </c>
      <c r="BJ10" s="59">
        <f t="shared" si="38"/>
        <v>274.92342227914889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239.10776190347235</v>
      </c>
      <c r="CD10" s="59">
        <f ca="1">AVERAGE(OFFSET($CC$3,0,0,'Données projet'!$E$12+1,1))-AVERAGE(OFFSET($H$3,0,0,'Données projet'!$E$12+1,1))</f>
        <v>309.86296291630748</v>
      </c>
      <c r="CE10" s="59">
        <f t="shared" si="40"/>
        <v>301.17633325088661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1.6</v>
      </c>
      <c r="CT10" s="12">
        <f>IF('Données projet'!$A$140&gt;35,CT9+CS10-DB9,IF(A10&lt;'Données projet'!$A$140,$CQ$205^A10,IF(A10='Données projet'!$A$140,'Données projet'!$B$140,CT9+CS10-DB9)))</f>
        <v>3.3635856610148567</v>
      </c>
      <c r="CU10" s="17">
        <f>CT10*VLOOKUP('Données projet'!$B$13,Paramètres!$A$1:$I$89,3,0)*VLOOKUP('Données projet'!$B$13,Paramètres!$A$1:$I$89,5,0)</f>
        <v>2.8859564971507474</v>
      </c>
      <c r="CV10" s="13">
        <f t="shared" si="41"/>
        <v>1.1756122821876749</v>
      </c>
      <c r="CW10" s="20">
        <f t="shared" si="13"/>
        <v>7.073898957347752</v>
      </c>
      <c r="CX10" s="59">
        <f t="shared" si="14"/>
        <v>235.80200260065126</v>
      </c>
      <c r="CY10" s="59">
        <f ca="1">AVERAGE(OFFSET($CX$3,0,0,'Données projet'!$E$13+1,1))-AVERAGE(OFFSET($H$3,0,0,'Données projet'!$E$13+1,1))</f>
        <v>462.66388549889928</v>
      </c>
      <c r="CZ10" s="59">
        <f t="shared" si="42"/>
        <v>265.3725203415089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1.7094017093333334</v>
      </c>
      <c r="DO10" s="12">
        <f>IF('Données projet'!$A$166&gt;35,DO9+DN10-DW9,IF(A10&lt;'Données projet'!$A$166,$DL$205^A10,IF(A10='Données projet'!$A$166,'Données projet'!$B$166,DO9+DN10-DW9)))</f>
        <v>4.5446786844779501</v>
      </c>
      <c r="DP10" s="17">
        <f>DO10*VLOOKUP('Données projet'!$B$14,Paramètres!$A$1:$I$89,3,0)*VLOOKUP('Données projet'!$B$14,Paramètres!$A$1:$I$89,5,0)</f>
        <v>3.5448493738928013</v>
      </c>
      <c r="DQ10" s="13">
        <f t="shared" si="43"/>
        <v>1.4098622060872394</v>
      </c>
      <c r="DR10" s="20">
        <f t="shared" si="16"/>
        <v>8.6294560017985713</v>
      </c>
      <c r="DS10" s="59">
        <f t="shared" si="17"/>
        <v>237.35755964510207</v>
      </c>
      <c r="DT10" s="59">
        <f ca="1">AVERAGE(OFFSET($DS$3,0,0,'Données projet'!$E$14+1,1))-AVERAGE(OFFSET($H$3,0,0,'Données projet'!$E$14+1,1))</f>
        <v>206.5241977687125</v>
      </c>
      <c r="DU10" s="59">
        <f t="shared" si="44"/>
        <v>205.25001043771269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0.9</v>
      </c>
      <c r="EJ10" s="12">
        <f>IF('Données projet'!$A$192&gt;35,EJ9+EI10-ER9,IF(A10&lt;'Données projet'!$A$192,$EG$205^A10,IF(A10='Données projet'!$A$192,'Données projet'!$B$192,EJ9+EI10-ER9)))</f>
        <v>2.7500803110319185</v>
      </c>
      <c r="EK10" s="17">
        <f>EJ10*VLOOKUP('Données projet'!$B$15,Paramètres!$A$1:$I$89,3,0)*VLOOKUP('Données projet'!$B$15,Paramètres!$A$1:$I$89,5,0)</f>
        <v>2.4024701597174842</v>
      </c>
      <c r="EL10" s="13">
        <f t="shared" si="45"/>
        <v>0.9997731648390682</v>
      </c>
      <c r="EM10" s="20">
        <f t="shared" si="19"/>
        <v>5.9255737902693291</v>
      </c>
      <c r="EN10" s="59">
        <f t="shared" si="20"/>
        <v>234.65367743357285</v>
      </c>
      <c r="EO10" s="59">
        <f ca="1">AVERAGE(OFFSET($EN$3,0,0,'Données projet'!$E$15+1,1))-AVERAGE(OFFSET($H$3,0,0,'Données projet'!$E$15+1,1))</f>
        <v>205.83135724908942</v>
      </c>
      <c r="EP10" s="59">
        <f t="shared" si="46"/>
        <v>193.60053377311405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0.9</v>
      </c>
      <c r="FE10" s="12">
        <f>IF('Données projet'!$A$218&gt;35,FE9+FD10-FM9,IF(A10&lt;'Données projet'!$A$218,$FB$205^A10,IF(A10='Données projet'!$A$218,'Données projet'!$B$218,FE9+FD10-FM9)))</f>
        <v>4.6555367217460804</v>
      </c>
      <c r="FF10" s="17">
        <f>FE10*VLOOKUP('Données projet'!$B$16,Paramètres!$A$1:$I$89,3,0)*VLOOKUP('Données projet'!$B$16,Paramètres!$A$1:$I$89,5,0)</f>
        <v>3.0503076600880319</v>
      </c>
      <c r="FG10" s="13">
        <f t="shared" si="47"/>
        <v>1.2345767954654534</v>
      </c>
      <c r="FH10" s="20">
        <f t="shared" si="22"/>
        <v>7.4628404267556538</v>
      </c>
      <c r="FI10" s="59">
        <f t="shared" si="23"/>
        <v>236.19094407005917</v>
      </c>
      <c r="FJ10" s="59">
        <f ca="1">AVERAGE(OFFSET($FI$3,0,0,'Données projet'!$E$16+1,1))-AVERAGE(OFFSET($H$3,0,0,'Données projet'!$E$16+1,1))</f>
        <v>242.76791261317206</v>
      </c>
      <c r="FK10" s="59">
        <f t="shared" si="48"/>
        <v>244.28580264867682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2.9235042736666665</v>
      </c>
      <c r="FZ10" s="12">
        <f>IF('Données projet'!$A$244&gt;35,FZ9+FY10-GH9,IF(A10&lt;'Données projet'!$A$244,$FW$205^A10,IF(A10='Données projet'!$A$244,'Données projet'!$B$244,FZ9+FY10-GH9)))</f>
        <v>2.840354173840328</v>
      </c>
      <c r="GA10" s="17">
        <f>FZ10*VLOOKUP('Données projet'!$B$17,Paramètres!$A$1:$I$89,3,0)*VLOOKUP('Données projet'!$B$17,Paramètres!$A$1:$I$89,5,0)</f>
        <v>2.7028810318264562</v>
      </c>
      <c r="GB10" s="13">
        <f t="shared" si="49"/>
        <v>1.1094668762719733</v>
      </c>
      <c r="GC10" s="20">
        <f t="shared" si="25"/>
        <v>6.6398392732714306</v>
      </c>
      <c r="GD10" s="59">
        <f t="shared" si="26"/>
        <v>235.36794291657495</v>
      </c>
      <c r="GE10" s="59">
        <f ca="1">AVERAGE(OFFSET($GD$3,0,0,'Données projet'!$E$17+1,1))-AVERAGE(OFFSET($H$3,0,0,'Données projet'!$E$17+1,1))</f>
        <v>512.71941256120977</v>
      </c>
      <c r="GF10" s="59">
        <f t="shared" si="50"/>
        <v>230.65031527019354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60.047058569385811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10.683760683333334</v>
      </c>
      <c r="GU10" s="12">
        <f>IF('Données projet'!$A$270&gt;35,GU9+GT10-HC9,IF(A10&lt;'Données projet'!$A$270,$GR$205^A10,IF(A10='Données projet'!$A$270,'Données projet'!$B$270,GU9+GT10-HC9)))</f>
        <v>34.858396278330964</v>
      </c>
      <c r="GV10" s="17">
        <f>GU10*VLOOKUP('Données projet'!$B$18,Paramètres!$A$1:$I$89,3,0)*VLOOKUP('Données projet'!$B$18,Paramètres!$A$1:$I$89,5,0)</f>
        <v>15.334905690763357</v>
      </c>
      <c r="GW10" s="13">
        <f t="shared" si="51"/>
        <v>5.1430398946032652</v>
      </c>
      <c r="GX10" s="20">
        <f t="shared" si="28"/>
        <v>35.665755227846866</v>
      </c>
      <c r="GY10" s="59">
        <f t="shared" si="29"/>
        <v>264.39385887115037</v>
      </c>
      <c r="GZ10" s="59">
        <f ca="1">AVERAGE(OFFSET($GY$3,0,0,'Données projet'!$E$18+1,1))-AVERAGE(OFFSET($H$3,0,0,'Données projet'!$E$18+1,1))</f>
        <v>180.68917161146683</v>
      </c>
      <c r="HA10" s="59">
        <f t="shared" si="52"/>
        <v>344.42126252322419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2.25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8.25</v>
      </c>
      <c r="H11" s="66">
        <f t="shared" si="1"/>
        <v>223.66666666666666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2.9235042736666665</v>
      </c>
      <c r="N11" s="13">
        <f>IF('Données projet'!$A$36&gt;35,N10+M11-V10,IF(A11&lt;'Données projet'!$A$36,$K$205^A11,IF(A11='Données projet'!$A$36,'Données projet'!$B$36,N10+M11-V10)))</f>
        <v>3.2971598044433317</v>
      </c>
      <c r="O11" s="13">
        <f>N11*VLOOKUP('Données projet'!$B$9,Paramètres!$A$1:$I$89,3,0)*VLOOKUP('Données projet'!$B$9,Paramètres!$A$1:$I$89,5,0)</f>
        <v>2.9832701910603263</v>
      </c>
      <c r="P11" s="13">
        <f t="shared" si="33"/>
        <v>1.2105714747107423</v>
      </c>
      <c r="Q11" s="20">
        <f t="shared" si="2"/>
        <v>7.3042742345512766</v>
      </c>
      <c r="R11" s="59">
        <f t="shared" si="0"/>
        <v>237.887691468795</v>
      </c>
      <c r="S11" s="59">
        <f ca="1">AVERAGE(OFFSET($R$3,0,0,'Données projet'!$E$9+1,1))-AVERAGE(OFFSET($H$3,0,0,'Données projet'!$E$9+1,1))</f>
        <v>490.57849401500789</v>
      </c>
      <c r="T11" s="59">
        <f t="shared" si="34"/>
        <v>221.7570623669753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1.8914529913333333</v>
      </c>
      <c r="AI11" s="13">
        <f>IF('Données projet'!$A$62&gt;35,AI10+AH11-AQ10,IF(A11&lt;'Données projet'!$A$62,$AF$205^A11,IF(A11='Données projet'!$A$62,'Données projet'!$B$62,AI10+AH11-AQ10)))</f>
        <v>2.9356964556350307</v>
      </c>
      <c r="AJ11" s="13">
        <f>AI11*VLOOKUP('Données projet'!$B$10,Paramètres!$A$1:$I$89,3,0)*VLOOKUP('Données projet'!$B$10,Paramètres!$A$1:$I$89,5,0)</f>
        <v>1.9692651824399785</v>
      </c>
      <c r="AK11" s="13">
        <f t="shared" si="35"/>
        <v>0.83868573860725526</v>
      </c>
      <c r="AL11" s="20">
        <f t="shared" si="4"/>
        <v>4.890514520823932</v>
      </c>
      <c r="AM11" s="59">
        <f t="shared" si="5"/>
        <v>235.47393175506764</v>
      </c>
      <c r="AN11" s="59">
        <f ca="1">AVERAGE(OFFSET($AM$3,0,0,'Données projet'!$E$10+1,1))-AVERAGE(OFFSET($H$3,0,0,'Données projet'!$E$10+1,1))</f>
        <v>377.00534440335832</v>
      </c>
      <c r="AO11" s="59">
        <f t="shared" si="36"/>
        <v>131.56029120000656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1.8</v>
      </c>
      <c r="BD11" s="12">
        <f>IF('Données projet'!$A$88&gt;35,BD10+BC11-BL10,IF(A11&lt;'Données projet'!$A$88,$BA$205^A11,IF(A11='Données projet'!$A$88,'Données projet'!$B$88,BD10+BC11-BL10)))</f>
        <v>10.097596309015799</v>
      </c>
      <c r="BE11" s="13">
        <f>BD11*VLOOKUP('Données projet'!$B$11,Paramètres!$A$1:$I$89,3,0)*VLOOKUP('Données projet'!$B$11,Paramètres!$A$1:$I$89,5,0)</f>
        <v>8.8212601355562033</v>
      </c>
      <c r="BF11" s="13">
        <f t="shared" si="37"/>
        <v>3.1551711996443523</v>
      </c>
      <c r="BG11" s="20">
        <f t="shared" si="7"/>
        <v>20.858951242140964</v>
      </c>
      <c r="BH11" s="59">
        <f t="shared" si="8"/>
        <v>251.44236847638467</v>
      </c>
      <c r="BI11" s="59">
        <f ca="1">AVERAGE(OFFSET($BH$3,0,0,'Données projet'!$E$11+1,1))-AVERAGE(OFFSET($H$3,0,0,'Données projet'!$E$11+1,1))</f>
        <v>314.1123649635374</v>
      </c>
      <c r="BJ11" s="59">
        <f t="shared" si="38"/>
        <v>274.92342227914889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243.68597585479483</v>
      </c>
      <c r="CD11" s="59">
        <f ca="1">AVERAGE(OFFSET($CC$3,0,0,'Données projet'!$E$12+1,1))-AVERAGE(OFFSET($H$3,0,0,'Données projet'!$E$12+1,1))</f>
        <v>309.86296291630748</v>
      </c>
      <c r="CE11" s="59">
        <f t="shared" si="40"/>
        <v>301.17633325088661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1.6</v>
      </c>
      <c r="CT11" s="12">
        <f>IF('Données projet'!$A$140&gt;35,CT10+CS11-DB10,IF(A11&lt;'Données projet'!$A$140,$CQ$205^A11,IF(A11='Données projet'!$A$140,'Données projet'!$B$140,CT10+CS11-DB10)))</f>
        <v>3.9999999999999982</v>
      </c>
      <c r="CU11" s="17">
        <f>CT11*VLOOKUP('Données projet'!$B$13,Paramètres!$A$1:$I$89,3,0)*VLOOKUP('Données projet'!$B$13,Paramètres!$A$1:$I$89,5,0)</f>
        <v>3.4319999999999991</v>
      </c>
      <c r="CV11" s="13">
        <f t="shared" si="41"/>
        <v>1.3701295744860806</v>
      </c>
      <c r="CW11" s="20">
        <f t="shared" si="13"/>
        <v>8.3637090088965884</v>
      </c>
      <c r="CX11" s="59">
        <f t="shared" si="14"/>
        <v>238.9471262431403</v>
      </c>
      <c r="CY11" s="59">
        <f ca="1">AVERAGE(OFFSET($CX$3,0,0,'Données projet'!$E$13+1,1))-AVERAGE(OFFSET($H$3,0,0,'Données projet'!$E$13+1,1))</f>
        <v>462.66388549889928</v>
      </c>
      <c r="CZ11" s="59">
        <f t="shared" si="42"/>
        <v>265.3725203415089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1.7094017093333334</v>
      </c>
      <c r="DO11" s="12">
        <f>IF('Données projet'!$A$166&gt;35,DO10+DN11-DW10,IF(A11&lt;'Données projet'!$A$166,$DL$205^A11,IF(A11='Données projet'!$A$166,'Données projet'!$B$166,DO10+DN11-DW10)))</f>
        <v>5.6419886685444238</v>
      </c>
      <c r="DP11" s="17">
        <f>DO11*VLOOKUP('Données projet'!$B$14,Paramètres!$A$1:$I$89,3,0)*VLOOKUP('Données projet'!$B$14,Paramètres!$A$1:$I$89,5,0)</f>
        <v>4.4007511614646511</v>
      </c>
      <c r="DQ11" s="13">
        <f t="shared" si="43"/>
        <v>1.7067596074068563</v>
      </c>
      <c r="DR11" s="20">
        <f t="shared" si="16"/>
        <v>10.637247922451207</v>
      </c>
      <c r="DS11" s="59">
        <f t="shared" si="17"/>
        <v>241.22066515669491</v>
      </c>
      <c r="DT11" s="59">
        <f ca="1">AVERAGE(OFFSET($DS$3,0,0,'Données projet'!$E$14+1,1))-AVERAGE(OFFSET($H$3,0,0,'Données projet'!$E$14+1,1))</f>
        <v>206.5241977687125</v>
      </c>
      <c r="DU11" s="59">
        <f t="shared" si="44"/>
        <v>205.25001043771269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0.9</v>
      </c>
      <c r="EJ11" s="12">
        <f>IF('Données projet'!$A$192&gt;35,EJ10+EI11-ER10,IF(A11&lt;'Données projet'!$A$192,$EG$205^A11,IF(A11='Données projet'!$A$192,'Données projet'!$B$192,EJ10+EI11-ER10)))</f>
        <v>3.1776715231464374</v>
      </c>
      <c r="EK11" s="17">
        <f>EJ11*VLOOKUP('Données projet'!$B$15,Paramètres!$A$1:$I$89,3,0)*VLOOKUP('Données projet'!$B$15,Paramètres!$A$1:$I$89,5,0)</f>
        <v>2.7760138426207281</v>
      </c>
      <c r="EL11" s="13">
        <f t="shared" si="45"/>
        <v>1.135950520408497</v>
      </c>
      <c r="EM11" s="20">
        <f t="shared" si="19"/>
        <v>6.8133379322758998</v>
      </c>
      <c r="EN11" s="59">
        <f t="shared" si="20"/>
        <v>237.3967551665196</v>
      </c>
      <c r="EO11" s="59">
        <f ca="1">AVERAGE(OFFSET($EN$3,0,0,'Données projet'!$E$15+1,1))-AVERAGE(OFFSET($H$3,0,0,'Données projet'!$E$15+1,1))</f>
        <v>205.83135724908942</v>
      </c>
      <c r="EP11" s="59">
        <f t="shared" si="46"/>
        <v>193.60053377311405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0.9</v>
      </c>
      <c r="FE11" s="12">
        <f>IF('Données projet'!$A$218&gt;35,FE10+FD11-FM10,IF(A11&lt;'Données projet'!$A$218,$FB$205^A11,IF(A11='Données projet'!$A$218,'Données projet'!$B$218,FE10+FD11-FM10)))</f>
        <v>5.7995461347952899</v>
      </c>
      <c r="FF11" s="17">
        <f>FE11*VLOOKUP('Données projet'!$B$16,Paramètres!$A$1:$I$89,3,0)*VLOOKUP('Données projet'!$B$16,Paramètres!$A$1:$I$89,5,0)</f>
        <v>3.7998626275178737</v>
      </c>
      <c r="FG11" s="13">
        <f t="shared" si="47"/>
        <v>1.4991150978629391</v>
      </c>
      <c r="FH11" s="20">
        <f t="shared" si="22"/>
        <v>9.2290528717049156</v>
      </c>
      <c r="FI11" s="59">
        <f t="shared" si="23"/>
        <v>239.81247010594862</v>
      </c>
      <c r="FJ11" s="59">
        <f ca="1">AVERAGE(OFFSET($FI$3,0,0,'Données projet'!$E$16+1,1))-AVERAGE(OFFSET($H$3,0,0,'Données projet'!$E$16+1,1))</f>
        <v>242.76791261317206</v>
      </c>
      <c r="FK11" s="59">
        <f t="shared" si="48"/>
        <v>244.28580264867682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2.9235042736666665</v>
      </c>
      <c r="FZ11" s="12">
        <f>IF('Données projet'!$A$244&gt;35,FZ10+FY11-GH10,IF(A11&lt;'Données projet'!$A$244,$FW$205^A11,IF(A11='Données projet'!$A$244,'Données projet'!$B$244,FZ10+FY11-GH10)))</f>
        <v>3.2971598044433317</v>
      </c>
      <c r="GA11" s="17">
        <f>FZ11*VLOOKUP('Données projet'!$B$17,Paramètres!$A$1:$I$89,3,0)*VLOOKUP('Données projet'!$B$17,Paramètres!$A$1:$I$89,5,0)</f>
        <v>3.1375772699082747</v>
      </c>
      <c r="GB11" s="13">
        <f t="shared" si="49"/>
        <v>1.2657353321430747</v>
      </c>
      <c r="GC11" s="20">
        <f t="shared" si="25"/>
        <v>7.6691027819060977</v>
      </c>
      <c r="GD11" s="59">
        <f t="shared" si="26"/>
        <v>238.25252001614982</v>
      </c>
      <c r="GE11" s="59">
        <f ca="1">AVERAGE(OFFSET($GD$3,0,0,'Données projet'!$E$17+1,1))-AVERAGE(OFFSET($H$3,0,0,'Données projet'!$E$17+1,1))</f>
        <v>512.71941256120977</v>
      </c>
      <c r="GF11" s="59">
        <f t="shared" si="50"/>
        <v>230.65031527019354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60.219719851763436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10.683760683333334</v>
      </c>
      <c r="GU11" s="12">
        <f>IF('Données projet'!$A$270&gt;35,GU10+GT11-HC10,IF(A11&lt;'Données projet'!$A$270,$GR$205^A11,IF(A11='Données projet'!$A$270,'Données projet'!$B$270,GU10+GT11-HC10)))</f>
        <v>57.894463230799253</v>
      </c>
      <c r="GV11" s="17">
        <f>GU11*VLOOKUP('Données projet'!$B$18,Paramètres!$A$1:$I$89,3,0)*VLOOKUP('Données projet'!$B$18,Paramètres!$A$1:$I$89,5,0)</f>
        <v>25.468932264493208</v>
      </c>
      <c r="GW11" s="13">
        <f t="shared" si="51"/>
        <v>8.0519886365284279</v>
      </c>
      <c r="GX11" s="20">
        <f t="shared" si="28"/>
        <v>58.382270569279349</v>
      </c>
      <c r="GY11" s="59">
        <f t="shared" si="29"/>
        <v>288.96568780352305</v>
      </c>
      <c r="GZ11" s="59">
        <f ca="1">AVERAGE(OFFSET($GY$3,0,0,'Données projet'!$E$18+1,1))-AVERAGE(OFFSET($H$3,0,0,'Données projet'!$E$18+1,1))</f>
        <v>180.68917161146683</v>
      </c>
      <c r="HA11" s="59">
        <f t="shared" si="52"/>
        <v>344.42126252322419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2.25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8.25</v>
      </c>
      <c r="H12" s="66">
        <f t="shared" si="1"/>
        <v>223.66666666666666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2.9235042736666665</v>
      </c>
      <c r="N12" s="13">
        <f>IF('Données projet'!$A$36&gt;35,N11+M12-V11,IF(A12&lt;'Données projet'!$A$36,$K$205^A12,IF(A12='Données projet'!$A$36,'Données projet'!$B$36,N11+M12-V11)))</f>
        <v>3.8274321125728465</v>
      </c>
      <c r="O12" s="13">
        <f>N12*VLOOKUP('Données projet'!$B$9,Paramètres!$A$1:$I$89,3,0)*VLOOKUP('Données projet'!$B$9,Paramètres!$A$1:$I$89,5,0)</f>
        <v>3.4630605754559114</v>
      </c>
      <c r="P12" s="13">
        <f t="shared" si="33"/>
        <v>1.3810805174956087</v>
      </c>
      <c r="Q12" s="20">
        <f t="shared" si="2"/>
        <v>8.4368790702238972</v>
      </c>
      <c r="R12" s="59">
        <f t="shared" si="0"/>
        <v>240.86462717554076</v>
      </c>
      <c r="S12" s="59">
        <f ca="1">AVERAGE(OFFSET($R$3,0,0,'Données projet'!$E$9+1,1))-AVERAGE(OFFSET($H$3,0,0,'Données projet'!$E$9+1,1))</f>
        <v>490.57849401500789</v>
      </c>
      <c r="T12" s="59">
        <f t="shared" si="34"/>
        <v>221.7570623669753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1.8914529913333333</v>
      </c>
      <c r="AI12" s="13">
        <f>IF('Données projet'!$A$62&gt;35,AI11+AH12-AQ11,IF(A12&lt;'Données projet'!$A$62,$AF$205^A12,IF(A12='Données projet'!$A$62,'Données projet'!$B$62,AI11+AH12-AQ11)))</f>
        <v>3.3587296030781117</v>
      </c>
      <c r="AJ12" s="13">
        <f>AI12*VLOOKUP('Données projet'!$B$10,Paramètres!$A$1:$I$89,3,0)*VLOOKUP('Données projet'!$B$10,Paramètres!$A$1:$I$89,5,0)</f>
        <v>2.2530358177447973</v>
      </c>
      <c r="AK12" s="13">
        <f t="shared" si="35"/>
        <v>0.94462177929100133</v>
      </c>
      <c r="AL12" s="20">
        <f t="shared" si="4"/>
        <v>5.5692536481706822</v>
      </c>
      <c r="AM12" s="59">
        <f t="shared" si="5"/>
        <v>237.99700175348752</v>
      </c>
      <c r="AN12" s="59">
        <f ca="1">AVERAGE(OFFSET($AM$3,0,0,'Données projet'!$E$10+1,1))-AVERAGE(OFFSET($H$3,0,0,'Données projet'!$E$10+1,1))</f>
        <v>377.00534440335832</v>
      </c>
      <c r="AO12" s="59">
        <f t="shared" si="36"/>
        <v>131.56029120000656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1.8</v>
      </c>
      <c r="BD12" s="12">
        <f>IF('Données projet'!$A$88&gt;35,BD11+BC12-BL11,IF(A12&lt;'Données projet'!$A$88,$BA$205^A12,IF(A12='Données projet'!$A$88,'Données projet'!$B$88,BD11+BC12-BL11)))</f>
        <v>13.48171849440139</v>
      </c>
      <c r="BE12" s="13">
        <f>BD12*VLOOKUP('Données projet'!$B$11,Paramètres!$A$1:$I$89,3,0)*VLOOKUP('Données projet'!$B$11,Paramètres!$A$1:$I$89,5,0)</f>
        <v>11.777629276709055</v>
      </c>
      <c r="BF12" s="13">
        <f t="shared" si="37"/>
        <v>4.0732288167499631</v>
      </c>
      <c r="BG12" s="20">
        <f t="shared" si="7"/>
        <v>27.606911179441123</v>
      </c>
      <c r="BH12" s="59">
        <f t="shared" si="8"/>
        <v>260.03465928475799</v>
      </c>
      <c r="BI12" s="59">
        <f ca="1">AVERAGE(OFFSET($BH$3,0,0,'Données projet'!$E$11+1,1))-AVERAGE(OFFSET($H$3,0,0,'Données projet'!$E$11+1,1))</f>
        <v>314.1123649635374</v>
      </c>
      <c r="BJ12" s="59">
        <f t="shared" si="38"/>
        <v>274.92342227914889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248.97009275210129</v>
      </c>
      <c r="CD12" s="59">
        <f ca="1">AVERAGE(OFFSET($CC$3,0,0,'Données projet'!$E$12+1,1))-AVERAGE(OFFSET($H$3,0,0,'Données projet'!$E$12+1,1))</f>
        <v>309.86296291630748</v>
      </c>
      <c r="CE12" s="59">
        <f t="shared" si="40"/>
        <v>301.17633325088661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1.6</v>
      </c>
      <c r="CT12" s="12">
        <f>IF('Données projet'!$A$140&gt;35,CT11+CS12-DB11,IF(A12&lt;'Données projet'!$A$140,$CQ$205^A12,IF(A12='Données projet'!$A$140,'Données projet'!$B$140,CT11+CS12-DB11)))</f>
        <v>4.7568284600108823</v>
      </c>
      <c r="CU12" s="17">
        <f>CT12*VLOOKUP('Données projet'!$B$13,Paramètres!$A$1:$I$89,3,0)*VLOOKUP('Données projet'!$B$13,Paramètres!$A$1:$I$89,5,0)</f>
        <v>4.0813588186893375</v>
      </c>
      <c r="CV12" s="13">
        <f t="shared" si="41"/>
        <v>1.5968317780655192</v>
      </c>
      <c r="CW12" s="20">
        <f t="shared" si="13"/>
        <v>9.8895152893480418</v>
      </c>
      <c r="CX12" s="59">
        <f t="shared" si="14"/>
        <v>242.31726339466491</v>
      </c>
      <c r="CY12" s="59">
        <f ca="1">AVERAGE(OFFSET($CX$3,0,0,'Données projet'!$E$13+1,1))-AVERAGE(OFFSET($H$3,0,0,'Données projet'!$E$13+1,1))</f>
        <v>462.66388549889928</v>
      </c>
      <c r="CZ12" s="59">
        <f t="shared" si="42"/>
        <v>265.3725203415089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1.7094017093333334</v>
      </c>
      <c r="DO12" s="12">
        <f>IF('Données projet'!$A$166&gt;35,DO11+DN12-DW11,IF(A12&lt;'Données projet'!$A$166,$DL$205^A12,IF(A12='Données projet'!$A$166,'Données projet'!$B$166,DO11+DN12-DW11)))</f>
        <v>7.0042435001409231</v>
      </c>
      <c r="DP12" s="17">
        <f>DO12*VLOOKUP('Données projet'!$B$14,Paramètres!$A$1:$I$89,3,0)*VLOOKUP('Données projet'!$B$14,Paramètres!$A$1:$I$89,5,0)</f>
        <v>5.4633099301099204</v>
      </c>
      <c r="DQ12" s="13">
        <f t="shared" si="43"/>
        <v>2.0661794783194249</v>
      </c>
      <c r="DR12" s="20">
        <f t="shared" si="16"/>
        <v>13.113860719681108</v>
      </c>
      <c r="DS12" s="59">
        <f t="shared" si="17"/>
        <v>245.54160882499795</v>
      </c>
      <c r="DT12" s="59">
        <f ca="1">AVERAGE(OFFSET($DS$3,0,0,'Données projet'!$E$14+1,1))-AVERAGE(OFFSET($H$3,0,0,'Données projet'!$E$14+1,1))</f>
        <v>206.5241977687125</v>
      </c>
      <c r="DU12" s="59">
        <f t="shared" si="44"/>
        <v>205.25001043771269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0.9</v>
      </c>
      <c r="EJ12" s="12">
        <f>IF('Données projet'!$A$192&gt;35,EJ11+EI12-ER11,IF(A12&lt;'Données projet'!$A$192,$EG$205^A12,IF(A12='Données projet'!$A$192,'Données projet'!$B$192,EJ11+EI12-ER11)))</f>
        <v>3.6717459735664435</v>
      </c>
      <c r="EK12" s="17">
        <f>EJ12*VLOOKUP('Données projet'!$B$15,Paramètres!$A$1:$I$89,3,0)*VLOOKUP('Données projet'!$B$15,Paramètres!$A$1:$I$89,5,0)</f>
        <v>3.2076372825076458</v>
      </c>
      <c r="EL12" s="13">
        <f t="shared" si="45"/>
        <v>1.290676355595167</v>
      </c>
      <c r="EM12" s="20">
        <f t="shared" si="19"/>
        <v>7.834562919695732</v>
      </c>
      <c r="EN12" s="59">
        <f t="shared" si="20"/>
        <v>240.26231102501259</v>
      </c>
      <c r="EO12" s="59">
        <f ca="1">AVERAGE(OFFSET($EN$3,0,0,'Données projet'!$E$15+1,1))-AVERAGE(OFFSET($H$3,0,0,'Données projet'!$E$15+1,1))</f>
        <v>205.83135724908942</v>
      </c>
      <c r="EP12" s="59">
        <f t="shared" si="46"/>
        <v>193.60053377311405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0.9</v>
      </c>
      <c r="FE12" s="12">
        <f>IF('Données projet'!$A$218&gt;35,FE11+FD12-FM11,IF(A12&lt;'Données projet'!$A$218,$FB$205^A12,IF(A12='Données projet'!$A$218,'Données projet'!$B$218,FE11+FD12-FM11)))</f>
        <v>7.2246740558420788</v>
      </c>
      <c r="FF12" s="17">
        <f>FE12*VLOOKUP('Données projet'!$B$16,Paramètres!$A$1:$I$89,3,0)*VLOOKUP('Données projet'!$B$16,Paramètres!$A$1:$I$89,5,0)</f>
        <v>4.7336064413877299</v>
      </c>
      <c r="FG12" s="13">
        <f t="shared" si="47"/>
        <v>1.8203372077743676</v>
      </c>
      <c r="FH12" s="20">
        <f t="shared" si="22"/>
        <v>11.414785188957319</v>
      </c>
      <c r="FI12" s="59">
        <f t="shared" si="23"/>
        <v>243.84253329427418</v>
      </c>
      <c r="FJ12" s="59">
        <f ca="1">AVERAGE(OFFSET($FI$3,0,0,'Données projet'!$E$16+1,1))-AVERAGE(OFFSET($H$3,0,0,'Données projet'!$E$16+1,1))</f>
        <v>242.76791261317206</v>
      </c>
      <c r="FK12" s="59">
        <f t="shared" si="48"/>
        <v>244.28580264867682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2.9235042736666665</v>
      </c>
      <c r="FZ12" s="12">
        <f>IF('Données projet'!$A$244&gt;35,FZ11+FY12-GH11,IF(A12&lt;'Données projet'!$A$244,$FW$205^A12,IF(A12='Données projet'!$A$244,'Données projet'!$B$244,FZ11+FY12-GH11)))</f>
        <v>3.8274321125728465</v>
      </c>
      <c r="GA12" s="17">
        <f>FZ12*VLOOKUP('Données projet'!$B$17,Paramètres!$A$1:$I$89,3,0)*VLOOKUP('Données projet'!$B$17,Paramètres!$A$1:$I$89,5,0)</f>
        <v>3.6421843983243205</v>
      </c>
      <c r="GB12" s="13">
        <f t="shared" si="49"/>
        <v>1.4440142065517652</v>
      </c>
      <c r="GC12" s="20">
        <f t="shared" si="25"/>
        <v>8.8584625701591815</v>
      </c>
      <c r="GD12" s="59">
        <f t="shared" si="26"/>
        <v>241.28621067547604</v>
      </c>
      <c r="GE12" s="59">
        <f ca="1">AVERAGE(OFFSET($GD$3,0,0,'Données projet'!$E$17+1,1))-AVERAGE(OFFSET($H$3,0,0,'Données projet'!$E$17+1,1))</f>
        <v>512.71941256120977</v>
      </c>
      <c r="GF12" s="59">
        <f t="shared" si="50"/>
        <v>230.65031527019354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60.389385846904602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>
        <f>VLOOKUP(A12,'Données projet'!$A$269:$I$289,2,0)</f>
        <v>96.153846150000007</v>
      </c>
      <c r="GS12" s="12">
        <f>VLOOKUP(A12,'Données projet'!$A$269:$I$289,9,0)</f>
        <v>10.683760683333334</v>
      </c>
      <c r="GT12" s="12">
        <f t="array" ref="GT12">INDEX(GS:GS,MIN(IF(ISNUMBER(GS12:GS208),ROW(GS12:GS208),"")))</f>
        <v>10.683760683333334</v>
      </c>
      <c r="GU12" s="12">
        <f>IF('Données projet'!$A$270&gt;35,GU11+GT12-HC11,IF(A12&lt;'Données projet'!$A$270,$GR$205^A12,IF(A12='Données projet'!$A$270,'Données projet'!$B$270,GU11+GT12-HC11)))</f>
        <v>96.153846150000007</v>
      </c>
      <c r="GV12" s="17">
        <f>GU12*VLOOKUP('Données projet'!$B$18,Paramètres!$A$1:$I$89,3,0)*VLOOKUP('Données projet'!$B$18,Paramètres!$A$1:$I$89,5,0)</f>
        <v>42.299999998307996</v>
      </c>
      <c r="GW12" s="13">
        <f t="shared" si="51"/>
        <v>12.60626445282208</v>
      </c>
      <c r="GX12" s="20">
        <f t="shared" si="28"/>
        <v>95.628410585718214</v>
      </c>
      <c r="GY12" s="59">
        <f t="shared" si="29"/>
        <v>328.05615869103508</v>
      </c>
      <c r="GZ12" s="59">
        <f ca="1">AVERAGE(OFFSET($GY$3,0,0,'Données projet'!$E$18+1,1))-AVERAGE(OFFSET($H$3,0,0,'Données projet'!$E$18+1,1))</f>
        <v>180.68917161146683</v>
      </c>
      <c r="HA12" s="59">
        <f t="shared" si="52"/>
        <v>344.42126252322419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2.25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8.25</v>
      </c>
      <c r="H13" s="66">
        <f t="shared" si="1"/>
        <v>223.66666666666666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2.9235042736666665</v>
      </c>
      <c r="N13" s="13">
        <f>IF('Données projet'!$A$36&gt;35,N12+M13-V12,IF(A13&lt;'Données projet'!$A$36,$K$205^A13,IF(A13='Données projet'!$A$36,'Données projet'!$B$36,N12+M13-V12)))</f>
        <v>4.4429865233138468</v>
      </c>
      <c r="O13" s="13">
        <f>N13*VLOOKUP('Données projet'!$B$9,Paramètres!$A$1:$I$89,3,0)*VLOOKUP('Données projet'!$B$9,Paramètres!$A$1:$I$89,5,0)</f>
        <v>4.0200142062943689</v>
      </c>
      <c r="P13" s="13">
        <f t="shared" si="33"/>
        <v>1.5756057660797711</v>
      </c>
      <c r="Q13" s="20">
        <f t="shared" si="2"/>
        <v>9.7457047852182921</v>
      </c>
      <c r="R13" s="59">
        <f t="shared" si="0"/>
        <v>244.00699156737741</v>
      </c>
      <c r="S13" s="59">
        <f ca="1">AVERAGE(OFFSET($R$3,0,0,'Données projet'!$E$9+1,1))-AVERAGE(OFFSET($H$3,0,0,'Données projet'!$E$9+1,1))</f>
        <v>490.57849401500789</v>
      </c>
      <c r="T13" s="59">
        <f t="shared" si="34"/>
        <v>221.7570623669753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1.8914529913333333</v>
      </c>
      <c r="AI13" s="13">
        <f>IF('Données projet'!$A$62&gt;35,AI12+AH13-AQ12,IF(A13&lt;'Données projet'!$A$62,$AF$205^A13,IF(A13='Données projet'!$A$62,'Données projet'!$B$62,AI12+AH13-AQ12)))</f>
        <v>3.8427217244955272</v>
      </c>
      <c r="AJ13" s="13">
        <f>AI13*VLOOKUP('Données projet'!$B$10,Paramètres!$A$1:$I$89,3,0)*VLOOKUP('Données projet'!$B$10,Paramètres!$A$1:$I$89,5,0)</f>
        <v>2.5776977327915995</v>
      </c>
      <c r="AK13" s="13">
        <f t="shared" si="35"/>
        <v>1.0639388090617738</v>
      </c>
      <c r="AL13" s="20">
        <f t="shared" si="4"/>
        <v>6.3425169770612913</v>
      </c>
      <c r="AM13" s="59">
        <f t="shared" si="5"/>
        <v>240.6038037592204</v>
      </c>
      <c r="AN13" s="59">
        <f ca="1">AVERAGE(OFFSET($AM$3,0,0,'Données projet'!$E$10+1,1))-AVERAGE(OFFSET($H$3,0,0,'Données projet'!$E$10+1,1))</f>
        <v>377.00534440335832</v>
      </c>
      <c r="AO13" s="59">
        <f t="shared" si="36"/>
        <v>131.56029120000656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18</v>
      </c>
      <c r="BB13" s="12">
        <f>VLOOKUP(A13,'Données projet'!$A$87:$I$107,9,0)</f>
        <v>1.8</v>
      </c>
      <c r="BC13" s="12">
        <f t="array" ref="BC13">INDEX(BB:BB,MIN(IF(ISNUMBER(BB13:BB209),ROW(BB13:BB209),"")))</f>
        <v>1.8</v>
      </c>
      <c r="BD13" s="12">
        <f>IF('Données projet'!$A$88&gt;35,BD12+BC13-BL12,IF(A13&lt;'Données projet'!$A$88,$BA$205^A13,IF(A13='Données projet'!$A$88,'Données projet'!$B$88,BD12+BC13-BL12)))</f>
        <v>18</v>
      </c>
      <c r="BE13" s="13">
        <f>BD13*VLOOKUP('Données projet'!$B$11,Paramètres!$A$1:$I$89,3,0)*VLOOKUP('Données projet'!$B$11,Paramètres!$A$1:$I$89,5,0)</f>
        <v>15.724800000000004</v>
      </c>
      <c r="BF13" s="13">
        <f t="shared" si="37"/>
        <v>5.2584129176484753</v>
      </c>
      <c r="BG13" s="20">
        <f t="shared" si="7"/>
        <v>36.545762498237771</v>
      </c>
      <c r="BH13" s="59">
        <f t="shared" si="8"/>
        <v>270.80704928039688</v>
      </c>
      <c r="BI13" s="59">
        <f ca="1">AVERAGE(OFFSET($BH$3,0,0,'Données projet'!$E$11+1,1))-AVERAGE(OFFSET($H$3,0,0,'Données projet'!$E$11+1,1))</f>
        <v>314.1123649635374</v>
      </c>
      <c r="BJ13" s="59">
        <f t="shared" si="38"/>
        <v>274.92342227914889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255.14968084244433</v>
      </c>
      <c r="CD13" s="59">
        <f ca="1">AVERAGE(OFFSET($CC$3,0,0,'Données projet'!$E$12+1,1))-AVERAGE(OFFSET($H$3,0,0,'Données projet'!$E$12+1,1))</f>
        <v>309.86296291630748</v>
      </c>
      <c r="CE13" s="59">
        <f t="shared" si="40"/>
        <v>301.17633325088661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1.6</v>
      </c>
      <c r="CT13" s="12">
        <f>IF('Données projet'!$A$140&gt;35,CT12+CS13-DB12,IF(A13&lt;'Données projet'!$A$140,$CQ$205^A13,IF(A13='Données projet'!$A$140,'Données projet'!$B$140,CT12+CS13-DB12)))</f>
        <v>5.656854249492377</v>
      </c>
      <c r="CU13" s="17">
        <f>CT13*VLOOKUP('Données projet'!$B$13,Paramètres!$A$1:$I$89,3,0)*VLOOKUP('Données projet'!$B$13,Paramètres!$A$1:$I$89,5,0)</f>
        <v>4.8535809460644597</v>
      </c>
      <c r="CV13" s="13">
        <f t="shared" si="41"/>
        <v>1.8610442215994896</v>
      </c>
      <c r="CW13" s="20">
        <f t="shared" si="13"/>
        <v>11.694638833681379</v>
      </c>
      <c r="CX13" s="59">
        <f t="shared" si="14"/>
        <v>245.9559256158405</v>
      </c>
      <c r="CY13" s="59">
        <f ca="1">AVERAGE(OFFSET($CX$3,0,0,'Données projet'!$E$13+1,1))-AVERAGE(OFFSET($H$3,0,0,'Données projet'!$E$13+1,1))</f>
        <v>462.66388549889928</v>
      </c>
      <c r="CZ13" s="59">
        <f t="shared" si="42"/>
        <v>265.3725203415089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1.7094017093333334</v>
      </c>
      <c r="DO13" s="12">
        <f>IF('Données projet'!$A$166&gt;35,DO12+DN13-DW12,IF(A13&lt;'Données projet'!$A$166,$DL$205^A13,IF(A13='Données projet'!$A$166,'Données projet'!$B$166,DO12+DN13-DW12)))</f>
        <v>8.695413956214697</v>
      </c>
      <c r="DP13" s="17">
        <f>DO13*VLOOKUP('Données projet'!$B$14,Paramètres!$A$1:$I$89,3,0)*VLOOKUP('Données projet'!$B$14,Paramètres!$A$1:$I$89,5,0)</f>
        <v>6.7824228858474642</v>
      </c>
      <c r="DQ13" s="13">
        <f t="shared" si="43"/>
        <v>2.5012881826483637</v>
      </c>
      <c r="DR13" s="20">
        <f t="shared" si="16"/>
        <v>16.169130110963568</v>
      </c>
      <c r="DS13" s="59">
        <f t="shared" si="17"/>
        <v>250.4304168931227</v>
      </c>
      <c r="DT13" s="59">
        <f ca="1">AVERAGE(OFFSET($DS$3,0,0,'Données projet'!$E$14+1,1))-AVERAGE(OFFSET($H$3,0,0,'Données projet'!$E$14+1,1))</f>
        <v>206.5241977687125</v>
      </c>
      <c r="DU13" s="59">
        <f t="shared" si="44"/>
        <v>205.25001043771269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0.9</v>
      </c>
      <c r="EJ13" s="12">
        <f>IF('Données projet'!$A$192&gt;35,EJ12+EI13-ER12,IF(A13&lt;'Données projet'!$A$192,$EG$205^A13,IF(A13='Données projet'!$A$192,'Données projet'!$B$192,EJ12+EI13-ER12)))</f>
        <v>4.2426406871192865</v>
      </c>
      <c r="EK13" s="17">
        <f>EJ13*VLOOKUP('Données projet'!$B$15,Paramètres!$A$1:$I$89,3,0)*VLOOKUP('Données projet'!$B$15,Paramètres!$A$1:$I$89,5,0)</f>
        <v>3.7063709042674091</v>
      </c>
      <c r="EL13" s="13">
        <f t="shared" si="45"/>
        <v>1.4664771263922398</v>
      </c>
      <c r="EM13" s="20">
        <f t="shared" si="19"/>
        <v>9.0093769867322209</v>
      </c>
      <c r="EN13" s="59">
        <f t="shared" si="20"/>
        <v>243.27066376889132</v>
      </c>
      <c r="EO13" s="59">
        <f ca="1">AVERAGE(OFFSET($EN$3,0,0,'Données projet'!$E$15+1,1))-AVERAGE(OFFSET($H$3,0,0,'Données projet'!$E$15+1,1))</f>
        <v>205.83135724908942</v>
      </c>
      <c r="EP13" s="59">
        <f t="shared" si="46"/>
        <v>193.60053377311405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9</v>
      </c>
      <c r="FC13" s="12">
        <f>VLOOKUP(A13,'Données projet'!$A$217:$I$237,9,0)</f>
        <v>0.9</v>
      </c>
      <c r="FD13" s="12">
        <f t="array" ref="FD13">INDEX(FC:FC,MIN(IF(ISNUMBER(FC13:FC209),ROW(FC13:FC209),"")))</f>
        <v>0.9</v>
      </c>
      <c r="FE13" s="12">
        <f>IF('Données projet'!$A$218&gt;35,FE12+FD13-FM12,IF(A13&lt;'Données projet'!$A$218,$FB$205^A13,IF(A13='Données projet'!$A$218,'Données projet'!$B$218,FE12+FD13-FM12)))</f>
        <v>9</v>
      </c>
      <c r="FF13" s="17">
        <f>FE13*VLOOKUP('Données projet'!$B$16,Paramètres!$A$1:$I$89,3,0)*VLOOKUP('Données projet'!$B$16,Paramètres!$A$1:$I$89,5,0)</f>
        <v>5.8967999999999998</v>
      </c>
      <c r="FG13" s="13">
        <f t="shared" si="47"/>
        <v>2.210389018649412</v>
      </c>
      <c r="FH13" s="20">
        <f t="shared" si="22"/>
        <v>14.120020874147725</v>
      </c>
      <c r="FI13" s="59">
        <f t="shared" si="23"/>
        <v>248.38130765630683</v>
      </c>
      <c r="FJ13" s="59">
        <f ca="1">AVERAGE(OFFSET($FI$3,0,0,'Données projet'!$E$16+1,1))-AVERAGE(OFFSET($H$3,0,0,'Données projet'!$E$16+1,1))</f>
        <v>242.76791261317206</v>
      </c>
      <c r="FK13" s="59">
        <f t="shared" si="48"/>
        <v>244.28580264867682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1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2.9235042736666665</v>
      </c>
      <c r="FZ13" s="12">
        <f>IF('Données projet'!$A$244&gt;35,FZ12+FY13-GH12,IF(A13&lt;'Données projet'!$A$244,$FW$205^A13,IF(A13='Données projet'!$A$244,'Données projet'!$B$244,FZ12+FY13-GH12)))</f>
        <v>4.4429865233138468</v>
      </c>
      <c r="GA13" s="17">
        <f>FZ13*VLOOKUP('Données projet'!$B$17,Paramètres!$A$1:$I$89,3,0)*VLOOKUP('Données projet'!$B$17,Paramètres!$A$1:$I$89,5,0)</f>
        <v>4.2279459755854569</v>
      </c>
      <c r="GB13" s="13">
        <f t="shared" si="49"/>
        <v>1.6474036678685551</v>
      </c>
      <c r="GC13" s="20">
        <f t="shared" si="25"/>
        <v>10.232900629015736</v>
      </c>
      <c r="GD13" s="59">
        <f t="shared" si="26"/>
        <v>244.49418741117486</v>
      </c>
      <c r="GE13" s="59">
        <f ca="1">AVERAGE(OFFSET($GD$3,0,0,'Données projet'!$E$17+1,1))-AVERAGE(OFFSET($H$3,0,0,'Données projet'!$E$17+1,1))</f>
        <v>512.71941256120977</v>
      </c>
      <c r="GF13" s="59">
        <f t="shared" si="50"/>
        <v>230.65031527019354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60.55610851634642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35.256410250000002</v>
      </c>
      <c r="GU13" s="12">
        <f>IF('Données projet'!$A$270&gt;35,GU12+GT13-HC12,IF(A13&lt;'Données projet'!$A$270,$GR$205^A13,IF(A13='Données projet'!$A$270,'Données projet'!$B$270,GU12+GT13-HC12)))</f>
        <v>131.41025640000001</v>
      </c>
      <c r="GV13" s="17">
        <f>GU13*VLOOKUP('Données projet'!$B$18,Paramètres!$A$1:$I$89,3,0)*VLOOKUP('Données projet'!$B$18,Paramètres!$A$1:$I$89,5,0)</f>
        <v>57.809999995487999</v>
      </c>
      <c r="GW13" s="13">
        <f t="shared" si="51"/>
        <v>16.613375781433529</v>
      </c>
      <c r="GX13" s="20">
        <f t="shared" si="28"/>
        <v>129.62071281147163</v>
      </c>
      <c r="GY13" s="59">
        <f t="shared" si="29"/>
        <v>363.88199959363078</v>
      </c>
      <c r="GZ13" s="59">
        <f ca="1">AVERAGE(OFFSET($GY$3,0,0,'Données projet'!$E$18+1,1))-AVERAGE(OFFSET($H$3,0,0,'Données projet'!$E$18+1,1))</f>
        <v>180.68917161146683</v>
      </c>
      <c r="HA13" s="59">
        <f t="shared" si="52"/>
        <v>344.42126252322419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2.25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8.25</v>
      </c>
      <c r="H14" s="66">
        <f t="shared" si="1"/>
        <v>223.66666666666666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2.9235042736666665</v>
      </c>
      <c r="N14" s="13">
        <f>IF('Données projet'!$A$36&gt;35,N13+M14-V13,IF(A14&lt;'Données projet'!$A$36,$K$205^A14,IF(A14='Données projet'!$A$36,'Données projet'!$B$36,N13+M14-V13)))</f>
        <v>5.1575387010793801</v>
      </c>
      <c r="O14" s="13">
        <f>N14*VLOOKUP('Données projet'!$B$9,Paramètres!$A$1:$I$89,3,0)*VLOOKUP('Données projet'!$B$9,Paramètres!$A$1:$I$89,5,0)</f>
        <v>4.6665410167366232</v>
      </c>
      <c r="P14" s="13">
        <f t="shared" si="33"/>
        <v>1.7975299040533435</v>
      </c>
      <c r="Q14" s="20">
        <f t="shared" si="2"/>
        <v>11.258256853709192</v>
      </c>
      <c r="R14" s="59">
        <f t="shared" si="0"/>
        <v>247.34247733892164</v>
      </c>
      <c r="S14" s="59">
        <f ca="1">AVERAGE(OFFSET($R$3,0,0,'Données projet'!$E$9+1,1))-AVERAGE(OFFSET($H$3,0,0,'Données projet'!$E$9+1,1))</f>
        <v>490.57849401500789</v>
      </c>
      <c r="T14" s="59">
        <f t="shared" si="34"/>
        <v>221.7570623669753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1.8914529913333333</v>
      </c>
      <c r="AI14" s="13">
        <f>IF('Données projet'!$A$62&gt;35,AI13+AH14-AQ13,IF(A14&lt;'Données projet'!$A$62,$AF$205^A14,IF(A14='Données projet'!$A$62,'Données projet'!$B$62,AI13+AH14-AQ13)))</f>
        <v>4.3964569932563462</v>
      </c>
      <c r="AJ14" s="13">
        <f>AI14*VLOOKUP('Données projet'!$B$10,Paramètres!$A$1:$I$89,3,0)*VLOOKUP('Données projet'!$B$10,Paramètres!$A$1:$I$89,5,0)</f>
        <v>2.9491433510763567</v>
      </c>
      <c r="AK14" s="13">
        <f t="shared" si="35"/>
        <v>1.198327006897298</v>
      </c>
      <c r="AL14" s="20">
        <f t="shared" si="4"/>
        <v>7.2235108734707802</v>
      </c>
      <c r="AM14" s="59">
        <f t="shared" si="5"/>
        <v>243.30773135868324</v>
      </c>
      <c r="AN14" s="59">
        <f ca="1">AVERAGE(OFFSET($AM$3,0,0,'Données projet'!$E$10+1,1))-AVERAGE(OFFSET($H$3,0,0,'Données projet'!$E$10+1,1))</f>
        <v>377.00534440335832</v>
      </c>
      <c r="AO14" s="59">
        <f t="shared" si="36"/>
        <v>131.56029120000656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</v>
      </c>
      <c r="BD14" s="12">
        <f>IF('Données projet'!$A$88&gt;35,BD13+BC14-BL13,IF(A14&lt;'Données projet'!$A$88,$BA$205^A14,IF(A14='Données projet'!$A$88,'Données projet'!$B$88,BD13+BC14-BL13)))</f>
        <v>23.8</v>
      </c>
      <c r="BE14" s="13">
        <f>BD14*VLOOKUP('Données projet'!$B$11,Paramètres!$A$1:$I$89,3,0)*VLOOKUP('Données projet'!$B$11,Paramètres!$A$1:$I$89,5,0)</f>
        <v>20.791680000000003</v>
      </c>
      <c r="BF14" s="13">
        <f t="shared" si="37"/>
        <v>6.7303755760501467</v>
      </c>
      <c r="BG14" s="20">
        <f t="shared" si="7"/>
        <v>47.934246794954014</v>
      </c>
      <c r="BH14" s="59">
        <f t="shared" si="8"/>
        <v>284.01846728016648</v>
      </c>
      <c r="BI14" s="59">
        <f ca="1">AVERAGE(OFFSET($BH$3,0,0,'Données projet'!$E$11+1,1))-AVERAGE(OFFSET($H$3,0,0,'Données projet'!$E$11+1,1))</f>
        <v>314.1123649635374</v>
      </c>
      <c r="BJ14" s="59">
        <f t="shared" si="38"/>
        <v>274.92342227914889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262.46448828616201</v>
      </c>
      <c r="CD14" s="59">
        <f ca="1">AVERAGE(OFFSET($CC$3,0,0,'Données projet'!$E$12+1,1))-AVERAGE(OFFSET($H$3,0,0,'Données projet'!$E$12+1,1))</f>
        <v>309.86296291630748</v>
      </c>
      <c r="CE14" s="59">
        <f t="shared" si="40"/>
        <v>301.17633325088661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1.6</v>
      </c>
      <c r="CT14" s="12">
        <f>IF('Données projet'!$A$140&gt;35,CT13+CS14-DB13,IF(A14&lt;'Données projet'!$A$140,$CQ$205^A14,IF(A14='Données projet'!$A$140,'Données projet'!$B$140,CT13+CS14-DB13)))</f>
        <v>6.7271713220297125</v>
      </c>
      <c r="CU14" s="17">
        <f>CT14*VLOOKUP('Données projet'!$B$13,Paramètres!$A$1:$I$89,3,0)*VLOOKUP('Données projet'!$B$13,Paramètres!$A$1:$I$89,5,0)</f>
        <v>5.771912994301494</v>
      </c>
      <c r="CV14" s="13">
        <f t="shared" si="41"/>
        <v>2.1689733648366443</v>
      </c>
      <c r="CW14" s="20">
        <f t="shared" si="13"/>
        <v>13.830377075498925</v>
      </c>
      <c r="CX14" s="59">
        <f t="shared" si="14"/>
        <v>249.91459756071137</v>
      </c>
      <c r="CY14" s="59">
        <f ca="1">AVERAGE(OFFSET($CX$3,0,0,'Données projet'!$E$13+1,1))-AVERAGE(OFFSET($H$3,0,0,'Données projet'!$E$13+1,1))</f>
        <v>462.66388549889928</v>
      </c>
      <c r="CZ14" s="59">
        <f t="shared" si="42"/>
        <v>265.3725203415089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1.7094017093333334</v>
      </c>
      <c r="DO14" s="12">
        <f>IF('Données projet'!$A$166&gt;35,DO13+DN14-DW13,IF(A14&lt;'Données projet'!$A$166,$DL$205^A14,IF(A14='Données projet'!$A$166,'Données projet'!$B$166,DO13+DN14-DW13)))</f>
        <v>10.794916520022767</v>
      </c>
      <c r="DP14" s="17">
        <f>DO14*VLOOKUP('Données projet'!$B$14,Paramètres!$A$1:$I$89,3,0)*VLOOKUP('Données projet'!$B$14,Paramètres!$A$1:$I$89,5,0)</f>
        <v>8.420034885617758</v>
      </c>
      <c r="DQ14" s="13">
        <f t="shared" si="43"/>
        <v>3.0280247375920988</v>
      </c>
      <c r="DR14" s="20">
        <f t="shared" si="16"/>
        <v>19.938703843757168</v>
      </c>
      <c r="DS14" s="59">
        <f t="shared" si="17"/>
        <v>256.02292432896962</v>
      </c>
      <c r="DT14" s="59">
        <f ca="1">AVERAGE(OFFSET($DS$3,0,0,'Données projet'!$E$14+1,1))-AVERAGE(OFFSET($H$3,0,0,'Données projet'!$E$14+1,1))</f>
        <v>206.5241977687125</v>
      </c>
      <c r="DU14" s="59">
        <f t="shared" si="44"/>
        <v>205.25001043771269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0.9</v>
      </c>
      <c r="EJ14" s="12">
        <f>IF('Données projet'!$A$192&gt;35,EJ13+EI14-ER13,IF(A14&lt;'Données projet'!$A$192,$EG$205^A14,IF(A14='Données projet'!$A$192,'Données projet'!$B$192,EJ13+EI14-ER13)))</f>
        <v>4.9022999220494095</v>
      </c>
      <c r="EK14" s="17">
        <f>EJ14*VLOOKUP('Données projet'!$B$15,Paramètres!$A$1:$I$89,3,0)*VLOOKUP('Données projet'!$B$15,Paramètres!$A$1:$I$89,5,0)</f>
        <v>4.2826492119023651</v>
      </c>
      <c r="EL14" s="13">
        <f t="shared" si="45"/>
        <v>1.6662234129484463</v>
      </c>
      <c r="EM14" s="20">
        <f t="shared" si="19"/>
        <v>10.360953154948495</v>
      </c>
      <c r="EN14" s="59">
        <f t="shared" si="20"/>
        <v>246.44517364016096</v>
      </c>
      <c r="EO14" s="59">
        <f ca="1">AVERAGE(OFFSET($EN$3,0,0,'Données projet'!$E$15+1,1))-AVERAGE(OFFSET($H$3,0,0,'Données projet'!$E$15+1,1))</f>
        <v>205.83135724908942</v>
      </c>
      <c r="EP14" s="59">
        <f t="shared" si="46"/>
        <v>193.60053377311405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5.6</v>
      </c>
      <c r="FE14" s="12">
        <f>IF('Données projet'!$A$218&gt;35,FE13+FD14-FM13,IF(A14&lt;'Données projet'!$A$218,$FB$205^A14,IF(A14='Données projet'!$A$218,'Données projet'!$B$218,FE13+FD14-FM13)))</f>
        <v>13.6</v>
      </c>
      <c r="FF14" s="17">
        <f>FE14*VLOOKUP('Données projet'!$B$16,Paramètres!$A$1:$I$89,3,0)*VLOOKUP('Données projet'!$B$16,Paramètres!$A$1:$I$89,5,0)</f>
        <v>8.9107199999999995</v>
      </c>
      <c r="FG14" s="13">
        <f t="shared" si="47"/>
        <v>3.1834278577240251</v>
      </c>
      <c r="FH14" s="20">
        <f t="shared" si="22"/>
        <v>21.063974185536008</v>
      </c>
      <c r="FI14" s="59">
        <f t="shared" si="23"/>
        <v>257.14819467074847</v>
      </c>
      <c r="FJ14" s="59">
        <f ca="1">AVERAGE(OFFSET($FI$3,0,0,'Données projet'!$E$16+1,1))-AVERAGE(OFFSET($H$3,0,0,'Données projet'!$E$16+1,1))</f>
        <v>242.76791261317206</v>
      </c>
      <c r="FK14" s="59">
        <f t="shared" si="48"/>
        <v>244.28580264867682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2.9235042736666665</v>
      </c>
      <c r="FZ14" s="12">
        <f>IF('Données projet'!$A$244&gt;35,FZ13+FY14-GH13,IF(A14&lt;'Données projet'!$A$244,$FW$205^A14,IF(A14='Données projet'!$A$244,'Données projet'!$B$244,FZ13+FY14-GH13)))</f>
        <v>5.1575387010793801</v>
      </c>
      <c r="GA14" s="17">
        <f>FZ14*VLOOKUP('Données projet'!$B$17,Paramètres!$A$1:$I$89,3,0)*VLOOKUP('Données projet'!$B$17,Paramètres!$A$1:$I$89,5,0)</f>
        <v>4.9079138279471382</v>
      </c>
      <c r="GB14" s="13">
        <f t="shared" si="49"/>
        <v>1.8794405433084482</v>
      </c>
      <c r="GC14" s="20">
        <f t="shared" si="25"/>
        <v>11.821308863270147</v>
      </c>
      <c r="GD14" s="59">
        <f t="shared" si="26"/>
        <v>247.90552934848262</v>
      </c>
      <c r="GE14" s="59">
        <f ca="1">AVERAGE(OFFSET($GD$3,0,0,'Données projet'!$E$17+1,1))-AVERAGE(OFFSET($H$3,0,0,'Données projet'!$E$17+1,1))</f>
        <v>512.71941256120977</v>
      </c>
      <c r="GF14" s="59">
        <f t="shared" si="50"/>
        <v>230.65031527019354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60.719938920209465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35.256410250000002</v>
      </c>
      <c r="GU14" s="12">
        <f>IF('Données projet'!$A$270&gt;35,GU13+GT14-HC13,IF(A14&lt;'Données projet'!$A$270,$GR$205^A14,IF(A14='Données projet'!$A$270,'Données projet'!$B$270,GU13+GT14-HC13)))</f>
        <v>166.66666665000002</v>
      </c>
      <c r="GV14" s="17">
        <f>GU14*VLOOKUP('Données projet'!$B$18,Paramètres!$A$1:$I$89,3,0)*VLOOKUP('Données projet'!$B$18,Paramètres!$A$1:$I$89,5,0)</f>
        <v>73.319999992668002</v>
      </c>
      <c r="GW14" s="13">
        <f t="shared" si="51"/>
        <v>20.495693941561068</v>
      </c>
      <c r="GX14" s="20">
        <f t="shared" si="28"/>
        <v>163.39566693544896</v>
      </c>
      <c r="GY14" s="59">
        <f t="shared" si="29"/>
        <v>399.47988742066138</v>
      </c>
      <c r="GZ14" s="59">
        <f ca="1">AVERAGE(OFFSET($GY$3,0,0,'Données projet'!$E$18+1,1))-AVERAGE(OFFSET($H$3,0,0,'Données projet'!$E$18+1,1))</f>
        <v>180.68917161146683</v>
      </c>
      <c r="HA14" s="59">
        <f t="shared" si="52"/>
        <v>344.42126252322419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2.25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8.25</v>
      </c>
      <c r="H15" s="66">
        <f t="shared" si="1"/>
        <v>223.66666666666666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2.9235042736666665</v>
      </c>
      <c r="N15" s="13">
        <f>IF('Données projet'!$A$36&gt;35,N14+M15-V14,IF(A15&lt;'Données projet'!$A$36,$K$205^A15,IF(A15='Données projet'!$A$36,'Données projet'!$B$36,N14+M15-V14)))</f>
        <v>5.987010159394214</v>
      </c>
      <c r="O15" s="13">
        <f>N15*VLOOKUP('Données projet'!$B$9,Paramètres!$A$1:$I$89,3,0)*VLOOKUP('Données projet'!$B$9,Paramètres!$A$1:$I$89,5,0)</f>
        <v>5.4170467922198853</v>
      </c>
      <c r="P15" s="13">
        <f t="shared" si="33"/>
        <v>2.0507120661314171</v>
      </c>
      <c r="Q15" s="20">
        <f t="shared" si="2"/>
        <v>13.006346678295186</v>
      </c>
      <c r="R15" s="59">
        <f t="shared" si="0"/>
        <v>250.90307986535836</v>
      </c>
      <c r="S15" s="59">
        <f ca="1">AVERAGE(OFFSET($R$3,0,0,'Données projet'!$E$9+1,1))-AVERAGE(OFFSET($H$3,0,0,'Données projet'!$E$9+1,1))</f>
        <v>490.57849401500789</v>
      </c>
      <c r="T15" s="59">
        <f t="shared" si="34"/>
        <v>221.7570623669753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1.8914529913333333</v>
      </c>
      <c r="AI15" s="13">
        <f>IF('Données projet'!$A$62&gt;35,AI14+AH15-AQ14,IF(A15&lt;'Données projet'!$A$62,$AF$205^A15,IF(A15='Données projet'!$A$62,'Données projet'!$B$62,AI14+AH15-AQ14)))</f>
        <v>5.0299853799822376</v>
      </c>
      <c r="AJ15" s="13">
        <f>AI15*VLOOKUP('Données projet'!$B$10,Paramètres!$A$1:$I$89,3,0)*VLOOKUP('Données projet'!$B$10,Paramètres!$A$1:$I$89,5,0)</f>
        <v>3.374114192892085</v>
      </c>
      <c r="AK15" s="13">
        <f t="shared" si="35"/>
        <v>1.3496900415971775</v>
      </c>
      <c r="AL15" s="20">
        <f t="shared" si="4"/>
        <v>8.2272923750687994</v>
      </c>
      <c r="AM15" s="59">
        <f t="shared" si="5"/>
        <v>246.12402556213198</v>
      </c>
      <c r="AN15" s="59">
        <f ca="1">AVERAGE(OFFSET($AM$3,0,0,'Données projet'!$E$10+1,1))-AVERAGE(OFFSET($H$3,0,0,'Données projet'!$E$10+1,1))</f>
        <v>377.00534440335832</v>
      </c>
      <c r="AO15" s="59">
        <f t="shared" si="36"/>
        <v>131.56029120000656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</v>
      </c>
      <c r="BD15" s="12">
        <f>IF('Données projet'!$A$88&gt;35,BD14+BC15-BL14,IF(A15&lt;'Données projet'!$A$88,$BA$205^A15,IF(A15='Données projet'!$A$88,'Données projet'!$B$88,BD14+BC15-BL14)))</f>
        <v>29.6</v>
      </c>
      <c r="BE15" s="13">
        <f>BD15*VLOOKUP('Données projet'!$B$11,Paramètres!$A$1:$I$89,3,0)*VLOOKUP('Données projet'!$B$11,Paramètres!$A$1:$I$89,5,0)</f>
        <v>25.858560000000008</v>
      </c>
      <c r="BF15" s="13">
        <f t="shared" si="37"/>
        <v>8.1607346448714608</v>
      </c>
      <c r="BG15" s="20">
        <f t="shared" si="7"/>
        <v>59.250271506484466</v>
      </c>
      <c r="BH15" s="59">
        <f t="shared" si="8"/>
        <v>297.14700469354761</v>
      </c>
      <c r="BI15" s="59">
        <f ca="1">AVERAGE(OFFSET($BH$3,0,0,'Données projet'!$E$11+1,1))-AVERAGE(OFFSET($H$3,0,0,'Données projet'!$E$11+1,1))</f>
        <v>314.1123649635374</v>
      </c>
      <c r="BJ15" s="59">
        <f t="shared" si="38"/>
        <v>274.92342227914889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271.2177793230727</v>
      </c>
      <c r="CD15" s="59">
        <f ca="1">AVERAGE(OFFSET($CC$3,0,0,'Données projet'!$E$12+1,1))-AVERAGE(OFFSET($H$3,0,0,'Données projet'!$E$12+1,1))</f>
        <v>309.86296291630748</v>
      </c>
      <c r="CE15" s="59">
        <f t="shared" si="40"/>
        <v>301.17633325088661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1.6</v>
      </c>
      <c r="CT15" s="12">
        <f>IF('Données projet'!$A$140&gt;35,CT14+CS15-DB14,IF(A15&lt;'Données projet'!$A$140,$CQ$205^A15,IF(A15='Données projet'!$A$140,'Données projet'!$B$140,CT14+CS15-DB14)))</f>
        <v>7.9999999999999947</v>
      </c>
      <c r="CU15" s="17">
        <f>CT15*VLOOKUP('Données projet'!$B$13,Paramètres!$A$1:$I$89,3,0)*VLOOKUP('Données projet'!$B$13,Paramètres!$A$1:$I$89,5,0)</f>
        <v>6.8639999999999963</v>
      </c>
      <c r="CV15" s="13">
        <f t="shared" si="41"/>
        <v>2.5278525909113112</v>
      </c>
      <c r="CW15" s="20">
        <f t="shared" si="13"/>
        <v>16.357476595837191</v>
      </c>
      <c r="CX15" s="59">
        <f t="shared" si="14"/>
        <v>254.25420978290038</v>
      </c>
      <c r="CY15" s="59">
        <f ca="1">AVERAGE(OFFSET($CX$3,0,0,'Données projet'!$E$13+1,1))-AVERAGE(OFFSET($H$3,0,0,'Données projet'!$E$13+1,1))</f>
        <v>462.66388549889928</v>
      </c>
      <c r="CZ15" s="59">
        <f t="shared" si="42"/>
        <v>265.3725203415089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1.7094017093333334</v>
      </c>
      <c r="DO15" s="12">
        <f>IF('Données projet'!$A$166&gt;35,DO14+DN15-DW14,IF(A15&lt;'Données projet'!$A$166,$DL$205^A15,IF(A15='Données projet'!$A$166,'Données projet'!$B$166,DO14+DN15-DW14)))</f>
        <v>13.401342737797453</v>
      </c>
      <c r="DP15" s="17">
        <f>DO15*VLOOKUP('Données projet'!$B$14,Paramètres!$A$1:$I$89,3,0)*VLOOKUP('Données projet'!$B$14,Paramètres!$A$1:$I$89,5,0)</f>
        <v>10.453047335482013</v>
      </c>
      <c r="DQ15" s="13">
        <f t="shared" si="43"/>
        <v>3.6656846960199649</v>
      </c>
      <c r="DR15" s="20">
        <f t="shared" si="16"/>
        <v>24.590124954865942</v>
      </c>
      <c r="DS15" s="59">
        <f t="shared" si="17"/>
        <v>262.48685814192913</v>
      </c>
      <c r="DT15" s="59">
        <f ca="1">AVERAGE(OFFSET($DS$3,0,0,'Données projet'!$E$14+1,1))-AVERAGE(OFFSET($H$3,0,0,'Données projet'!$E$14+1,1))</f>
        <v>206.5241977687125</v>
      </c>
      <c r="DU15" s="59">
        <f t="shared" si="44"/>
        <v>205.25001043771269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0.9</v>
      </c>
      <c r="EJ15" s="12">
        <f>IF('Données projet'!$A$192&gt;35,EJ14+EI15-ER14,IF(A15&lt;'Données projet'!$A$192,$EG$205^A15,IF(A15='Données projet'!$A$192,'Données projet'!$B$192,EJ14+EI15-ER14)))</f>
        <v>5.6645250677694134</v>
      </c>
      <c r="EK15" s="17">
        <f>EJ15*VLOOKUP('Données projet'!$B$15,Paramètres!$A$1:$I$89,3,0)*VLOOKUP('Données projet'!$B$15,Paramètres!$A$1:$I$89,5,0)</f>
        <v>4.9485290992033608</v>
      </c>
      <c r="EL15" s="13">
        <f t="shared" si="45"/>
        <v>1.8931767921179217</v>
      </c>
      <c r="EM15" s="20">
        <f t="shared" si="19"/>
        <v>11.915971094051232</v>
      </c>
      <c r="EN15" s="59">
        <f t="shared" si="20"/>
        <v>249.81270428111441</v>
      </c>
      <c r="EO15" s="59">
        <f ca="1">AVERAGE(OFFSET($EN$3,0,0,'Données projet'!$E$15+1,1))-AVERAGE(OFFSET($H$3,0,0,'Données projet'!$E$15+1,1))</f>
        <v>205.83135724908942</v>
      </c>
      <c r="EP15" s="59">
        <f t="shared" si="46"/>
        <v>193.60053377311405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5.6</v>
      </c>
      <c r="FE15" s="12">
        <f>IF('Données projet'!$A$218&gt;35,FE14+FD15-FM14,IF(A15&lt;'Données projet'!$A$218,$FB$205^A15,IF(A15='Données projet'!$A$218,'Données projet'!$B$218,FE14+FD15-FM14)))</f>
        <v>19.2</v>
      </c>
      <c r="FF15" s="17">
        <f>FE15*VLOOKUP('Données projet'!$B$16,Paramètres!$A$1:$I$89,3,0)*VLOOKUP('Données projet'!$B$16,Paramètres!$A$1:$I$89,5,0)</f>
        <v>12.579840000000001</v>
      </c>
      <c r="FG15" s="13">
        <f t="shared" si="47"/>
        <v>4.3174269552455735</v>
      </c>
      <c r="FH15" s="20">
        <f t="shared" si="22"/>
        <v>29.429406613719376</v>
      </c>
      <c r="FI15" s="59">
        <f t="shared" si="23"/>
        <v>267.32613980078253</v>
      </c>
      <c r="FJ15" s="59">
        <f ca="1">AVERAGE(OFFSET($FI$3,0,0,'Données projet'!$E$16+1,1))-AVERAGE(OFFSET($H$3,0,0,'Données projet'!$E$16+1,1))</f>
        <v>242.76791261317206</v>
      </c>
      <c r="FK15" s="59">
        <f t="shared" si="48"/>
        <v>244.28580264867682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2.9235042736666665</v>
      </c>
      <c r="FZ15" s="12">
        <f>IF('Données projet'!$A$244&gt;35,FZ14+FY15-GH14,IF(A15&lt;'Données projet'!$A$244,$FW$205^A15,IF(A15='Données projet'!$A$244,'Données projet'!$B$244,FZ14+FY15-GH14)))</f>
        <v>5.987010159394214</v>
      </c>
      <c r="GA15" s="17">
        <f>FZ15*VLOOKUP('Données projet'!$B$17,Paramètres!$A$1:$I$89,3,0)*VLOOKUP('Données projet'!$B$17,Paramètres!$A$1:$I$89,5,0)</f>
        <v>5.697238867679534</v>
      </c>
      <c r="GB15" s="13">
        <f t="shared" si="49"/>
        <v>2.1441598223474365</v>
      </c>
      <c r="GC15" s="20">
        <f t="shared" si="25"/>
        <v>13.657102718463641</v>
      </c>
      <c r="GD15" s="59">
        <f t="shared" si="26"/>
        <v>251.55383590552682</v>
      </c>
      <c r="GE15" s="59">
        <f ca="1">AVERAGE(OFFSET($GD$3,0,0,'Données projet'!$E$17+1,1))-AVERAGE(OFFSET($H$3,0,0,'Données projet'!$E$17+1,1))</f>
        <v>512.71941256120977</v>
      </c>
      <c r="GF15" s="59">
        <f t="shared" si="50"/>
        <v>230.65031527019354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60.880927232835397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35.256410250000002</v>
      </c>
      <c r="GU15" s="12">
        <f>IF('Données projet'!$A$270&gt;35,GU14+GT15-HC14,IF(A15&lt;'Données projet'!$A$270,$GR$205^A15,IF(A15='Données projet'!$A$270,'Données projet'!$B$270,GU14+GT15-HC14)))</f>
        <v>201.92307690000001</v>
      </c>
      <c r="GV15" s="17">
        <f>GU15*VLOOKUP('Données projet'!$B$18,Paramètres!$A$1:$I$89,3,0)*VLOOKUP('Données projet'!$B$18,Paramètres!$A$1:$I$89,5,0)</f>
        <v>88.829999989847991</v>
      </c>
      <c r="GW15" s="13">
        <f t="shared" si="51"/>
        <v>24.282834630776605</v>
      </c>
      <c r="GX15" s="20">
        <f t="shared" si="28"/>
        <v>197.00485363092116</v>
      </c>
      <c r="GY15" s="59">
        <f t="shared" si="29"/>
        <v>434.90158681798437</v>
      </c>
      <c r="GZ15" s="59">
        <f ca="1">AVERAGE(OFFSET($GY$3,0,0,'Données projet'!$E$18+1,1))-AVERAGE(OFFSET($H$3,0,0,'Données projet'!$E$18+1,1))</f>
        <v>180.68917161146683</v>
      </c>
      <c r="HA15" s="59">
        <f t="shared" si="52"/>
        <v>344.42126252322419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2.25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8.25</v>
      </c>
      <c r="H16" s="66">
        <f t="shared" si="1"/>
        <v>223.66666666666666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2.9235042736666665</v>
      </c>
      <c r="N16" s="13">
        <f>IF('Données projet'!$A$36&gt;35,N15+M16-V15,IF(A16&lt;'Données projet'!$A$36,$K$205^A16,IF(A16='Données projet'!$A$36,'Données projet'!$B$36,N15+M16-V15)))</f>
        <v>6.9498830209820754</v>
      </c>
      <c r="O16" s="13">
        <f>N16*VLOOKUP('Données projet'!$B$9,Paramètres!$A$1:$I$89,3,0)*VLOOKUP('Données projet'!$B$9,Paramètres!$A$1:$I$89,5,0)</f>
        <v>6.2882541573845812</v>
      </c>
      <c r="P16" s="13">
        <f t="shared" si="33"/>
        <v>2.3395549463149212</v>
      </c>
      <c r="Q16" s="20">
        <f t="shared" si="2"/>
        <v>15.026767522276629</v>
      </c>
      <c r="R16" s="59">
        <f t="shared" si="0"/>
        <v>254.72577319106063</v>
      </c>
      <c r="S16" s="59">
        <f ca="1">AVERAGE(OFFSET($R$3,0,0,'Données projet'!$E$9+1,1))-AVERAGE(OFFSET($H$3,0,0,'Données projet'!$E$9+1,1))</f>
        <v>490.57849401500789</v>
      </c>
      <c r="T16" s="59">
        <f t="shared" si="34"/>
        <v>221.7570623669753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1.8914529913333333</v>
      </c>
      <c r="AI16" s="13">
        <f>IF('Données projet'!$A$62&gt;35,AI15+AH16-AQ15,IF(A16&lt;'Données projet'!$A$62,$AF$205^A16,IF(A16='Données projet'!$A$62,'Données projet'!$B$62,AI15+AH16-AQ15)))</f>
        <v>5.7548050536246498</v>
      </c>
      <c r="AJ16" s="13">
        <f>AI16*VLOOKUP('Données projet'!$B$10,Paramètres!$A$1:$I$89,3,0)*VLOOKUP('Données projet'!$B$10,Paramètres!$A$1:$I$89,5,0)</f>
        <v>3.860323229971415</v>
      </c>
      <c r="AK16" s="13">
        <f t="shared" si="35"/>
        <v>1.5201720381010448</v>
      </c>
      <c r="AL16" s="20">
        <f t="shared" si="4"/>
        <v>9.3710292585595347</v>
      </c>
      <c r="AM16" s="59">
        <f t="shared" si="5"/>
        <v>249.07003492734353</v>
      </c>
      <c r="AN16" s="59">
        <f ca="1">AVERAGE(OFFSET($AM$3,0,0,'Données projet'!$E$10+1,1))-AVERAGE(OFFSET($H$3,0,0,'Données projet'!$E$10+1,1))</f>
        <v>377.00534440335832</v>
      </c>
      <c r="AO16" s="59">
        <f t="shared" si="36"/>
        <v>131.56029120000656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</v>
      </c>
      <c r="BD16" s="12">
        <f>IF('Données projet'!$A$88&gt;35,BD15+BC16-BL15,IF(A16&lt;'Données projet'!$A$88,$BA$205^A16,IF(A16='Données projet'!$A$88,'Données projet'!$B$88,BD15+BC16-BL15)))</f>
        <v>35.4</v>
      </c>
      <c r="BE16" s="13">
        <f>BD16*VLOOKUP('Données projet'!$B$11,Paramètres!$A$1:$I$89,3,0)*VLOOKUP('Données projet'!$B$11,Paramètres!$A$1:$I$89,5,0)</f>
        <v>30.925440000000002</v>
      </c>
      <c r="BF16" s="13">
        <f t="shared" si="37"/>
        <v>9.5586196975402125</v>
      </c>
      <c r="BG16" s="20">
        <f t="shared" si="7"/>
        <v>70.509737306549212</v>
      </c>
      <c r="BH16" s="59">
        <f t="shared" si="8"/>
        <v>310.20874297533322</v>
      </c>
      <c r="BI16" s="59">
        <f ca="1">AVERAGE(OFFSET($BH$3,0,0,'Données projet'!$E$11+1,1))-AVERAGE(OFFSET($H$3,0,0,'Données projet'!$E$11+1,1))</f>
        <v>314.1123649635374</v>
      </c>
      <c r="BJ16" s="59">
        <f t="shared" si="38"/>
        <v>274.92342227914889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281.79322375103857</v>
      </c>
      <c r="CD16" s="59">
        <f ca="1">AVERAGE(OFFSET($CC$3,0,0,'Données projet'!$E$12+1,1))-AVERAGE(OFFSET($H$3,0,0,'Données projet'!$E$12+1,1))</f>
        <v>309.86296291630748</v>
      </c>
      <c r="CE16" s="59">
        <f t="shared" si="40"/>
        <v>301.17633325088661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1.6</v>
      </c>
      <c r="CT16" s="12">
        <f>IF('Données projet'!$A$140&gt;35,CT15+CS16-DB15,IF(A16&lt;'Données projet'!$A$140,$CQ$205^A16,IF(A16='Données projet'!$A$140,'Données projet'!$B$140,CT15+CS16-DB15)))</f>
        <v>9.5136569200217629</v>
      </c>
      <c r="CU16" s="17">
        <f>CT16*VLOOKUP('Données projet'!$B$13,Paramètres!$A$1:$I$89,3,0)*VLOOKUP('Données projet'!$B$13,Paramètres!$A$1:$I$89,5,0)</f>
        <v>8.1627176373786732</v>
      </c>
      <c r="CV16" s="13">
        <f t="shared" si="41"/>
        <v>2.946112121509751</v>
      </c>
      <c r="CW16" s="20">
        <f t="shared" si="13"/>
        <v>19.347878496730672</v>
      </c>
      <c r="CX16" s="59">
        <f t="shared" si="14"/>
        <v>259.04688416551465</v>
      </c>
      <c r="CY16" s="59">
        <f ca="1">AVERAGE(OFFSET($CX$3,0,0,'Données projet'!$E$13+1,1))-AVERAGE(OFFSET($H$3,0,0,'Données projet'!$E$13+1,1))</f>
        <v>462.66388549889928</v>
      </c>
      <c r="CZ16" s="59">
        <f t="shared" si="42"/>
        <v>265.3725203415089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1.7094017093333334</v>
      </c>
      <c r="DO16" s="12">
        <f>IF('Données projet'!$A$166&gt;35,DO15+DN16-DW15,IF(A16&lt;'Données projet'!$A$166,$DL$205^A16,IF(A16='Données projet'!$A$166,'Données projet'!$B$166,DO15+DN16-DW15)))</f>
        <v>16.637089026376071</v>
      </c>
      <c r="DP16" s="17">
        <f>DO16*VLOOKUP('Données projet'!$B$14,Paramètres!$A$1:$I$89,3,0)*VLOOKUP('Données projet'!$B$14,Paramètres!$A$1:$I$89,5,0)</f>
        <v>12.976929440573336</v>
      </c>
      <c r="DQ16" s="13">
        <f t="shared" si="43"/>
        <v>4.4376269862710407</v>
      </c>
      <c r="DR16" s="20">
        <f t="shared" si="16"/>
        <v>30.330352443420622</v>
      </c>
      <c r="DS16" s="59">
        <f t="shared" si="17"/>
        <v>270.02935811220459</v>
      </c>
      <c r="DT16" s="59">
        <f ca="1">AVERAGE(OFFSET($DS$3,0,0,'Données projet'!$E$14+1,1))-AVERAGE(OFFSET($H$3,0,0,'Données projet'!$E$14+1,1))</f>
        <v>206.5241977687125</v>
      </c>
      <c r="DU16" s="59">
        <f t="shared" si="44"/>
        <v>205.25001043771269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0.9</v>
      </c>
      <c r="EJ16" s="12">
        <f>IF('Données projet'!$A$192&gt;35,EJ15+EI16-ER15,IF(A16&lt;'Données projet'!$A$192,$EG$205^A16,IF(A16='Données projet'!$A$192,'Données projet'!$B$192,EJ15+EI16-ER15)))</f>
        <v>6.5452633975063188</v>
      </c>
      <c r="EK16" s="17">
        <f>EJ16*VLOOKUP('Données projet'!$B$15,Paramètres!$A$1:$I$89,3,0)*VLOOKUP('Données projet'!$B$15,Paramètres!$A$1:$I$89,5,0)</f>
        <v>5.717942104061521</v>
      </c>
      <c r="EL16" s="13">
        <f t="shared" si="45"/>
        <v>2.1510430944381391</v>
      </c>
      <c r="EM16" s="20">
        <f t="shared" si="19"/>
        <v>13.705149220720239</v>
      </c>
      <c r="EN16" s="59">
        <f t="shared" si="20"/>
        <v>253.40415488950424</v>
      </c>
      <c r="EO16" s="59">
        <f ca="1">AVERAGE(OFFSET($EN$3,0,0,'Données projet'!$E$15+1,1))-AVERAGE(OFFSET($H$3,0,0,'Données projet'!$E$15+1,1))</f>
        <v>205.83135724908942</v>
      </c>
      <c r="EP16" s="59">
        <f t="shared" si="46"/>
        <v>193.60053377311405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5.6</v>
      </c>
      <c r="FE16" s="12">
        <f>IF('Données projet'!$A$218&gt;35,FE15+FD16-FM15,IF(A16&lt;'Données projet'!$A$218,$FB$205^A16,IF(A16='Données projet'!$A$218,'Données projet'!$B$218,FE15+FD16-FM15)))</f>
        <v>24.799999999999997</v>
      </c>
      <c r="FF16" s="17">
        <f>FE16*VLOOKUP('Données projet'!$B$16,Paramètres!$A$1:$I$89,3,0)*VLOOKUP('Données projet'!$B$16,Paramètres!$A$1:$I$89,5,0)</f>
        <v>16.248959999999997</v>
      </c>
      <c r="FG16" s="13">
        <f t="shared" si="47"/>
        <v>5.4129939058841172</v>
      </c>
      <c r="FH16" s="20">
        <f t="shared" si="22"/>
        <v>37.727903052748168</v>
      </c>
      <c r="FI16" s="59">
        <f t="shared" si="23"/>
        <v>277.42690872153219</v>
      </c>
      <c r="FJ16" s="59">
        <f ca="1">AVERAGE(OFFSET($FI$3,0,0,'Données projet'!$E$16+1,1))-AVERAGE(OFFSET($H$3,0,0,'Données projet'!$E$16+1,1))</f>
        <v>242.76791261317206</v>
      </c>
      <c r="FK16" s="59">
        <f t="shared" si="48"/>
        <v>244.28580264867682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2.9235042736666665</v>
      </c>
      <c r="FZ16" s="12">
        <f>IF('Données projet'!$A$244&gt;35,FZ15+FY16-GH15,IF(A16&lt;'Données projet'!$A$244,$FW$205^A16,IF(A16='Données projet'!$A$244,'Données projet'!$B$244,FZ15+FY16-GH15)))</f>
        <v>6.9498830209820754</v>
      </c>
      <c r="GA16" s="17">
        <f>FZ16*VLOOKUP('Données projet'!$B$17,Paramètres!$A$1:$I$89,3,0)*VLOOKUP('Données projet'!$B$17,Paramètres!$A$1:$I$89,5,0)</f>
        <v>6.6135086827665424</v>
      </c>
      <c r="GB16" s="13">
        <f t="shared" si="49"/>
        <v>2.4461648228977642</v>
      </c>
      <c r="GC16" s="20">
        <f t="shared" si="25"/>
        <v>15.778931355698667</v>
      </c>
      <c r="GD16" s="59">
        <f t="shared" si="26"/>
        <v>255.47793702448266</v>
      </c>
      <c r="GE16" s="59">
        <f ca="1">AVERAGE(OFFSET($GD$3,0,0,'Données projet'!$E$17+1,1))-AVERAGE(OFFSET($H$3,0,0,'Données projet'!$E$17+1,1))</f>
        <v>512.71941256120977</v>
      </c>
      <c r="GF16" s="59">
        <f t="shared" si="50"/>
        <v>230.65031527019354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61.039122758153212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35.256410250000002</v>
      </c>
      <c r="GU16" s="12">
        <f>IF('Données projet'!$A$270&gt;35,GU15+GT16-HC15,IF(A16&lt;'Données projet'!$A$270,$GR$205^A16,IF(A16='Données projet'!$A$270,'Données projet'!$B$270,GU15+GT16-HC15)))</f>
        <v>237.17948715</v>
      </c>
      <c r="GV16" s="17">
        <f>GU16*VLOOKUP('Données projet'!$B$18,Paramètres!$A$1:$I$89,3,0)*VLOOKUP('Données projet'!$B$18,Paramètres!$A$1:$I$89,5,0)</f>
        <v>104.33999998702799</v>
      </c>
      <c r="GW16" s="13">
        <f t="shared" si="51"/>
        <v>27.99337231285903</v>
      </c>
      <c r="GX16" s="20">
        <f t="shared" si="28"/>
        <v>230.48062342230324</v>
      </c>
      <c r="GY16" s="59">
        <f t="shared" si="29"/>
        <v>470.17962909108724</v>
      </c>
      <c r="GZ16" s="59">
        <f ca="1">AVERAGE(OFFSET($GY$3,0,0,'Données projet'!$E$18+1,1))-AVERAGE(OFFSET($H$3,0,0,'Données projet'!$E$18+1,1))</f>
        <v>180.68917161146683</v>
      </c>
      <c r="HA16" s="59">
        <f t="shared" si="52"/>
        <v>344.42126252322419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2.25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8.25</v>
      </c>
      <c r="H17" s="66">
        <f t="shared" si="1"/>
        <v>223.66666666666666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2.9235042736666665</v>
      </c>
      <c r="N17" s="13">
        <f>IF('Données projet'!$A$36&gt;35,N16+M17-V16,IF(A17&lt;'Données projet'!$A$36,$K$205^A17,IF(A17='Données projet'!$A$36,'Données projet'!$B$36,N16+M17-V16)))</f>
        <v>8.0676118328521742</v>
      </c>
      <c r="O17" s="13">
        <f>N17*VLOOKUP('Données projet'!$B$9,Paramètres!$A$1:$I$89,3,0)*VLOOKUP('Données projet'!$B$9,Paramètres!$A$1:$I$89,5,0)</f>
        <v>7.2995751863646472</v>
      </c>
      <c r="P17" s="13">
        <f t="shared" si="33"/>
        <v>2.6690813582387389</v>
      </c>
      <c r="Q17" s="20">
        <f t="shared" si="2"/>
        <v>17.362076815184228</v>
      </c>
      <c r="R17" s="59">
        <f t="shared" si="0"/>
        <v>258.85329239048497</v>
      </c>
      <c r="S17" s="59">
        <f ca="1">AVERAGE(OFFSET($R$3,0,0,'Données projet'!$E$9+1,1))-AVERAGE(OFFSET($H$3,0,0,'Données projet'!$E$9+1,1))</f>
        <v>490.57849401500789</v>
      </c>
      <c r="T17" s="59">
        <f t="shared" si="34"/>
        <v>221.7570623669753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1.8914529913333333</v>
      </c>
      <c r="AI17" s="13">
        <f>IF('Données projet'!$A$62&gt;35,AI16+AH17-AQ16,IF(A17&lt;'Données projet'!$A$62,$AF$205^A17,IF(A17='Données projet'!$A$62,'Données projet'!$B$62,AI16+AH17-AQ16)))</f>
        <v>6.5840710664929931</v>
      </c>
      <c r="AJ17" s="13">
        <f>AI17*VLOOKUP('Données projet'!$B$10,Paramètres!$A$1:$I$89,3,0)*VLOOKUP('Données projet'!$B$10,Paramètres!$A$1:$I$89,5,0)</f>
        <v>4.4165948714034995</v>
      </c>
      <c r="AK17" s="13">
        <f t="shared" si="35"/>
        <v>1.7121879499752533</v>
      </c>
      <c r="AL17" s="20">
        <f t="shared" si="4"/>
        <v>10.674296747234662</v>
      </c>
      <c r="AM17" s="59">
        <f t="shared" si="5"/>
        <v>252.16551232253539</v>
      </c>
      <c r="AN17" s="59">
        <f ca="1">AVERAGE(OFFSET($AM$3,0,0,'Données projet'!$E$10+1,1))-AVERAGE(OFFSET($H$3,0,0,'Données projet'!$E$10+1,1))</f>
        <v>377.00534440335832</v>
      </c>
      <c r="AO17" s="59">
        <f t="shared" si="36"/>
        <v>131.56029120000656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</v>
      </c>
      <c r="BD17" s="12">
        <f>IF('Données projet'!$A$88&gt;35,BD16+BC17-BL16,IF(A17&lt;'Données projet'!$A$88,$BA$205^A17,IF(A17='Données projet'!$A$88,'Données projet'!$B$88,BD16+BC17-BL16)))</f>
        <v>41.199999999999996</v>
      </c>
      <c r="BE17" s="13">
        <f>BD17*VLOOKUP('Données projet'!$B$11,Paramètres!$A$1:$I$89,3,0)*VLOOKUP('Données projet'!$B$11,Paramètres!$A$1:$I$89,5,0)</f>
        <v>35.992319999999999</v>
      </c>
      <c r="BF17" s="13">
        <f t="shared" si="37"/>
        <v>10.929972788578748</v>
      </c>
      <c r="BG17" s="20">
        <f t="shared" si="7"/>
        <v>81.722993273441304</v>
      </c>
      <c r="BH17" s="59">
        <f t="shared" si="8"/>
        <v>323.21420884874203</v>
      </c>
      <c r="BI17" s="59">
        <f ca="1">AVERAGE(OFFSET($BH$3,0,0,'Données projet'!$E$11+1,1))-AVERAGE(OFFSET($H$3,0,0,'Données projet'!$E$11+1,1))</f>
        <v>314.1123649635374</v>
      </c>
      <c r="BJ17" s="59">
        <f t="shared" si="38"/>
        <v>274.92342227914889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294.67628872142291</v>
      </c>
      <c r="CD17" s="59">
        <f ca="1">AVERAGE(OFFSET($CC$3,0,0,'Données projet'!$E$12+1,1))-AVERAGE(OFFSET($H$3,0,0,'Données projet'!$E$12+1,1))</f>
        <v>309.86296291630748</v>
      </c>
      <c r="CE17" s="59">
        <f t="shared" si="40"/>
        <v>301.17633325088661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1.6</v>
      </c>
      <c r="CT17" s="12">
        <f>IF('Données projet'!$A$140&gt;35,CT16+CS17-DB16,IF(A17&lt;'Données projet'!$A$140,$CQ$205^A17,IF(A17='Données projet'!$A$140,'Données projet'!$B$140,CT16+CS17-DB16)))</f>
        <v>11.313708498984752</v>
      </c>
      <c r="CU17" s="17">
        <f>CT17*VLOOKUP('Données projet'!$B$13,Paramètres!$A$1:$I$89,3,0)*VLOOKUP('Données projet'!$B$13,Paramètres!$A$1:$I$89,5,0)</f>
        <v>9.7071618921289176</v>
      </c>
      <c r="CV17" s="13">
        <f t="shared" si="41"/>
        <v>3.433577046269785</v>
      </c>
      <c r="CW17" s="20">
        <f t="shared" si="13"/>
        <v>22.886786984377736</v>
      </c>
      <c r="CX17" s="59">
        <f t="shared" si="14"/>
        <v>264.37800255967846</v>
      </c>
      <c r="CY17" s="59">
        <f ca="1">AVERAGE(OFFSET($CX$3,0,0,'Données projet'!$E$13+1,1))-AVERAGE(OFFSET($H$3,0,0,'Données projet'!$E$13+1,1))</f>
        <v>462.66388549889928</v>
      </c>
      <c r="CZ17" s="59">
        <f t="shared" si="42"/>
        <v>265.3725203415089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1.7094017093333334</v>
      </c>
      <c r="DO17" s="12">
        <f>IF('Données projet'!$A$166&gt;35,DO16+DN17-DW16,IF(A17&lt;'Données projet'!$A$166,$DL$205^A17,IF(A17='Données projet'!$A$166,'Données projet'!$B$166,DO16+DN17-DW16)))</f>
        <v>20.65410434514823</v>
      </c>
      <c r="DP17" s="17">
        <f>DO17*VLOOKUP('Données projet'!$B$14,Paramètres!$A$1:$I$89,3,0)*VLOOKUP('Données projet'!$B$14,Paramètres!$A$1:$I$89,5,0)</f>
        <v>16.110201389215622</v>
      </c>
      <c r="DQ17" s="13">
        <f t="shared" si="43"/>
        <v>5.3721296025984637</v>
      </c>
      <c r="DR17" s="20">
        <f t="shared" si="16"/>
        <v>37.415059810742861</v>
      </c>
      <c r="DS17" s="59">
        <f t="shared" si="17"/>
        <v>278.9062753860436</v>
      </c>
      <c r="DT17" s="59">
        <f ca="1">AVERAGE(OFFSET($DS$3,0,0,'Données projet'!$E$14+1,1))-AVERAGE(OFFSET($H$3,0,0,'Données projet'!$E$14+1,1))</f>
        <v>206.5241977687125</v>
      </c>
      <c r="DU17" s="59">
        <f t="shared" si="44"/>
        <v>205.25001043771269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0.9</v>
      </c>
      <c r="EJ17" s="12">
        <f>IF('Données projet'!$A$192&gt;35,EJ16+EI17-ER16,IF(A17&lt;'Données projet'!$A$192,$EG$205^A17,IF(A17='Données projet'!$A$192,'Données projet'!$B$192,EJ16+EI17-ER16)))</f>
        <v>7.5629417171254145</v>
      </c>
      <c r="EK17" s="17">
        <f>EJ17*VLOOKUP('Données projet'!$B$15,Paramètres!$A$1:$I$89,3,0)*VLOOKUP('Données projet'!$B$15,Paramètres!$A$1:$I$89,5,0)</f>
        <v>6.6069858840807631</v>
      </c>
      <c r="EL17" s="13">
        <f t="shared" si="45"/>
        <v>2.4440329151477385</v>
      </c>
      <c r="EM17" s="20">
        <f t="shared" si="19"/>
        <v>15.763857741989639</v>
      </c>
      <c r="EN17" s="59">
        <f t="shared" si="20"/>
        <v>257.2550733172904</v>
      </c>
      <c r="EO17" s="59">
        <f ca="1">AVERAGE(OFFSET($EN$3,0,0,'Données projet'!$E$15+1,1))-AVERAGE(OFFSET($H$3,0,0,'Données projet'!$E$15+1,1))</f>
        <v>205.83135724908942</v>
      </c>
      <c r="EP17" s="59">
        <f t="shared" si="46"/>
        <v>193.60053377311405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5.6</v>
      </c>
      <c r="FE17" s="12">
        <f>IF('Données projet'!$A$218&gt;35,FE16+FD17-FM16,IF(A17&lt;'Données projet'!$A$218,$FB$205^A17,IF(A17='Données projet'!$A$218,'Données projet'!$B$218,FE16+FD17-FM16)))</f>
        <v>30.4</v>
      </c>
      <c r="FF17" s="17">
        <f>FE17*VLOOKUP('Données projet'!$B$16,Paramètres!$A$1:$I$89,3,0)*VLOOKUP('Données projet'!$B$16,Paramètres!$A$1:$I$89,5,0)</f>
        <v>19.91808</v>
      </c>
      <c r="FG17" s="13">
        <f t="shared" si="47"/>
        <v>6.4798825087607046</v>
      </c>
      <c r="FH17" s="20">
        <f t="shared" si="22"/>
        <v>45.976451369424893</v>
      </c>
      <c r="FI17" s="59">
        <f t="shared" si="23"/>
        <v>287.46766694472564</v>
      </c>
      <c r="FJ17" s="59">
        <f ca="1">AVERAGE(OFFSET($FI$3,0,0,'Données projet'!$E$16+1,1))-AVERAGE(OFFSET($H$3,0,0,'Données projet'!$E$16+1,1))</f>
        <v>242.76791261317206</v>
      </c>
      <c r="FK17" s="59">
        <f t="shared" si="48"/>
        <v>244.28580264867682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2.9235042736666665</v>
      </c>
      <c r="FZ17" s="12">
        <f>IF('Données projet'!$A$244&gt;35,FZ16+FY17-GH16,IF(A17&lt;'Données projet'!$A$244,$FW$205^A17,IF(A17='Données projet'!$A$244,'Données projet'!$B$244,FZ16+FY17-GH16)))</f>
        <v>8.0676118328521742</v>
      </c>
      <c r="GA17" s="17">
        <f>FZ17*VLOOKUP('Données projet'!$B$17,Paramètres!$A$1:$I$89,3,0)*VLOOKUP('Données projet'!$B$17,Paramètres!$A$1:$I$89,5,0)</f>
        <v>7.6771394201421286</v>
      </c>
      <c r="GB17" s="13">
        <f t="shared" si="49"/>
        <v>2.7907072403919244</v>
      </c>
      <c r="GC17" s="20">
        <f t="shared" si="25"/>
        <v>18.231499600430144</v>
      </c>
      <c r="GD17" s="59">
        <f t="shared" si="26"/>
        <v>259.72271517573091</v>
      </c>
      <c r="GE17" s="59">
        <f ca="1">AVERAGE(OFFSET($GD$3,0,0,'Données projet'!$E$17+1,1))-AVERAGE(OFFSET($H$3,0,0,'Données projet'!$E$17+1,1))</f>
        <v>512.71941256120977</v>
      </c>
      <c r="GF17" s="59">
        <f t="shared" si="50"/>
        <v>230.65031527019354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61.19457394477898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>
        <f>VLOOKUP(A17,'Données projet'!$A$269:$I$289,2,0)</f>
        <v>272.43589739999999</v>
      </c>
      <c r="GS17" s="12">
        <f>VLOOKUP(A17,'Données projet'!$A$269:$I$289,9,0)</f>
        <v>35.256410250000002</v>
      </c>
      <c r="GT17" s="12">
        <f t="array" ref="GT17">INDEX(GS:GS,MIN(IF(ISNUMBER(GS17:GS213),ROW(GS17:GS213),"")))</f>
        <v>35.256410250000002</v>
      </c>
      <c r="GU17" s="12">
        <f>IF('Données projet'!$A$270&gt;35,GU16+GT17-HC16,IF(A17&lt;'Données projet'!$A$270,$GR$205^A17,IF(A17='Données projet'!$A$270,'Données projet'!$B$270,GU16+GT17-HC16)))</f>
        <v>272.43589739999999</v>
      </c>
      <c r="GV17" s="17">
        <f>GU17*VLOOKUP('Données projet'!$B$18,Paramètres!$A$1:$I$89,3,0)*VLOOKUP('Données projet'!$B$18,Paramètres!$A$1:$I$89,5,0)</f>
        <v>119.849999984208</v>
      </c>
      <c r="GW17" s="13">
        <f t="shared" si="51"/>
        <v>31.640011707372793</v>
      </c>
      <c r="GX17" s="20">
        <f t="shared" si="28"/>
        <v>263.84510369616982</v>
      </c>
      <c r="GY17" s="59">
        <f t="shared" si="29"/>
        <v>505.33631927147053</v>
      </c>
      <c r="GZ17" s="59">
        <f ca="1">AVERAGE(OFFSET($GY$3,0,0,'Données projet'!$E$18+1,1))-AVERAGE(OFFSET($H$3,0,0,'Données projet'!$E$18+1,1))</f>
        <v>180.68917161146683</v>
      </c>
      <c r="HA17" s="59">
        <f t="shared" si="52"/>
        <v>344.42126252322419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2.25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8.25</v>
      </c>
      <c r="H18" s="66">
        <f t="shared" si="1"/>
        <v>223.66666666666666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2.9235042736666665</v>
      </c>
      <c r="N18" s="13">
        <f>IF('Données projet'!$A$36&gt;35,N17+M18-V17,IF(A18&lt;'Données projet'!$A$36,$K$205^A18,IF(A18='Données projet'!$A$36,'Données projet'!$B$36,N17+M18-V17)))</f>
        <v>9.3651016123691768</v>
      </c>
      <c r="O18" s="13">
        <f>N18*VLOOKUP('Données projet'!$B$9,Paramètres!$A$1:$I$89,3,0)*VLOOKUP('Données projet'!$B$9,Paramètres!$A$1:$I$89,5,0)</f>
        <v>8.4735439388716305</v>
      </c>
      <c r="P18" s="13">
        <f t="shared" si="33"/>
        <v>3.0450215790480555</v>
      </c>
      <c r="Q18" s="20">
        <f t="shared" si="2"/>
        <v>20.061501610376787</v>
      </c>
      <c r="R18" s="59">
        <f t="shared" si="0"/>
        <v>263.33503908017326</v>
      </c>
      <c r="S18" s="59">
        <f ca="1">AVERAGE(OFFSET($R$3,0,0,'Données projet'!$E$9+1,1))-AVERAGE(OFFSET($H$3,0,0,'Données projet'!$E$9+1,1))</f>
        <v>490.57849401500789</v>
      </c>
      <c r="T18" s="59">
        <f t="shared" si="34"/>
        <v>221.7570623669753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1.8914529913333333</v>
      </c>
      <c r="AI18" s="13">
        <f>IF('Données projet'!$A$62&gt;35,AI17+AH18-AQ17,IF(A18&lt;'Données projet'!$A$62,$AF$205^A18,IF(A18='Données projet'!$A$62,'Données projet'!$B$62,AI17+AH18-AQ17)))</f>
        <v>7.5328341107447727</v>
      </c>
      <c r="AJ18" s="13">
        <f>AI18*VLOOKUP('Données projet'!$B$10,Paramètres!$A$1:$I$89,3,0)*VLOOKUP('Données projet'!$B$10,Paramètres!$A$1:$I$89,5,0)</f>
        <v>5.0530251214875941</v>
      </c>
      <c r="AK18" s="13">
        <f t="shared" si="35"/>
        <v>1.9284577683079305</v>
      </c>
      <c r="AL18" s="20">
        <f t="shared" si="4"/>
        <v>12.159416033060538</v>
      </c>
      <c r="AM18" s="59">
        <f t="shared" si="5"/>
        <v>255.432953502857</v>
      </c>
      <c r="AN18" s="59">
        <f ca="1">AVERAGE(OFFSET($AM$3,0,0,'Données projet'!$E$10+1,1))-AVERAGE(OFFSET($H$3,0,0,'Données projet'!$E$10+1,1))</f>
        <v>377.00534440335832</v>
      </c>
      <c r="AO18" s="59">
        <f t="shared" si="36"/>
        <v>131.56029120000656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47</v>
      </c>
      <c r="BB18" s="12">
        <f>VLOOKUP(A18,'Données projet'!$A$87:$I$107,9,0)</f>
        <v>5.8</v>
      </c>
      <c r="BC18" s="12">
        <f t="array" ref="BC18">INDEX(BB:BB,MIN(IF(ISNUMBER(BB18:BB214),ROW(BB18:BB214),"")))</f>
        <v>5.8</v>
      </c>
      <c r="BD18" s="12">
        <f>IF('Données projet'!$A$88&gt;35,BD17+BC18-BL17,IF(A18&lt;'Données projet'!$A$88,$BA$205^A18,IF(A18='Données projet'!$A$88,'Données projet'!$B$88,BD17+BC18-BL17)))</f>
        <v>46.999999999999993</v>
      </c>
      <c r="BE18" s="13">
        <f>BD18*VLOOKUP('Données projet'!$B$11,Paramètres!$A$1:$I$89,3,0)*VLOOKUP('Données projet'!$B$11,Paramètres!$A$1:$I$89,5,0)</f>
        <v>41.059200000000004</v>
      </c>
      <c r="BF18" s="13">
        <f t="shared" si="37"/>
        <v>12.278959527914743</v>
      </c>
      <c r="BG18" s="20">
        <f t="shared" si="7"/>
        <v>92.897294511118176</v>
      </c>
      <c r="BH18" s="59">
        <f t="shared" si="8"/>
        <v>336.17083198091467</v>
      </c>
      <c r="BI18" s="59">
        <f ca="1">AVERAGE(OFFSET($BH$3,0,0,'Données projet'!$E$11+1,1))-AVERAGE(OFFSET($H$3,0,0,'Données projet'!$E$11+1,1))</f>
        <v>314.1123649635374</v>
      </c>
      <c r="BJ18" s="59">
        <f t="shared" si="38"/>
        <v>274.92342227914889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310.48133585673122</v>
      </c>
      <c r="CD18" s="59">
        <f ca="1">AVERAGE(OFFSET($CC$3,0,0,'Données projet'!$E$12+1,1))-AVERAGE(OFFSET($H$3,0,0,'Données projet'!$E$12+1,1))</f>
        <v>309.86296291630748</v>
      </c>
      <c r="CE18" s="59">
        <f t="shared" si="40"/>
        <v>301.17633325088661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1.6</v>
      </c>
      <c r="CT18" s="12">
        <f>IF('Données projet'!$A$140&gt;35,CT17+CS18-DB17,IF(A18&lt;'Données projet'!$A$140,$CQ$205^A18,IF(A18='Données projet'!$A$140,'Données projet'!$B$140,CT17+CS18-DB17)))</f>
        <v>13.454342644059421</v>
      </c>
      <c r="CU18" s="17">
        <f>CT18*VLOOKUP('Données projet'!$B$13,Paramètres!$A$1:$I$89,3,0)*VLOOKUP('Données projet'!$B$13,Paramètres!$A$1:$I$89,5,0)</f>
        <v>11.543825988602984</v>
      </c>
      <c r="CV18" s="13">
        <f t="shared" si="41"/>
        <v>4.0016981182064377</v>
      </c>
      <c r="CW18" s="20">
        <f t="shared" si="13"/>
        <v>27.075121152693075</v>
      </c>
      <c r="CX18" s="59">
        <f t="shared" si="14"/>
        <v>270.34865862248955</v>
      </c>
      <c r="CY18" s="59">
        <f ca="1">AVERAGE(OFFSET($CX$3,0,0,'Données projet'!$E$13+1,1))-AVERAGE(OFFSET($H$3,0,0,'Données projet'!$E$13+1,1))</f>
        <v>462.66388549889928</v>
      </c>
      <c r="CZ18" s="59">
        <f t="shared" si="42"/>
        <v>265.3725203415089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25.641025639999999</v>
      </c>
      <c r="DM18" s="12">
        <f>VLOOKUP(A18,'Données projet'!$A$165:$I$185,9,0)</f>
        <v>1.7094017093333334</v>
      </c>
      <c r="DN18" s="12">
        <f t="array" ref="DN18">INDEX(DM:DM,MIN(IF(ISNUMBER(DM18:DM214),ROW(DM18:DM214),"")))</f>
        <v>1.7094017093333334</v>
      </c>
      <c r="DO18" s="12">
        <f>IF('Données projet'!$A$166&gt;35,DO17+DN18-DW17,IF(A18&lt;'Données projet'!$A$166,$DL$205^A18,IF(A18='Données projet'!$A$166,'Données projet'!$B$166,DO17+DN18-DW17)))</f>
        <v>25.641025639999999</v>
      </c>
      <c r="DP18" s="17">
        <f>DO18*VLOOKUP('Données projet'!$B$14,Paramètres!$A$1:$I$89,3,0)*VLOOKUP('Données projet'!$B$14,Paramètres!$A$1:$I$89,5,0)</f>
        <v>19.9999999992</v>
      </c>
      <c r="DQ18" s="13">
        <f t="shared" si="43"/>
        <v>6.5034254921380272</v>
      </c>
      <c r="DR18" s="20">
        <f t="shared" si="16"/>
        <v>46.160132730747058</v>
      </c>
      <c r="DS18" s="59">
        <f t="shared" si="17"/>
        <v>289.43367020054353</v>
      </c>
      <c r="DT18" s="59">
        <f ca="1">AVERAGE(OFFSET($DS$3,0,0,'Données projet'!$E$14+1,1))-AVERAGE(OFFSET($H$3,0,0,'Données projet'!$E$14+1,1))</f>
        <v>206.5241977687125</v>
      </c>
      <c r="DU18" s="59">
        <f t="shared" si="44"/>
        <v>205.25001043771269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1.923076923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0.9</v>
      </c>
      <c r="EJ18" s="12">
        <f>IF('Données projet'!$A$192&gt;35,EJ17+EI18-ER17,IF(A18&lt;'Données projet'!$A$192,$EG$205^A18,IF(A18='Données projet'!$A$192,'Données projet'!$B$192,EJ17+EI18-ER17)))</f>
        <v>8.7388518907318247</v>
      </c>
      <c r="EK18" s="17">
        <f>EJ18*VLOOKUP('Données projet'!$B$15,Paramètres!$A$1:$I$89,3,0)*VLOOKUP('Données projet'!$B$15,Paramètres!$A$1:$I$89,5,0)</f>
        <v>7.6342610117433241</v>
      </c>
      <c r="EL18" s="13">
        <f t="shared" si="45"/>
        <v>2.7769303673043324</v>
      </c>
      <c r="EM18" s="20">
        <f t="shared" si="19"/>
        <v>18.132824985174668</v>
      </c>
      <c r="EN18" s="59">
        <f t="shared" si="20"/>
        <v>261.40636245497114</v>
      </c>
      <c r="EO18" s="59">
        <f ca="1">AVERAGE(OFFSET($EN$3,0,0,'Données projet'!$E$15+1,1))-AVERAGE(OFFSET($H$3,0,0,'Données projet'!$E$15+1,1))</f>
        <v>205.83135724908942</v>
      </c>
      <c r="EP18" s="59">
        <f t="shared" si="46"/>
        <v>193.60053377311405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36</v>
      </c>
      <c r="FC18" s="12">
        <f>VLOOKUP(A18,'Données projet'!$A$217:$I$237,9,0)</f>
        <v>5.6</v>
      </c>
      <c r="FD18" s="12">
        <f t="array" ref="FD18">INDEX(FC:FC,MIN(IF(ISNUMBER(FC18:FC214),ROW(FC18:FC214),"")))</f>
        <v>5.6</v>
      </c>
      <c r="FE18" s="12">
        <f>IF('Données projet'!$A$218&gt;35,FE17+FD18-FM17,IF(A18&lt;'Données projet'!$A$218,$FB$205^A18,IF(A18='Données projet'!$A$218,'Données projet'!$B$218,FE17+FD18-FM17)))</f>
        <v>36</v>
      </c>
      <c r="FF18" s="17">
        <f>FE18*VLOOKUP('Données projet'!$B$16,Paramètres!$A$1:$I$89,3,0)*VLOOKUP('Données projet'!$B$16,Paramètres!$A$1:$I$89,5,0)</f>
        <v>23.587199999999999</v>
      </c>
      <c r="FG18" s="13">
        <f t="shared" si="47"/>
        <v>7.5240023521815003</v>
      </c>
      <c r="FH18" s="20">
        <f t="shared" si="22"/>
        <v>54.185344096716108</v>
      </c>
      <c r="FI18" s="59">
        <f t="shared" si="23"/>
        <v>297.45888156651256</v>
      </c>
      <c r="FJ18" s="59">
        <f ca="1">AVERAGE(OFFSET($FI$3,0,0,'Données projet'!$E$16+1,1))-AVERAGE(OFFSET($H$3,0,0,'Données projet'!$E$16+1,1))</f>
        <v>242.76791261317206</v>
      </c>
      <c r="FK18" s="59">
        <f t="shared" si="48"/>
        <v>244.28580264867682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3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2.9235042736666665</v>
      </c>
      <c r="FZ18" s="12">
        <f>IF('Données projet'!$A$244&gt;35,FZ17+FY18-GH17,IF(A18&lt;'Données projet'!$A$244,$FW$205^A18,IF(A18='Données projet'!$A$244,'Données projet'!$B$244,FZ17+FY18-GH17)))</f>
        <v>9.3651016123691768</v>
      </c>
      <c r="GA18" s="17">
        <f>FZ18*VLOOKUP('Données projet'!$B$17,Paramètres!$A$1:$I$89,3,0)*VLOOKUP('Données projet'!$B$17,Paramètres!$A$1:$I$89,5,0)</f>
        <v>8.9118306943305097</v>
      </c>
      <c r="GB18" s="13">
        <f t="shared" si="49"/>
        <v>3.1837784717834627</v>
      </c>
      <c r="GC18" s="20">
        <f t="shared" si="25"/>
        <v>21.066519297648501</v>
      </c>
      <c r="GD18" s="59">
        <f t="shared" si="26"/>
        <v>264.34005676744499</v>
      </c>
      <c r="GE18" s="59">
        <f ca="1">AVERAGE(OFFSET($GD$3,0,0,'Données projet'!$E$17+1,1))-AVERAGE(OFFSET($H$3,0,0,'Données projet'!$E$17+1,1))</f>
        <v>512.71941256120977</v>
      </c>
      <c r="GF18" s="59">
        <f t="shared" si="50"/>
        <v>230.65031527019354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61.347328400853584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7.0512820600000055</v>
      </c>
      <c r="GU18" s="12">
        <f>IF('Données projet'!$A$270&gt;35,GU17+GT18-HC17,IF(A18&lt;'Données projet'!$A$270,$GR$205^A18,IF(A18='Données projet'!$A$270,'Données projet'!$B$270,GU17+GT18-HC17)))</f>
        <v>279.48717945999999</v>
      </c>
      <c r="GV18" s="17">
        <f>GU18*VLOOKUP('Données projet'!$B$18,Paramètres!$A$1:$I$89,3,0)*VLOOKUP('Données projet'!$B$18,Paramètres!$A$1:$I$89,5,0)</f>
        <v>122.95199998804318</v>
      </c>
      <c r="GW18" s="13">
        <f t="shared" si="51"/>
        <v>32.362527975190197</v>
      </c>
      <c r="GX18" s="20">
        <f t="shared" si="28"/>
        <v>270.50613620263147</v>
      </c>
      <c r="GY18" s="59">
        <f t="shared" si="29"/>
        <v>513.77967367242798</v>
      </c>
      <c r="GZ18" s="59">
        <f ca="1">AVERAGE(OFFSET($GY$3,0,0,'Données projet'!$E$18+1,1))-AVERAGE(OFFSET($H$3,0,0,'Données projet'!$E$18+1,1))</f>
        <v>180.68917161146683</v>
      </c>
      <c r="HA18" s="59">
        <f t="shared" si="52"/>
        <v>344.42126252322419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2.25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8.25</v>
      </c>
      <c r="H19" s="66">
        <f t="shared" si="1"/>
        <v>223.66666666666666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2.9235042736666665</v>
      </c>
      <c r="N19" s="13">
        <f>IF('Données projet'!$A$36&gt;35,N18+M19-V18,IF(A19&lt;'Données projet'!$A$36,$K$205^A19,IF(A19='Données projet'!$A$36,'Données projet'!$B$36,N18+M19-V18)))</f>
        <v>10.871262776036788</v>
      </c>
      <c r="O19" s="13">
        <f>N19*VLOOKUP('Données projet'!$B$9,Paramètres!$A$1:$I$89,3,0)*VLOOKUP('Données projet'!$B$9,Paramètres!$A$1:$I$89,5,0)</f>
        <v>9.8363185597580856</v>
      </c>
      <c r="P19" s="13">
        <f t="shared" si="33"/>
        <v>3.4739129956633414</v>
      </c>
      <c r="Q19" s="20">
        <f t="shared" si="2"/>
        <v>23.181986625692318</v>
      </c>
      <c r="R19" s="59">
        <f t="shared" si="0"/>
        <v>268.22812951286591</v>
      </c>
      <c r="S19" s="59">
        <f ca="1">AVERAGE(OFFSET($R$3,0,0,'Données projet'!$E$9+1,1))-AVERAGE(OFFSET($H$3,0,0,'Données projet'!$E$9+1,1))</f>
        <v>490.57849401500789</v>
      </c>
      <c r="T19" s="59">
        <f t="shared" si="34"/>
        <v>221.7570623669753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1.8914529913333333</v>
      </c>
      <c r="AI19" s="13">
        <f>IF('Données projet'!$A$62&gt;35,AI18+AH19-AQ18,IF(A19&lt;'Données projet'!$A$62,$AF$205^A19,IF(A19='Données projet'!$A$62,'Données projet'!$B$62,AI18+AH19-AQ18)))</f>
        <v>8.6183136796280824</v>
      </c>
      <c r="AJ19" s="13">
        <f>AI19*VLOOKUP('Données projet'!$B$10,Paramètres!$A$1:$I$89,3,0)*VLOOKUP('Données projet'!$B$10,Paramètres!$A$1:$I$89,5,0)</f>
        <v>5.7811648162945177</v>
      </c>
      <c r="AK19" s="13">
        <f t="shared" si="35"/>
        <v>2.1720450515966752</v>
      </c>
      <c r="AL19" s="20">
        <f t="shared" si="4"/>
        <v>13.851840519910494</v>
      </c>
      <c r="AM19" s="59">
        <f t="shared" si="5"/>
        <v>258.89798340708404</v>
      </c>
      <c r="AN19" s="59">
        <f ca="1">AVERAGE(OFFSET($AM$3,0,0,'Données projet'!$E$10+1,1))-AVERAGE(OFFSET($H$3,0,0,'Données projet'!$E$10+1,1))</f>
        <v>377.00534440335832</v>
      </c>
      <c r="AO19" s="59">
        <f t="shared" si="36"/>
        <v>131.56029120000656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</v>
      </c>
      <c r="BD19" s="12">
        <f>IF('Données projet'!$A$88&gt;35,BD18+BC19-BL18,IF(A19&lt;'Données projet'!$A$88,$BA$205^A19,IF(A19='Données projet'!$A$88,'Données projet'!$B$88,BD18+BC19-BL18)))</f>
        <v>54.999999999999993</v>
      </c>
      <c r="BE19" s="13">
        <f>BD19*VLOOKUP('Données projet'!$B$11,Paramètres!$A$1:$I$89,3,0)*VLOOKUP('Données projet'!$B$11,Paramètres!$A$1:$I$89,5,0)</f>
        <v>48.048000000000002</v>
      </c>
      <c r="BF19" s="13">
        <f t="shared" si="37"/>
        <v>14.108484750160615</v>
      </c>
      <c r="BG19" s="20">
        <f t="shared" si="7"/>
        <v>108.25587760652974</v>
      </c>
      <c r="BH19" s="59">
        <f t="shared" si="8"/>
        <v>353.30202049370331</v>
      </c>
      <c r="BI19" s="59">
        <f ca="1">AVERAGE(OFFSET($BH$3,0,0,'Données projet'!$E$11+1,1))-AVERAGE(OFFSET($H$3,0,0,'Données projet'!$E$11+1,1))</f>
        <v>314.1123649635374</v>
      </c>
      <c r="BJ19" s="59">
        <f t="shared" si="38"/>
        <v>274.92342227914889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306.24139606130751</v>
      </c>
      <c r="CD19" s="59">
        <f ca="1">AVERAGE(OFFSET($CC$3,0,0,'Données projet'!$E$12+1,1))-AVERAGE(OFFSET($H$3,0,0,'Données projet'!$E$12+1,1))</f>
        <v>309.86296291630748</v>
      </c>
      <c r="CE19" s="59">
        <f t="shared" si="40"/>
        <v>301.17633325088661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1.6</v>
      </c>
      <c r="CT19" s="12">
        <f>IF('Données projet'!$A$140&gt;35,CT18+CS19-DB18,IF(A19&lt;'Données projet'!$A$140,$CQ$205^A19,IF(A19='Données projet'!$A$140,'Données projet'!$B$140,CT18+CS19-DB18)))</f>
        <v>15.999999999999986</v>
      </c>
      <c r="CU19" s="17">
        <f>CT19*VLOOKUP('Données projet'!$B$13,Paramètres!$A$1:$I$89,3,0)*VLOOKUP('Données projet'!$B$13,Paramètres!$A$1:$I$89,5,0)</f>
        <v>13.727999999999991</v>
      </c>
      <c r="CV19" s="13">
        <f t="shared" si="41"/>
        <v>4.6638207366437268</v>
      </c>
      <c r="CW19" s="20">
        <f t="shared" si="13"/>
        <v>32.032421116321139</v>
      </c>
      <c r="CX19" s="59">
        <f t="shared" si="14"/>
        <v>277.07856400349471</v>
      </c>
      <c r="CY19" s="59">
        <f ca="1">AVERAGE(OFFSET($CX$3,0,0,'Données projet'!$E$13+1,1))-AVERAGE(OFFSET($H$3,0,0,'Données projet'!$E$13+1,1))</f>
        <v>462.66388549889928</v>
      </c>
      <c r="CZ19" s="59">
        <f t="shared" si="42"/>
        <v>265.3725203415089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6.153846154600001</v>
      </c>
      <c r="DO19" s="12">
        <f>IF('Données projet'!$A$166&gt;35,DO18+DN19-DW18,IF(A19&lt;'Données projet'!$A$166,$DL$205^A19,IF(A19='Données projet'!$A$166,'Données projet'!$B$166,DO18+DN19-DW18)))</f>
        <v>29.871794871599999</v>
      </c>
      <c r="DP19" s="17">
        <f>DO19*VLOOKUP('Données projet'!$B$14,Paramètres!$A$1:$I$89,3,0)*VLOOKUP('Données projet'!$B$14,Paramètres!$A$1:$I$89,5,0)</f>
        <v>23.299999999848001</v>
      </c>
      <c r="DQ19" s="13">
        <f t="shared" si="43"/>
        <v>7.4429955045601801</v>
      </c>
      <c r="DR19" s="20">
        <f t="shared" si="16"/>
        <v>53.54405050351091</v>
      </c>
      <c r="DS19" s="59">
        <f t="shared" si="17"/>
        <v>298.59019339068448</v>
      </c>
      <c r="DT19" s="59">
        <f ca="1">AVERAGE(OFFSET($DS$3,0,0,'Données projet'!$E$14+1,1))-AVERAGE(OFFSET($H$3,0,0,'Données projet'!$E$14+1,1))</f>
        <v>206.5241977687125</v>
      </c>
      <c r="DU19" s="59">
        <f t="shared" si="44"/>
        <v>205.25001043771269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0.9</v>
      </c>
      <c r="EJ19" s="12">
        <f>IF('Données projet'!$A$192&gt;35,EJ18+EI19-ER18,IF(A19&lt;'Données projet'!$A$192,$EG$205^A19,IF(A19='Données projet'!$A$192,'Données projet'!$B$192,EJ18+EI19-ER18)))</f>
        <v>10.097596309015799</v>
      </c>
      <c r="EK19" s="17">
        <f>EJ19*VLOOKUP('Données projet'!$B$15,Paramètres!$A$1:$I$89,3,0)*VLOOKUP('Données projet'!$B$15,Paramètres!$A$1:$I$89,5,0)</f>
        <v>8.8212601355562033</v>
      </c>
      <c r="EL19" s="13">
        <f t="shared" si="45"/>
        <v>3.1551711996443523</v>
      </c>
      <c r="EM19" s="20">
        <f t="shared" si="19"/>
        <v>20.858951242140964</v>
      </c>
      <c r="EN19" s="59">
        <f t="shared" si="20"/>
        <v>265.90509412931453</v>
      </c>
      <c r="EO19" s="59">
        <f ca="1">AVERAGE(OFFSET($EN$3,0,0,'Données projet'!$E$15+1,1))-AVERAGE(OFFSET($H$3,0,0,'Données projet'!$E$15+1,1))</f>
        <v>205.83135724908942</v>
      </c>
      <c r="EP19" s="59">
        <f t="shared" si="46"/>
        <v>193.60053377311405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10.199999999999999</v>
      </c>
      <c r="FE19" s="12">
        <f>IF('Données projet'!$A$218&gt;35,FE18+FD19-FM18,IF(A19&lt;'Données projet'!$A$218,$FB$205^A19,IF(A19='Données projet'!$A$218,'Données projet'!$B$218,FE18+FD19-FM18)))</f>
        <v>43.2</v>
      </c>
      <c r="FF19" s="17">
        <f>FE19*VLOOKUP('Données projet'!$B$16,Paramètres!$A$1:$I$89,3,0)*VLOOKUP('Données projet'!$B$16,Paramètres!$A$1:$I$89,5,0)</f>
        <v>28.304640000000003</v>
      </c>
      <c r="FG19" s="13">
        <f t="shared" si="47"/>
        <v>8.8392104022316804</v>
      </c>
      <c r="FH19" s="20">
        <f t="shared" si="22"/>
        <v>64.692206117220181</v>
      </c>
      <c r="FI19" s="59">
        <f t="shared" si="23"/>
        <v>309.73834900439374</v>
      </c>
      <c r="FJ19" s="59">
        <f ca="1">AVERAGE(OFFSET($FI$3,0,0,'Données projet'!$E$16+1,1))-AVERAGE(OFFSET($H$3,0,0,'Données projet'!$E$16+1,1))</f>
        <v>242.76791261317206</v>
      </c>
      <c r="FK19" s="59">
        <f t="shared" si="48"/>
        <v>244.28580264867682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2.9235042736666665</v>
      </c>
      <c r="FZ19" s="12">
        <f>IF('Données projet'!$A$244&gt;35,FZ18+FY19-GH18,IF(A19&lt;'Données projet'!$A$244,$FW$205^A19,IF(A19='Données projet'!$A$244,'Données projet'!$B$244,FZ18+FY19-GH18)))</f>
        <v>10.871262776036788</v>
      </c>
      <c r="GA19" s="17">
        <f>FZ19*VLOOKUP('Données projet'!$B$17,Paramètres!$A$1:$I$89,3,0)*VLOOKUP('Données projet'!$B$17,Paramètres!$A$1:$I$89,5,0)</f>
        <v>10.345093657676607</v>
      </c>
      <c r="GB19" s="13">
        <f t="shared" si="49"/>
        <v>3.6322138025371262</v>
      </c>
      <c r="GC19" s="20">
        <f t="shared" si="25"/>
        <v>24.343810493205584</v>
      </c>
      <c r="GD19" s="59">
        <f t="shared" si="26"/>
        <v>269.38995338037915</v>
      </c>
      <c r="GE19" s="59">
        <f ca="1">AVERAGE(OFFSET($GD$3,0,0,'Données projet'!$E$17+1,1))-AVERAGE(OFFSET($H$3,0,0,'Données projet'!$E$17+1,1))</f>
        <v>512.71941256120977</v>
      </c>
      <c r="GF19" s="59">
        <f t="shared" si="50"/>
        <v>230.65031527019354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61.49743290862309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7.0512820600000055</v>
      </c>
      <c r="GU19" s="12">
        <f>IF('Données projet'!$A$270&gt;35,GU18+GT19-HC18,IF(A19&lt;'Données projet'!$A$270,$GR$205^A19,IF(A19='Données projet'!$A$270,'Données projet'!$B$270,GU18+GT19-HC18)))</f>
        <v>286.53846152</v>
      </c>
      <c r="GV19" s="17">
        <f>GU19*VLOOKUP('Données projet'!$B$18,Paramètres!$A$1:$I$89,3,0)*VLOOKUP('Données projet'!$B$18,Paramètres!$A$1:$I$89,5,0)</f>
        <v>126.05399999187838</v>
      </c>
      <c r="GW19" s="13">
        <f t="shared" si="51"/>
        <v>33.082925306419682</v>
      </c>
      <c r="GX19" s="20">
        <f t="shared" si="28"/>
        <v>277.16347822786918</v>
      </c>
      <c r="GY19" s="59">
        <f t="shared" si="29"/>
        <v>522.20962111504275</v>
      </c>
      <c r="GZ19" s="59">
        <f ca="1">AVERAGE(OFFSET($GY$3,0,0,'Données projet'!$E$18+1,1))-AVERAGE(OFFSET($H$3,0,0,'Données projet'!$E$18+1,1))</f>
        <v>180.68917161146683</v>
      </c>
      <c r="HA19" s="59">
        <f t="shared" si="52"/>
        <v>344.42126252322419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2.25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8.25</v>
      </c>
      <c r="H20" s="66">
        <f t="shared" si="1"/>
        <v>223.66666666666666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2.9235042736666665</v>
      </c>
      <c r="N20" s="13">
        <f>IF('Données projet'!$A$36&gt;35,N19+M20-V19,IF(A20&lt;'Données projet'!$A$36,$K$205^A20,IF(A20='Données projet'!$A$36,'Données projet'!$B$36,N19+M20-V19)))</f>
        <v>12.619655315810814</v>
      </c>
      <c r="O20" s="13">
        <f>N20*VLOOKUP('Données projet'!$B$9,Paramètres!$A$1:$I$89,3,0)*VLOOKUP('Données projet'!$B$9,Paramètres!$A$1:$I$89,5,0)</f>
        <v>11.418264129745625</v>
      </c>
      <c r="P20" s="13">
        <f t="shared" si="33"/>
        <v>3.9632137862259107</v>
      </c>
      <c r="Q20" s="20">
        <f t="shared" si="2"/>
        <v>26.78940737031709</v>
      </c>
      <c r="R20" s="59">
        <f t="shared" si="0"/>
        <v>273.5986077569043</v>
      </c>
      <c r="S20" s="59">
        <f ca="1">AVERAGE(OFFSET($R$3,0,0,'Données projet'!$E$9+1,1))-AVERAGE(OFFSET($H$3,0,0,'Données projet'!$E$9+1,1))</f>
        <v>490.57849401500789</v>
      </c>
      <c r="T20" s="59">
        <f t="shared" si="34"/>
        <v>221.7570623669753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1.8914529913333333</v>
      </c>
      <c r="AI20" s="13">
        <f>IF('Données projet'!$A$62&gt;35,AI19+AH20-AQ19,IF(A20&lt;'Données projet'!$A$62,$AF$205^A20,IF(A20='Données projet'!$A$62,'Données projet'!$B$62,AI19+AH20-AQ19)))</f>
        <v>9.8602105911928675</v>
      </c>
      <c r="AJ20" s="13">
        <f>AI20*VLOOKUP('Données projet'!$B$10,Paramètres!$A$1:$I$89,3,0)*VLOOKUP('Données projet'!$B$10,Paramètres!$A$1:$I$89,5,0)</f>
        <v>6.6142292645721765</v>
      </c>
      <c r="AK20" s="13">
        <f t="shared" si="35"/>
        <v>2.4464003224219328</v>
      </c>
      <c r="AL20" s="20">
        <f t="shared" si="4"/>
        <v>15.780596530681406</v>
      </c>
      <c r="AM20" s="59">
        <f t="shared" si="5"/>
        <v>262.58979691726859</v>
      </c>
      <c r="AN20" s="59">
        <f ca="1">AVERAGE(OFFSET($AM$3,0,0,'Données projet'!$E$10+1,1))-AVERAGE(OFFSET($H$3,0,0,'Données projet'!$E$10+1,1))</f>
        <v>377.00534440335832</v>
      </c>
      <c r="AO20" s="59">
        <f t="shared" si="36"/>
        <v>131.56029120000656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</v>
      </c>
      <c r="BD20" s="12">
        <f>IF('Données projet'!$A$88&gt;35,BD19+BC20-BL19,IF(A20&lt;'Données projet'!$A$88,$BA$205^A20,IF(A20='Données projet'!$A$88,'Données projet'!$B$88,BD19+BC20-BL19)))</f>
        <v>62.999999999999993</v>
      </c>
      <c r="BE20" s="13">
        <f>BD20*VLOOKUP('Données projet'!$B$11,Paramètres!$A$1:$I$89,3,0)*VLOOKUP('Données projet'!$B$11,Paramètres!$A$1:$I$89,5,0)</f>
        <v>55.036800000000007</v>
      </c>
      <c r="BF20" s="13">
        <f t="shared" si="37"/>
        <v>15.907180538864345</v>
      </c>
      <c r="BG20" s="20">
        <f t="shared" si="7"/>
        <v>123.56076610518875</v>
      </c>
      <c r="BH20" s="59">
        <f t="shared" si="8"/>
        <v>370.36996649177593</v>
      </c>
      <c r="BI20" s="59">
        <f ca="1">AVERAGE(OFFSET($BH$3,0,0,'Données projet'!$E$11+1,1))-AVERAGE(OFFSET($H$3,0,0,'Données projet'!$E$11+1,1))</f>
        <v>314.1123649635374</v>
      </c>
      <c r="BJ20" s="59">
        <f t="shared" si="38"/>
        <v>274.92342227914889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328.46327201580806</v>
      </c>
      <c r="CD20" s="59">
        <f ca="1">AVERAGE(OFFSET($CC$3,0,0,'Données projet'!$E$12+1,1))-AVERAGE(OFFSET($H$3,0,0,'Données projet'!$E$12+1,1))</f>
        <v>309.86296291630748</v>
      </c>
      <c r="CE20" s="59">
        <f t="shared" si="40"/>
        <v>301.17633325088661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1.6</v>
      </c>
      <c r="CT20" s="12">
        <f>IF('Données projet'!$A$140&gt;35,CT19+CS20-DB19,IF(A20&lt;'Données projet'!$A$140,$CQ$205^A20,IF(A20='Données projet'!$A$140,'Données projet'!$B$140,CT19+CS20-DB19)))</f>
        <v>19.027313840043519</v>
      </c>
      <c r="CU20" s="17">
        <f>CT20*VLOOKUP('Données projet'!$B$13,Paramètres!$A$1:$I$89,3,0)*VLOOKUP('Données projet'!$B$13,Paramètres!$A$1:$I$89,5,0)</f>
        <v>16.325435274757343</v>
      </c>
      <c r="CV20" s="13">
        <f t="shared" si="41"/>
        <v>5.4354984361731269</v>
      </c>
      <c r="CW20" s="20">
        <f t="shared" si="13"/>
        <v>37.90029287987057</v>
      </c>
      <c r="CX20" s="59">
        <f t="shared" si="14"/>
        <v>284.7094932664578</v>
      </c>
      <c r="CY20" s="59">
        <f ca="1">AVERAGE(OFFSET($CX$3,0,0,'Données projet'!$E$13+1,1))-AVERAGE(OFFSET($H$3,0,0,'Données projet'!$E$13+1,1))</f>
        <v>462.66388549889928</v>
      </c>
      <c r="CZ20" s="59">
        <f t="shared" si="42"/>
        <v>265.3725203415089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6.153846154600001</v>
      </c>
      <c r="DO20" s="12">
        <f>IF('Données projet'!$A$166&gt;35,DO19+DN20-DW19,IF(A20&lt;'Données projet'!$A$166,$DL$205^A20,IF(A20='Données projet'!$A$166,'Données projet'!$B$166,DO19+DN20-DW19)))</f>
        <v>36.025641026199999</v>
      </c>
      <c r="DP20" s="17">
        <f>DO20*VLOOKUP('Données projet'!$B$14,Paramètres!$A$1:$I$89,3,0)*VLOOKUP('Données projet'!$B$14,Paramètres!$A$1:$I$89,5,0)</f>
        <v>28.100000000436001</v>
      </c>
      <c r="DQ20" s="13">
        <f t="shared" si="43"/>
        <v>8.782718621186774</v>
      </c>
      <c r="DR20" s="20">
        <f t="shared" si="16"/>
        <v>64.237401599326333</v>
      </c>
      <c r="DS20" s="59">
        <f t="shared" si="17"/>
        <v>311.04660198591353</v>
      </c>
      <c r="DT20" s="59">
        <f ca="1">AVERAGE(OFFSET($DS$3,0,0,'Données projet'!$E$14+1,1))-AVERAGE(OFFSET($H$3,0,0,'Données projet'!$E$14+1,1))</f>
        <v>206.5241977687125</v>
      </c>
      <c r="DU20" s="59">
        <f t="shared" si="44"/>
        <v>205.25001043771269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0.9</v>
      </c>
      <c r="EJ20" s="12">
        <f>IF('Données projet'!$A$192&gt;35,EJ19+EI20-ER19,IF(A20&lt;'Données projet'!$A$192,$EG$205^A20,IF(A20='Données projet'!$A$192,'Données projet'!$B$192,EJ19+EI20-ER19)))</f>
        <v>11.667602620429678</v>
      </c>
      <c r="EK20" s="17">
        <f>EJ20*VLOOKUP('Données projet'!$B$15,Paramètres!$A$1:$I$89,3,0)*VLOOKUP('Données projet'!$B$15,Paramètres!$A$1:$I$89,5,0)</f>
        <v>10.192817649207369</v>
      </c>
      <c r="EL20" s="13">
        <f t="shared" si="45"/>
        <v>3.5849315547400531</v>
      </c>
      <c r="EM20" s="20">
        <f t="shared" si="19"/>
        <v>23.996246530208428</v>
      </c>
      <c r="EN20" s="59">
        <f t="shared" si="20"/>
        <v>270.80544691679563</v>
      </c>
      <c r="EO20" s="59">
        <f ca="1">AVERAGE(OFFSET($EN$3,0,0,'Données projet'!$E$15+1,1))-AVERAGE(OFFSET($H$3,0,0,'Données projet'!$E$15+1,1))</f>
        <v>205.83135724908942</v>
      </c>
      <c r="EP20" s="59">
        <f t="shared" si="46"/>
        <v>193.60053377311405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10.199999999999999</v>
      </c>
      <c r="FE20" s="12">
        <f>IF('Données projet'!$A$218&gt;35,FE19+FD20-FM19,IF(A20&lt;'Données projet'!$A$218,$FB$205^A20,IF(A20='Données projet'!$A$218,'Données projet'!$B$218,FE19+FD20-FM19)))</f>
        <v>53.400000000000006</v>
      </c>
      <c r="FF20" s="17">
        <f>FE20*VLOOKUP('Données projet'!$B$16,Paramètres!$A$1:$I$89,3,0)*VLOOKUP('Données projet'!$B$16,Paramètres!$A$1:$I$89,5,0)</f>
        <v>34.987680000000005</v>
      </c>
      <c r="FG20" s="13">
        <f t="shared" si="47"/>
        <v>10.65995785514129</v>
      </c>
      <c r="FH20" s="20">
        <f t="shared" si="22"/>
        <v>79.502969264371089</v>
      </c>
      <c r="FI20" s="59">
        <f t="shared" si="23"/>
        <v>326.31216965095831</v>
      </c>
      <c r="FJ20" s="59">
        <f ca="1">AVERAGE(OFFSET($FI$3,0,0,'Données projet'!$E$16+1,1))-AVERAGE(OFFSET($H$3,0,0,'Données projet'!$E$16+1,1))</f>
        <v>242.76791261317206</v>
      </c>
      <c r="FK20" s="59">
        <f t="shared" si="48"/>
        <v>244.28580264867682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2.9235042736666665</v>
      </c>
      <c r="FZ20" s="12">
        <f>IF('Données projet'!$A$244&gt;35,FZ19+FY20-GH19,IF(A20&lt;'Données projet'!$A$244,$FW$205^A20,IF(A20='Données projet'!$A$244,'Données projet'!$B$244,FZ19+FY20-GH19)))</f>
        <v>12.619655315810814</v>
      </c>
      <c r="GA20" s="17">
        <f>FZ20*VLOOKUP('Données projet'!$B$17,Paramètres!$A$1:$I$89,3,0)*VLOOKUP('Données projet'!$B$17,Paramètres!$A$1:$I$89,5,0)</f>
        <v>12.008863998525571</v>
      </c>
      <c r="GB20" s="13">
        <f t="shared" si="49"/>
        <v>4.143811268360917</v>
      </c>
      <c r="GC20" s="20">
        <f t="shared" si="25"/>
        <v>28.1325760898273</v>
      </c>
      <c r="GD20" s="59">
        <f t="shared" si="26"/>
        <v>274.94177647641453</v>
      </c>
      <c r="GE20" s="59">
        <f ca="1">AVERAGE(OFFSET($GD$3,0,0,'Données projet'!$E$17+1,1))-AVERAGE(OFFSET($H$3,0,0,'Données projet'!$E$17+1,1))</f>
        <v>512.71941256120977</v>
      </c>
      <c r="GF20" s="59">
        <f t="shared" si="50"/>
        <v>230.65031527019354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61.644933438766202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7.0512820600000055</v>
      </c>
      <c r="GU20" s="12">
        <f>IF('Données projet'!$A$270&gt;35,GU19+GT20-HC19,IF(A20&lt;'Données projet'!$A$270,$GR$205^A20,IF(A20='Données projet'!$A$270,'Données projet'!$B$270,GU19+GT20-HC19)))</f>
        <v>293.58974358</v>
      </c>
      <c r="GV20" s="17">
        <f>GU20*VLOOKUP('Données projet'!$B$18,Paramètres!$A$1:$I$89,3,0)*VLOOKUP('Données projet'!$B$18,Paramètres!$A$1:$I$89,5,0)</f>
        <v>129.15599999571359</v>
      </c>
      <c r="GW20" s="13">
        <f t="shared" si="51"/>
        <v>33.801261843034013</v>
      </c>
      <c r="GX20" s="20">
        <f t="shared" si="28"/>
        <v>283.81723103581874</v>
      </c>
      <c r="GY20" s="59">
        <f t="shared" si="29"/>
        <v>530.62643142240597</v>
      </c>
      <c r="GZ20" s="59">
        <f ca="1">AVERAGE(OFFSET($GY$3,0,0,'Données projet'!$E$18+1,1))-AVERAGE(OFFSET($H$3,0,0,'Données projet'!$E$18+1,1))</f>
        <v>180.68917161146683</v>
      </c>
      <c r="HA20" s="59">
        <f t="shared" si="52"/>
        <v>344.42126252322419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2.25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8.25</v>
      </c>
      <c r="H21" s="66">
        <f t="shared" si="1"/>
        <v>223.66666666666666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2.9235042736666665</v>
      </c>
      <c r="N21" s="13">
        <f>IF('Données projet'!$A$36&gt;35,N20+M21-V20,IF(A21&lt;'Données projet'!$A$36,$K$205^A21,IF(A21='Données projet'!$A$36,'Données projet'!$B$36,N20+M21-V20)))</f>
        <v>14.649236576353841</v>
      </c>
      <c r="O21" s="13">
        <f>N21*VLOOKUP('Données projet'!$B$9,Paramètres!$A$1:$I$89,3,0)*VLOOKUP('Données projet'!$B$9,Paramètres!$A$1:$I$89,5,0)</f>
        <v>13.254629254284955</v>
      </c>
      <c r="P21" s="13">
        <f t="shared" si="33"/>
        <v>4.5214326135798553</v>
      </c>
      <c r="Q21" s="20">
        <f t="shared" si="2"/>
        <v>30.95997441986454</v>
      </c>
      <c r="R21" s="59">
        <f t="shared" si="0"/>
        <v>279.52285002293257</v>
      </c>
      <c r="S21" s="59">
        <f ca="1">AVERAGE(OFFSET($R$3,0,0,'Données projet'!$E$9+1,1))-AVERAGE(OFFSET($H$3,0,0,'Données projet'!$E$9+1,1))</f>
        <v>490.57849401500789</v>
      </c>
      <c r="T21" s="59">
        <f t="shared" si="34"/>
        <v>221.7570623669753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1.8914529913333333</v>
      </c>
      <c r="AI21" s="13">
        <f>IF('Données projet'!$A$62&gt;35,AI20+AH21-AQ20,IF(A21&lt;'Données projet'!$A$62,$AF$205^A21,IF(A21='Données projet'!$A$62,'Données projet'!$B$62,AI20+AH21-AQ20)))</f>
        <v>11.281064546593253</v>
      </c>
      <c r="AJ21" s="13">
        <f>AI21*VLOOKUP('Données projet'!$B$10,Paramètres!$A$1:$I$89,3,0)*VLOOKUP('Données projet'!$B$10,Paramètres!$A$1:$I$89,5,0)</f>
        <v>7.5673380978547549</v>
      </c>
      <c r="AK21" s="13">
        <f t="shared" si="35"/>
        <v>2.7554099456393146</v>
      </c>
      <c r="AL21" s="20">
        <f t="shared" si="4"/>
        <v>17.97878617575217</v>
      </c>
      <c r="AM21" s="59">
        <f t="shared" si="5"/>
        <v>266.54166177882024</v>
      </c>
      <c r="AN21" s="59">
        <f ca="1">AVERAGE(OFFSET($AM$3,0,0,'Données projet'!$E$10+1,1))-AVERAGE(OFFSET($H$3,0,0,'Données projet'!$E$10+1,1))</f>
        <v>377.00534440335832</v>
      </c>
      <c r="AO21" s="59">
        <f t="shared" si="36"/>
        <v>131.56029120000656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</v>
      </c>
      <c r="BD21" s="12">
        <f>IF('Données projet'!$A$88&gt;35,BD20+BC21-BL20,IF(A21&lt;'Données projet'!$A$88,$BA$205^A21,IF(A21='Données projet'!$A$88,'Données projet'!$B$88,BD20+BC21-BL20)))</f>
        <v>71</v>
      </c>
      <c r="BE21" s="13">
        <f>BD21*VLOOKUP('Données projet'!$B$11,Paramètres!$A$1:$I$89,3,0)*VLOOKUP('Données projet'!$B$11,Paramètres!$A$1:$I$89,5,0)</f>
        <v>62.025600000000011</v>
      </c>
      <c r="BF21" s="13">
        <f t="shared" si="37"/>
        <v>17.679410406677221</v>
      </c>
      <c r="BG21" s="20">
        <f t="shared" si="7"/>
        <v>138.8195597916295</v>
      </c>
      <c r="BH21" s="59">
        <f t="shared" si="8"/>
        <v>387.38243539469755</v>
      </c>
      <c r="BI21" s="59">
        <f ca="1">AVERAGE(OFFSET($BH$3,0,0,'Données projet'!$E$11+1,1))-AVERAGE(OFFSET($H$3,0,0,'Données projet'!$E$11+1,1))</f>
        <v>314.1123649635374</v>
      </c>
      <c r="BJ21" s="59">
        <f t="shared" si="38"/>
        <v>274.92342227914889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350.54519146252073</v>
      </c>
      <c r="CD21" s="59">
        <f ca="1">AVERAGE(OFFSET($CC$3,0,0,'Données projet'!$E$12+1,1))-AVERAGE(OFFSET($H$3,0,0,'Données projet'!$E$12+1,1))</f>
        <v>309.86296291630748</v>
      </c>
      <c r="CE21" s="59">
        <f t="shared" si="40"/>
        <v>301.17633325088661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1.6</v>
      </c>
      <c r="CT21" s="12">
        <f>IF('Données projet'!$A$140&gt;35,CT20+CS21-DB20,IF(A21&lt;'Données projet'!$A$140,$CQ$205^A21,IF(A21='Données projet'!$A$140,'Données projet'!$B$140,CT20+CS21-DB20)))</f>
        <v>22.627416997969497</v>
      </c>
      <c r="CU21" s="17">
        <f>CT21*VLOOKUP('Données projet'!$B$13,Paramètres!$A$1:$I$89,3,0)*VLOOKUP('Données projet'!$B$13,Paramètres!$A$1:$I$89,5,0)</f>
        <v>19.414323784257832</v>
      </c>
      <c r="CV21" s="13">
        <f t="shared" si="41"/>
        <v>6.3348582456241713</v>
      </c>
      <c r="CW21" s="20">
        <f t="shared" si="13"/>
        <v>44.846492035377821</v>
      </c>
      <c r="CX21" s="59">
        <f t="shared" si="14"/>
        <v>293.40936763844587</v>
      </c>
      <c r="CY21" s="59">
        <f ca="1">AVERAGE(OFFSET($CX$3,0,0,'Données projet'!$E$13+1,1))-AVERAGE(OFFSET($H$3,0,0,'Données projet'!$E$13+1,1))</f>
        <v>462.66388549889928</v>
      </c>
      <c r="CZ21" s="59">
        <f t="shared" si="42"/>
        <v>265.3725203415089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6.153846154600001</v>
      </c>
      <c r="DO21" s="12">
        <f>IF('Données projet'!$A$166&gt;35,DO20+DN21-DW20,IF(A21&lt;'Données projet'!$A$166,$DL$205^A21,IF(A21='Données projet'!$A$166,'Données projet'!$B$166,DO20+DN21-DW20)))</f>
        <v>42.179487180800002</v>
      </c>
      <c r="DP21" s="17">
        <f>DO21*VLOOKUP('Données projet'!$B$14,Paramètres!$A$1:$I$89,3,0)*VLOOKUP('Données projet'!$B$14,Paramètres!$A$1:$I$89,5,0)</f>
        <v>32.900000001024004</v>
      </c>
      <c r="DQ21" s="13">
        <f t="shared" si="43"/>
        <v>10.095930687516807</v>
      </c>
      <c r="DR21" s="20">
        <f t="shared" si="16"/>
        <v>74.884579282541907</v>
      </c>
      <c r="DS21" s="59">
        <f t="shared" si="17"/>
        <v>323.44745488560994</v>
      </c>
      <c r="DT21" s="59">
        <f ca="1">AVERAGE(OFFSET($DS$3,0,0,'Données projet'!$E$14+1,1))-AVERAGE(OFFSET($H$3,0,0,'Données projet'!$E$14+1,1))</f>
        <v>206.5241977687125</v>
      </c>
      <c r="DU21" s="59">
        <f t="shared" si="44"/>
        <v>205.25001043771269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0.9</v>
      </c>
      <c r="EJ21" s="12">
        <f>IF('Données projet'!$A$192&gt;35,EJ20+EI21-ER20,IF(A21&lt;'Données projet'!$A$192,$EG$205^A21,IF(A21='Données projet'!$A$192,'Données projet'!$B$192,EJ20+EI21-ER20)))</f>
        <v>13.48171849440139</v>
      </c>
      <c r="EK21" s="17">
        <f>EJ21*VLOOKUP('Données projet'!$B$15,Paramètres!$A$1:$I$89,3,0)*VLOOKUP('Données projet'!$B$15,Paramètres!$A$1:$I$89,5,0)</f>
        <v>11.777629276709055</v>
      </c>
      <c r="EL21" s="13">
        <f t="shared" si="45"/>
        <v>4.0732288167499631</v>
      </c>
      <c r="EM21" s="20">
        <f t="shared" si="19"/>
        <v>27.606911179441123</v>
      </c>
      <c r="EN21" s="59">
        <f t="shared" si="20"/>
        <v>276.16978678250916</v>
      </c>
      <c r="EO21" s="59">
        <f ca="1">AVERAGE(OFFSET($EN$3,0,0,'Données projet'!$E$15+1,1))-AVERAGE(OFFSET($H$3,0,0,'Données projet'!$E$15+1,1))</f>
        <v>205.83135724908942</v>
      </c>
      <c r="EP21" s="59">
        <f t="shared" si="46"/>
        <v>193.60053377311405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10.199999999999999</v>
      </c>
      <c r="FE21" s="12">
        <f>IF('Données projet'!$A$218&gt;35,FE20+FD21-FM20,IF(A21&lt;'Données projet'!$A$218,$FB$205^A21,IF(A21='Données projet'!$A$218,'Données projet'!$B$218,FE20+FD21-FM20)))</f>
        <v>63.600000000000009</v>
      </c>
      <c r="FF21" s="17">
        <f>FE21*VLOOKUP('Données projet'!$B$16,Paramètres!$A$1:$I$89,3,0)*VLOOKUP('Données projet'!$B$16,Paramètres!$A$1:$I$89,5,0)</f>
        <v>41.67072000000001</v>
      </c>
      <c r="FG21" s="13">
        <f t="shared" si="47"/>
        <v>12.440411337011152</v>
      </c>
      <c r="FH21" s="20">
        <f t="shared" si="22"/>
        <v>94.243553745294435</v>
      </c>
      <c r="FI21" s="59">
        <f t="shared" si="23"/>
        <v>342.80642934836249</v>
      </c>
      <c r="FJ21" s="59">
        <f ca="1">AVERAGE(OFFSET($FI$3,0,0,'Données projet'!$E$16+1,1))-AVERAGE(OFFSET($H$3,0,0,'Données projet'!$E$16+1,1))</f>
        <v>242.76791261317206</v>
      </c>
      <c r="FK21" s="59">
        <f t="shared" si="48"/>
        <v>244.28580264867682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2.9235042736666665</v>
      </c>
      <c r="FZ21" s="12">
        <f>IF('Données projet'!$A$244&gt;35,FZ20+FY21-GH20,IF(A21&lt;'Données projet'!$A$244,$FW$205^A21,IF(A21='Données projet'!$A$244,'Données projet'!$B$244,FZ20+FY21-GH20)))</f>
        <v>14.649236576353841</v>
      </c>
      <c r="GA21" s="17">
        <f>FZ21*VLOOKUP('Données projet'!$B$17,Paramètres!$A$1:$I$89,3,0)*VLOOKUP('Données projet'!$B$17,Paramètres!$A$1:$I$89,5,0)</f>
        <v>13.940213526058317</v>
      </c>
      <c r="GB21" s="13">
        <f t="shared" si="49"/>
        <v>4.7274672586180717</v>
      </c>
      <c r="GC21" s="20">
        <f t="shared" si="25"/>
        <v>32.512877366644709</v>
      </c>
      <c r="GD21" s="59">
        <f t="shared" si="26"/>
        <v>281.07575296971277</v>
      </c>
      <c r="GE21" s="59">
        <f ca="1">AVERAGE(OFFSET($GD$3,0,0,'Données projet'!$E$17+1,1))-AVERAGE(OFFSET($H$3,0,0,'Données projet'!$E$17+1,1))</f>
        <v>512.71941256120977</v>
      </c>
      <c r="GF21" s="59">
        <f t="shared" si="50"/>
        <v>230.65031527019354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61.789875164473109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7.0512820600000055</v>
      </c>
      <c r="GU21" s="12">
        <f>IF('Données projet'!$A$270&gt;35,GU20+GT21-HC20,IF(A21&lt;'Données projet'!$A$270,$GR$205^A21,IF(A21='Données projet'!$A$270,'Données projet'!$B$270,GU20+GT21-HC20)))</f>
        <v>300.64102564000001</v>
      </c>
      <c r="GV21" s="17">
        <f>GU21*VLOOKUP('Données projet'!$B$18,Paramètres!$A$1:$I$89,3,0)*VLOOKUP('Données projet'!$B$18,Paramètres!$A$1:$I$89,5,0)</f>
        <v>132.25799999954879</v>
      </c>
      <c r="GW21" s="13">
        <f t="shared" si="51"/>
        <v>34.517592774889074</v>
      </c>
      <c r="GX21" s="20">
        <f t="shared" si="28"/>
        <v>290.46749074881262</v>
      </c>
      <c r="GY21" s="59">
        <f t="shared" si="29"/>
        <v>539.03036635188073</v>
      </c>
      <c r="GZ21" s="59">
        <f ca="1">AVERAGE(OFFSET($GY$3,0,0,'Données projet'!$E$18+1,1))-AVERAGE(OFFSET($H$3,0,0,'Données projet'!$E$18+1,1))</f>
        <v>180.68917161146683</v>
      </c>
      <c r="HA21" s="59">
        <f t="shared" si="52"/>
        <v>344.42126252322419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2.25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8.25</v>
      </c>
      <c r="H22" s="66">
        <f t="shared" si="1"/>
        <v>223.66666666666666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2.9235042736666665</v>
      </c>
      <c r="N22" s="13">
        <f>IF('Données projet'!$A$36&gt;35,N21+M22-V21,IF(A22&lt;'Données projet'!$A$36,$K$205^A22,IF(A22='Données projet'!$A$36,'Données projet'!$B$36,N21+M22-V21)))</f>
        <v>17.005229295059802</v>
      </c>
      <c r="O22" s="13">
        <f>N22*VLOOKUP('Données projet'!$B$9,Paramètres!$A$1:$I$89,3,0)*VLOOKUP('Données projet'!$B$9,Paramètres!$A$1:$I$89,5,0)</f>
        <v>15.386331466170107</v>
      </c>
      <c r="P22" s="13">
        <f t="shared" si="33"/>
        <v>5.158276586086302</v>
      </c>
      <c r="Q22" s="20">
        <f t="shared" si="2"/>
        <v>35.781859024346574</v>
      </c>
      <c r="R22" s="59">
        <f t="shared" si="0"/>
        <v>286.08919032259604</v>
      </c>
      <c r="S22" s="59">
        <f ca="1">AVERAGE(OFFSET($R$3,0,0,'Données projet'!$E$9+1,1))-AVERAGE(OFFSET($H$3,0,0,'Données projet'!$E$9+1,1))</f>
        <v>490.57849401500789</v>
      </c>
      <c r="T22" s="59">
        <f t="shared" si="34"/>
        <v>221.7570623669753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1.8914529913333333</v>
      </c>
      <c r="AI22" s="13">
        <f>IF('Données projet'!$A$62&gt;35,AI21+AH22-AQ21,IF(A22&lt;'Données projet'!$A$62,$AF$205^A22,IF(A22='Données projet'!$A$62,'Données projet'!$B$62,AI21+AH22-AQ21)))</f>
        <v>12.9066632124545</v>
      </c>
      <c r="AJ22" s="13">
        <f>AI22*VLOOKUP('Données projet'!$B$10,Paramètres!$A$1:$I$89,3,0)*VLOOKUP('Données projet'!$B$10,Paramètres!$A$1:$I$89,5,0)</f>
        <v>8.6577896829144798</v>
      </c>
      <c r="AK22" s="13">
        <f t="shared" si="35"/>
        <v>3.1034511804722542</v>
      </c>
      <c r="AL22" s="20">
        <f t="shared" si="4"/>
        <v>20.484161170398561</v>
      </c>
      <c r="AM22" s="59">
        <f t="shared" si="5"/>
        <v>270.79149246864802</v>
      </c>
      <c r="AN22" s="59">
        <f ca="1">AVERAGE(OFFSET($AM$3,0,0,'Données projet'!$E$10+1,1))-AVERAGE(OFFSET($H$3,0,0,'Données projet'!$E$10+1,1))</f>
        <v>377.00534440335832</v>
      </c>
      <c r="AO22" s="59">
        <f t="shared" si="36"/>
        <v>131.56029120000656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</v>
      </c>
      <c r="BD22" s="12">
        <f>IF('Données projet'!$A$88&gt;35,BD21+BC22-BL21,IF(A22&lt;'Données projet'!$A$88,$BA$205^A22,IF(A22='Données projet'!$A$88,'Données projet'!$B$88,BD21+BC22-BL21)))</f>
        <v>79</v>
      </c>
      <c r="BE22" s="13">
        <f>BD22*VLOOKUP('Données projet'!$B$11,Paramètres!$A$1:$I$89,3,0)*VLOOKUP('Données projet'!$B$11,Paramètres!$A$1:$I$89,5,0)</f>
        <v>69.014400000000009</v>
      </c>
      <c r="BF22" s="13">
        <f t="shared" si="37"/>
        <v>19.428496726251055</v>
      </c>
      <c r="BG22" s="20">
        <f t="shared" si="7"/>
        <v>154.03804513155393</v>
      </c>
      <c r="BH22" s="59">
        <f t="shared" si="8"/>
        <v>404.34537642980342</v>
      </c>
      <c r="BI22" s="59">
        <f ca="1">AVERAGE(OFFSET($BH$3,0,0,'Données projet'!$E$11+1,1))-AVERAGE(OFFSET($H$3,0,0,'Données projet'!$E$11+1,1))</f>
        <v>314.1123649635374</v>
      </c>
      <c r="BJ22" s="59">
        <f t="shared" si="38"/>
        <v>274.92342227914889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372.51720802707746</v>
      </c>
      <c r="CD22" s="59">
        <f ca="1">AVERAGE(OFFSET($CC$3,0,0,'Données projet'!$E$12+1,1))-AVERAGE(OFFSET($H$3,0,0,'Données projet'!$E$12+1,1))</f>
        <v>309.86296291630748</v>
      </c>
      <c r="CE22" s="59">
        <f t="shared" si="40"/>
        <v>301.17633325088661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1.6</v>
      </c>
      <c r="CT22" s="12">
        <f>IF('Données projet'!$A$140&gt;35,CT21+CS22-DB21,IF(A22&lt;'Données projet'!$A$140,$CQ$205^A22,IF(A22='Données projet'!$A$140,'Données projet'!$B$140,CT21+CS22-DB21)))</f>
        <v>26.908685288118836</v>
      </c>
      <c r="CU22" s="17">
        <f>CT22*VLOOKUP('Données projet'!$B$13,Paramètres!$A$1:$I$89,3,0)*VLOOKUP('Données projet'!$B$13,Paramètres!$A$1:$I$89,5,0)</f>
        <v>23.087651977205965</v>
      </c>
      <c r="CV22" s="13">
        <f t="shared" si="41"/>
        <v>7.3830264994807839</v>
      </c>
      <c r="CW22" s="20">
        <f t="shared" si="13"/>
        <v>53.069765013562751</v>
      </c>
      <c r="CX22" s="59">
        <f t="shared" si="14"/>
        <v>303.37709631181224</v>
      </c>
      <c r="CY22" s="59">
        <f ca="1">AVERAGE(OFFSET($CX$3,0,0,'Données projet'!$E$13+1,1))-AVERAGE(OFFSET($H$3,0,0,'Données projet'!$E$13+1,1))</f>
        <v>462.66388549889928</v>
      </c>
      <c r="CZ22" s="59">
        <f t="shared" si="42"/>
        <v>265.3725203415089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6.153846154600001</v>
      </c>
      <c r="DO22" s="12">
        <f>IF('Données projet'!$A$166&gt;35,DO21+DN22-DW21,IF(A22&lt;'Données projet'!$A$166,$DL$205^A22,IF(A22='Données projet'!$A$166,'Données projet'!$B$166,DO21+DN22-DW21)))</f>
        <v>48.333333335400006</v>
      </c>
      <c r="DP22" s="17">
        <f>DO22*VLOOKUP('Données projet'!$B$14,Paramètres!$A$1:$I$89,3,0)*VLOOKUP('Données projet'!$B$14,Paramètres!$A$1:$I$89,5,0)</f>
        <v>37.700000001612004</v>
      </c>
      <c r="DQ22" s="13">
        <f t="shared" si="43"/>
        <v>11.386946545776516</v>
      </c>
      <c r="DR22" s="20">
        <f t="shared" si="16"/>
        <v>85.493098570035002</v>
      </c>
      <c r="DS22" s="59">
        <f t="shared" si="17"/>
        <v>335.80042986828448</v>
      </c>
      <c r="DT22" s="59">
        <f ca="1">AVERAGE(OFFSET($DS$3,0,0,'Données projet'!$E$14+1,1))-AVERAGE(OFFSET($H$3,0,0,'Données projet'!$E$14+1,1))</f>
        <v>206.5241977687125</v>
      </c>
      <c r="DU22" s="59">
        <f t="shared" si="44"/>
        <v>205.25001043771269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0.9</v>
      </c>
      <c r="EJ22" s="12">
        <f>IF('Données projet'!$A$192&gt;35,EJ21+EI22-ER21,IF(A22&lt;'Données projet'!$A$192,$EG$205^A22,IF(A22='Données projet'!$A$192,'Données projet'!$B$192,EJ21+EI22-ER21)))</f>
        <v>15.577898860219406</v>
      </c>
      <c r="EK22" s="17">
        <f>EJ22*VLOOKUP('Données projet'!$B$15,Paramètres!$A$1:$I$89,3,0)*VLOOKUP('Données projet'!$B$15,Paramètres!$A$1:$I$89,5,0)</f>
        <v>13.608852444287676</v>
      </c>
      <c r="EL22" s="13">
        <f t="shared" si="45"/>
        <v>4.6280361954652021</v>
      </c>
      <c r="EM22" s="20">
        <f t="shared" si="19"/>
        <v>31.762581047569586</v>
      </c>
      <c r="EN22" s="59">
        <f t="shared" si="20"/>
        <v>282.06991234581903</v>
      </c>
      <c r="EO22" s="59">
        <f ca="1">AVERAGE(OFFSET($EN$3,0,0,'Données projet'!$E$15+1,1))-AVERAGE(OFFSET($H$3,0,0,'Données projet'!$E$15+1,1))</f>
        <v>205.83135724908942</v>
      </c>
      <c r="EP22" s="59">
        <f t="shared" si="46"/>
        <v>193.60053377311405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10.199999999999999</v>
      </c>
      <c r="FE22" s="12">
        <f>IF('Données projet'!$A$218&gt;35,FE21+FD22-FM21,IF(A22&lt;'Données projet'!$A$218,$FB$205^A22,IF(A22='Données projet'!$A$218,'Données projet'!$B$218,FE21+FD22-FM21)))</f>
        <v>73.800000000000011</v>
      </c>
      <c r="FF22" s="17">
        <f>FE22*VLOOKUP('Données projet'!$B$16,Paramètres!$A$1:$I$89,3,0)*VLOOKUP('Données projet'!$B$16,Paramètres!$A$1:$I$89,5,0)</f>
        <v>48.353760000000008</v>
      </c>
      <c r="FG22" s="13">
        <f t="shared" si="47"/>
        <v>14.187786165449609</v>
      </c>
      <c r="FH22" s="20">
        <f t="shared" si="22"/>
        <v>108.92652623815808</v>
      </c>
      <c r="FI22" s="59">
        <f t="shared" si="23"/>
        <v>359.23385753640753</v>
      </c>
      <c r="FJ22" s="59">
        <f ca="1">AVERAGE(OFFSET($FI$3,0,0,'Données projet'!$E$16+1,1))-AVERAGE(OFFSET($H$3,0,0,'Données projet'!$E$16+1,1))</f>
        <v>242.76791261317206</v>
      </c>
      <c r="FK22" s="59">
        <f t="shared" si="48"/>
        <v>244.28580264867682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2.9235042736666665</v>
      </c>
      <c r="FZ22" s="12">
        <f>IF('Données projet'!$A$244&gt;35,FZ21+FY22-GH21,IF(A22&lt;'Données projet'!$A$244,$FW$205^A22,IF(A22='Données projet'!$A$244,'Données projet'!$B$244,FZ21+FY22-GH21)))</f>
        <v>17.005229295059802</v>
      </c>
      <c r="GA22" s="17">
        <f>FZ22*VLOOKUP('Données projet'!$B$17,Paramètres!$A$1:$I$89,3,0)*VLOOKUP('Données projet'!$B$17,Paramètres!$A$1:$I$89,5,0)</f>
        <v>16.182176197178908</v>
      </c>
      <c r="GB22" s="13">
        <f t="shared" si="49"/>
        <v>5.3933312194852867</v>
      </c>
      <c r="GC22" s="20">
        <f t="shared" si="25"/>
        <v>37.577342084023471</v>
      </c>
      <c r="GD22" s="59">
        <f t="shared" si="26"/>
        <v>287.88467338227292</v>
      </c>
      <c r="GE22" s="59">
        <f ca="1">AVERAGE(OFFSET($GD$3,0,0,'Données projet'!$E$17+1,1))-AVERAGE(OFFSET($H$3,0,0,'Données projet'!$E$17+1,1))</f>
        <v>512.71941256120977</v>
      </c>
      <c r="GF22" s="59">
        <f t="shared" si="50"/>
        <v>230.65031527019354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61.932302475280167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>
        <f>VLOOKUP(A22,'Données projet'!$A$269:$I$289,2,0)</f>
        <v>307.69230770000001</v>
      </c>
      <c r="GS22" s="12">
        <f>VLOOKUP(A22,'Données projet'!$A$269:$I$289,9,0)</f>
        <v>7.0512820600000055</v>
      </c>
      <c r="GT22" s="12">
        <f t="array" ref="GT22">INDEX(GS:GS,MIN(IF(ISNUMBER(GS22:GS218),ROW(GS22:GS218),"")))</f>
        <v>7.0512820600000055</v>
      </c>
      <c r="GU22" s="12">
        <f>IF('Données projet'!$A$270&gt;35,GU21+GT22-HC21,IF(A22&lt;'Données projet'!$A$270,$GR$205^A22,IF(A22='Données projet'!$A$270,'Données projet'!$B$270,GU21+GT22-HC21)))</f>
        <v>307.69230770000001</v>
      </c>
      <c r="GV22" s="17">
        <f>GU22*VLOOKUP('Données projet'!$B$18,Paramètres!$A$1:$I$89,3,0)*VLOOKUP('Données projet'!$B$18,Paramètres!$A$1:$I$89,5,0)</f>
        <v>135.36000000338399</v>
      </c>
      <c r="GW22" s="13">
        <f t="shared" si="51"/>
        <v>35.231970555286608</v>
      </c>
      <c r="GX22" s="20">
        <f t="shared" si="28"/>
        <v>297.11434872301794</v>
      </c>
      <c r="GY22" s="59">
        <f t="shared" si="29"/>
        <v>547.42168002126743</v>
      </c>
      <c r="GZ22" s="59">
        <f ca="1">AVERAGE(OFFSET($GY$3,0,0,'Données projet'!$E$18+1,1))-AVERAGE(OFFSET($H$3,0,0,'Données projet'!$E$18+1,1))</f>
        <v>180.68917161146683</v>
      </c>
      <c r="HA22" s="59">
        <f t="shared" si="52"/>
        <v>344.42126252322419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2.25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8.25</v>
      </c>
      <c r="H23" s="66">
        <f t="shared" si="1"/>
        <v>223.66666666666666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2.9235042736666665</v>
      </c>
      <c r="N23" s="13">
        <f>IF('Données projet'!$A$36&gt;35,N22+M23-V22,IF(A23&lt;'Données projet'!$A$36,$K$205^A23,IF(A23='Données projet'!$A$36,'Données projet'!$B$36,N22+M23-V22)))</f>
        <v>19.740129246348467</v>
      </c>
      <c r="O23" s="13">
        <f>N23*VLOOKUP('Données projet'!$B$9,Paramètres!$A$1:$I$89,3,0)*VLOOKUP('Données projet'!$B$9,Paramètres!$A$1:$I$89,5,0)</f>
        <v>17.86086894209609</v>
      </c>
      <c r="P23" s="13">
        <f t="shared" si="33"/>
        <v>5.8848200587245634</v>
      </c>
      <c r="Q23" s="20">
        <f t="shared" si="2"/>
        <v>41.357075009762639</v>
      </c>
      <c r="R23" s="59">
        <f t="shared" si="0"/>
        <v>293.39980241997682</v>
      </c>
      <c r="S23" s="59">
        <f ca="1">AVERAGE(OFFSET($R$3,0,0,'Données projet'!$E$9+1,1))-AVERAGE(OFFSET($H$3,0,0,'Données projet'!$E$9+1,1))</f>
        <v>490.57849401500789</v>
      </c>
      <c r="T23" s="59">
        <f t="shared" si="34"/>
        <v>221.7570623669753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1.8914529913333333</v>
      </c>
      <c r="AI23" s="13">
        <f>IF('Données projet'!$A$62&gt;35,AI22+AH23-AQ22,IF(A23&lt;'Données projet'!$A$62,$AF$205^A23,IF(A23='Données projet'!$A$62,'Données projet'!$B$62,AI22+AH23-AQ22)))</f>
        <v>14.76651025190988</v>
      </c>
      <c r="AJ23" s="13">
        <f>AI23*VLOOKUP('Données projet'!$B$10,Paramètres!$A$1:$I$89,3,0)*VLOOKUP('Données projet'!$B$10,Paramètres!$A$1:$I$89,5,0)</f>
        <v>9.9053750769811479</v>
      </c>
      <c r="AK23" s="13">
        <f t="shared" si="35"/>
        <v>3.495454186342474</v>
      </c>
      <c r="AL23" s="20">
        <f t="shared" si="4"/>
        <v>23.339777633621974</v>
      </c>
      <c r="AM23" s="59">
        <f t="shared" si="5"/>
        <v>275.3825050438362</v>
      </c>
      <c r="AN23" s="59">
        <f ca="1">AVERAGE(OFFSET($AM$3,0,0,'Données projet'!$E$10+1,1))-AVERAGE(OFFSET($H$3,0,0,'Données projet'!$E$10+1,1))</f>
        <v>377.00534440335832</v>
      </c>
      <c r="AO23" s="59">
        <f t="shared" si="36"/>
        <v>131.56029120000656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87</v>
      </c>
      <c r="BB23" s="12">
        <f>VLOOKUP(A23,'Données projet'!$A$87:$I$107,9,0)</f>
        <v>8</v>
      </c>
      <c r="BC23" s="12">
        <f t="array" ref="BC23">INDEX(BB:BB,MIN(IF(ISNUMBER(BB23:BB219),ROW(BB23:BB219),"")))</f>
        <v>8</v>
      </c>
      <c r="BD23" s="12">
        <f>IF('Données projet'!$A$88&gt;35,BD22+BC23-BL22,IF(A23&lt;'Données projet'!$A$88,$BA$205^A23,IF(A23='Données projet'!$A$88,'Données projet'!$B$88,BD22+BC23-BL22)))</f>
        <v>87</v>
      </c>
      <c r="BE23" s="13">
        <f>BD23*VLOOKUP('Données projet'!$B$11,Paramètres!$A$1:$I$89,3,0)*VLOOKUP('Données projet'!$B$11,Paramètres!$A$1:$I$89,5,0)</f>
        <v>76.003200000000007</v>
      </c>
      <c r="BF23" s="13">
        <f t="shared" si="37"/>
        <v>21.157049992000456</v>
      </c>
      <c r="BG23" s="20">
        <f t="shared" si="7"/>
        <v>169.22076873606747</v>
      </c>
      <c r="BH23" s="59">
        <f t="shared" si="8"/>
        <v>421.26349614628168</v>
      </c>
      <c r="BI23" s="59">
        <f ca="1">AVERAGE(OFFSET($BH$3,0,0,'Données projet'!$E$11+1,1))-AVERAGE(OFFSET($H$3,0,0,'Données projet'!$E$11+1,1))</f>
        <v>314.1123649635374</v>
      </c>
      <c r="BJ23" s="59">
        <f t="shared" si="38"/>
        <v>274.92342227914889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394.39855901703993</v>
      </c>
      <c r="CD23" s="59">
        <f ca="1">AVERAGE(OFFSET($CC$3,0,0,'Données projet'!$E$12+1,1))-AVERAGE(OFFSET($H$3,0,0,'Données projet'!$E$12+1,1))</f>
        <v>309.86296291630748</v>
      </c>
      <c r="CE23" s="59">
        <f t="shared" si="40"/>
        <v>301.17633325088661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32</v>
      </c>
      <c r="CR23" s="12">
        <f>VLOOKUP(A23,'Données projet'!$A$139:$I$159,9,0)</f>
        <v>1.6</v>
      </c>
      <c r="CS23" s="12">
        <f t="array" ref="CS23">INDEX(CR:CR,MIN(IF(ISNUMBER(CR23:CR219),ROW(CR23:CR219),"")))</f>
        <v>1.6</v>
      </c>
      <c r="CT23" s="12">
        <f>IF('Données projet'!$A$140&gt;35,CT22+CS23-DB22,IF(A23&lt;'Données projet'!$A$140,$CQ$205^A23,IF(A23='Données projet'!$A$140,'Données projet'!$B$140,CT22+CS23-DB22)))</f>
        <v>32</v>
      </c>
      <c r="CU23" s="17">
        <f>CT23*VLOOKUP('Données projet'!$B$13,Paramètres!$A$1:$I$89,3,0)*VLOOKUP('Données projet'!$B$13,Paramètres!$A$1:$I$89,5,0)</f>
        <v>27.456000000000003</v>
      </c>
      <c r="CV23" s="13">
        <f t="shared" si="41"/>
        <v>8.604625104229898</v>
      </c>
      <c r="CW23" s="20">
        <f t="shared" si="13"/>
        <v>62.805588723200408</v>
      </c>
      <c r="CX23" s="59">
        <f t="shared" si="14"/>
        <v>314.84831613341464</v>
      </c>
      <c r="CY23" s="59">
        <f ca="1">AVERAGE(OFFSET($CX$3,0,0,'Données projet'!$E$13+1,1))-AVERAGE(OFFSET($H$3,0,0,'Données projet'!$E$13+1,1))</f>
        <v>462.66388549889928</v>
      </c>
      <c r="CZ23" s="59">
        <f t="shared" si="42"/>
        <v>265.3725203415089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54.487179490000003</v>
      </c>
      <c r="DM23" s="12">
        <f>VLOOKUP(A23,'Données projet'!$A$165:$I$185,9,0)</f>
        <v>6.153846154600001</v>
      </c>
      <c r="DN23" s="12">
        <f t="array" ref="DN23">INDEX(DM:DM,MIN(IF(ISNUMBER(DM23:DM219),ROW(DM23:DM219),"")))</f>
        <v>6.153846154600001</v>
      </c>
      <c r="DO23" s="12">
        <f>IF('Données projet'!$A$166&gt;35,DO22+DN23-DW22,IF(A23&lt;'Données projet'!$A$166,$DL$205^A23,IF(A23='Données projet'!$A$166,'Données projet'!$B$166,DO22+DN23-DW22)))</f>
        <v>54.48717949000001</v>
      </c>
      <c r="DP23" s="17">
        <f>DO23*VLOOKUP('Données projet'!$B$14,Paramètres!$A$1:$I$89,3,0)*VLOOKUP('Données projet'!$B$14,Paramètres!$A$1:$I$89,5,0)</f>
        <v>42.500000002200011</v>
      </c>
      <c r="DQ23" s="13">
        <f t="shared" si="43"/>
        <v>12.658916158241116</v>
      </c>
      <c r="DR23" s="20">
        <f t="shared" si="16"/>
        <v>96.068445646101623</v>
      </c>
      <c r="DS23" s="59">
        <f t="shared" si="17"/>
        <v>348.11117305631581</v>
      </c>
      <c r="DT23" s="59">
        <f ca="1">AVERAGE(OFFSET($DS$3,0,0,'Données projet'!$E$14+1,1))-AVERAGE(OFFSET($H$3,0,0,'Données projet'!$E$14+1,1))</f>
        <v>206.5241977687125</v>
      </c>
      <c r="DU23" s="59">
        <f t="shared" si="44"/>
        <v>205.25001043771269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16.025641029999999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18</v>
      </c>
      <c r="EH23" s="12">
        <f>VLOOKUP(A23,'Données projet'!$A$191:$I$211,9,0)</f>
        <v>0.9</v>
      </c>
      <c r="EI23" s="12">
        <f t="array" ref="EI23">INDEX(EH:EH,MIN(IF(ISNUMBER(EH23:EH219),ROW(EH23:EH219),"")))</f>
        <v>0.9</v>
      </c>
      <c r="EJ23" s="12">
        <f>IF('Données projet'!$A$192&gt;35,EJ22+EI23-ER22,IF(A23&lt;'Données projet'!$A$192,$EG$205^A23,IF(A23='Données projet'!$A$192,'Données projet'!$B$192,EJ22+EI23-ER22)))</f>
        <v>18</v>
      </c>
      <c r="EK23" s="17">
        <f>EJ23*VLOOKUP('Données projet'!$B$15,Paramètres!$A$1:$I$89,3,0)*VLOOKUP('Données projet'!$B$15,Paramètres!$A$1:$I$89,5,0)</f>
        <v>15.724800000000004</v>
      </c>
      <c r="EL23" s="13">
        <f t="shared" si="45"/>
        <v>5.2584129176484753</v>
      </c>
      <c r="EM23" s="20">
        <f t="shared" si="19"/>
        <v>36.545762498237771</v>
      </c>
      <c r="EN23" s="59">
        <f t="shared" si="20"/>
        <v>288.588489908452</v>
      </c>
      <c r="EO23" s="59">
        <f ca="1">AVERAGE(OFFSET($EN$3,0,0,'Données projet'!$E$15+1,1))-AVERAGE(OFFSET($H$3,0,0,'Données projet'!$E$15+1,1))</f>
        <v>205.83135724908942</v>
      </c>
      <c r="EP23" s="59">
        <f t="shared" si="46"/>
        <v>193.60053377311405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84</v>
      </c>
      <c r="FC23" s="12">
        <f>VLOOKUP(A23,'Données projet'!$A$217:$I$237,9,0)</f>
        <v>10.199999999999999</v>
      </c>
      <c r="FD23" s="12">
        <f t="array" ref="FD23">INDEX(FC:FC,MIN(IF(ISNUMBER(FC23:FC219),ROW(FC23:FC219),"")))</f>
        <v>10.199999999999999</v>
      </c>
      <c r="FE23" s="12">
        <f>IF('Données projet'!$A$218&gt;35,FE22+FD23-FM22,IF(A23&lt;'Données projet'!$A$218,$FB$205^A23,IF(A23='Données projet'!$A$218,'Données projet'!$B$218,FE22+FD23-FM22)))</f>
        <v>84.000000000000014</v>
      </c>
      <c r="FF23" s="17">
        <f>FE23*VLOOKUP('Données projet'!$B$16,Paramètres!$A$1:$I$89,3,0)*VLOOKUP('Données projet'!$B$16,Paramètres!$A$1:$I$89,5,0)</f>
        <v>55.036800000000007</v>
      </c>
      <c r="FG23" s="13">
        <f t="shared" si="47"/>
        <v>15.907180538864345</v>
      </c>
      <c r="FH23" s="20">
        <f t="shared" si="22"/>
        <v>123.56076610518875</v>
      </c>
      <c r="FI23" s="59">
        <f t="shared" si="23"/>
        <v>375.60349351540299</v>
      </c>
      <c r="FJ23" s="59">
        <f ca="1">AVERAGE(OFFSET($FI$3,0,0,'Données projet'!$E$16+1,1))-AVERAGE(OFFSET($H$3,0,0,'Données projet'!$E$16+1,1))</f>
        <v>242.76791261317206</v>
      </c>
      <c r="FK23" s="59">
        <f t="shared" si="48"/>
        <v>244.28580264867682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9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2.9235042736666665</v>
      </c>
      <c r="FZ23" s="12">
        <f>IF('Données projet'!$A$244&gt;35,FZ22+FY23-GH22,IF(A23&lt;'Données projet'!$A$244,$FW$205^A23,IF(A23='Données projet'!$A$244,'Données projet'!$B$244,FZ22+FY23-GH22)))</f>
        <v>19.740129246348467</v>
      </c>
      <c r="GA23" s="17">
        <f>FZ23*VLOOKUP('Données projet'!$B$17,Paramètres!$A$1:$I$89,3,0)*VLOOKUP('Données projet'!$B$17,Paramètres!$A$1:$I$89,5,0)</f>
        <v>18.7847069908252</v>
      </c>
      <c r="GB23" s="13">
        <f t="shared" si="49"/>
        <v>6.1529821470572443</v>
      </c>
      <c r="GC23" s="20">
        <f t="shared" si="25"/>
        <v>43.433141915145256</v>
      </c>
      <c r="GD23" s="59">
        <f t="shared" si="26"/>
        <v>295.47586932535944</v>
      </c>
      <c r="GE23" s="59">
        <f ca="1">AVERAGE(OFFSET($GD$3,0,0,'Données projet'!$E$17+1,1))-AVERAGE(OFFSET($H$3,0,0,'Données projet'!$E$17+1,1))</f>
        <v>512.71941256120977</v>
      </c>
      <c r="GF23" s="59">
        <f t="shared" si="50"/>
        <v>230.65031527019354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62.07225899066448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2.5641025599999923</v>
      </c>
      <c r="GU23" s="12">
        <f>IF('Données projet'!$A$270&gt;35,GU22+GT23-HC22,IF(A23&lt;'Données projet'!$A$270,$GR$205^A23,IF(A23='Données projet'!$A$270,'Données projet'!$B$270,GU22+GT23-HC22)))</f>
        <v>310.25641026</v>
      </c>
      <c r="GV23" s="17">
        <f>GU23*VLOOKUP('Données projet'!$B$18,Paramètres!$A$1:$I$89,3,0)*VLOOKUP('Données projet'!$B$18,Paramètres!$A$1:$I$89,5,0)</f>
        <v>136.48800000157919</v>
      </c>
      <c r="GW23" s="13">
        <f t="shared" si="51"/>
        <v>35.491269865527158</v>
      </c>
      <c r="GX23" s="20">
        <f t="shared" si="28"/>
        <v>299.53056168521022</v>
      </c>
      <c r="GY23" s="59">
        <f t="shared" si="29"/>
        <v>551.57328909542446</v>
      </c>
      <c r="GZ23" s="59">
        <f ca="1">AVERAGE(OFFSET($GY$3,0,0,'Données projet'!$E$18+1,1))-AVERAGE(OFFSET($H$3,0,0,'Données projet'!$E$18+1,1))</f>
        <v>180.68917161146683</v>
      </c>
      <c r="HA23" s="59">
        <f t="shared" si="52"/>
        <v>344.42126252322419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2.25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8.25</v>
      </c>
      <c r="H24" s="66">
        <f t="shared" si="1"/>
        <v>223.66666666666666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2.9235042736666665</v>
      </c>
      <c r="N24" s="13">
        <f>IF('Données projet'!$A$36&gt;35,N23+M24-V23,IF(A24&lt;'Données projet'!$A$36,$K$205^A24,IF(A24='Données projet'!$A$36,'Données projet'!$B$36,N23+M24-V23)))</f>
        <v>22.914874942365291</v>
      </c>
      <c r="O24" s="13">
        <f>N24*VLOOKUP('Données projet'!$B$9,Paramètres!$A$1:$I$89,3,0)*VLOOKUP('Données projet'!$B$9,Paramètres!$A$1:$I$89,5,0)</f>
        <v>20.733378847852116</v>
      </c>
      <c r="P24" s="13">
        <f t="shared" si="33"/>
        <v>6.7136972098354146</v>
      </c>
      <c r="Q24" s="20">
        <f t="shared" si="2"/>
        <v>47.803657467139118</v>
      </c>
      <c r="R24" s="59">
        <f t="shared" si="0"/>
        <v>301.57287856961591</v>
      </c>
      <c r="S24" s="59">
        <f ca="1">AVERAGE(OFFSET($R$3,0,0,'Données projet'!$E$9+1,1))-AVERAGE(OFFSET($H$3,0,0,'Données projet'!$E$9+1,1))</f>
        <v>490.57849401500789</v>
      </c>
      <c r="T24" s="59">
        <f t="shared" si="34"/>
        <v>221.7570623669753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1.8914529913333333</v>
      </c>
      <c r="AI24" s="13">
        <f>IF('Données projet'!$A$62&gt;35,AI23+AH24-AQ23,IF(A24&lt;'Données projet'!$A$62,$AF$205^A24,IF(A24='Données projet'!$A$62,'Données projet'!$B$62,AI23+AH24-AQ23)))</f>
        <v>16.894360798796448</v>
      </c>
      <c r="AJ24" s="13">
        <f>AI24*VLOOKUP('Données projet'!$B$10,Paramètres!$A$1:$I$89,3,0)*VLOOKUP('Données projet'!$B$10,Paramètres!$A$1:$I$89,5,0)</f>
        <v>11.332737223832657</v>
      </c>
      <c r="AK24" s="13">
        <f t="shared" si="35"/>
        <v>3.9369718607785127</v>
      </c>
      <c r="AL24" s="20">
        <f t="shared" si="4"/>
        <v>26.594743322364451</v>
      </c>
      <c r="AM24" s="59">
        <f t="shared" si="5"/>
        <v>280.36396442484124</v>
      </c>
      <c r="AN24" s="59">
        <f ca="1">AVERAGE(OFFSET($AM$3,0,0,'Données projet'!$E$10+1,1))-AVERAGE(OFFSET($H$3,0,0,'Données projet'!$E$10+1,1))</f>
        <v>377.00534440335832</v>
      </c>
      <c r="AO24" s="59">
        <f t="shared" si="36"/>
        <v>131.56029120000656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</v>
      </c>
      <c r="BD24" s="12">
        <f>IF('Données projet'!$A$88&gt;35,BD23+BC24-BL23,IF(A24&lt;'Données projet'!$A$88,$BA$205^A24,IF(A24='Données projet'!$A$88,'Données projet'!$B$88,BD23+BC24-BL23)))</f>
        <v>66</v>
      </c>
      <c r="BE24" s="13">
        <f>BD24*VLOOKUP('Données projet'!$B$11,Paramètres!$A$1:$I$89,3,0)*VLOOKUP('Données projet'!$B$11,Paramètres!$A$1:$I$89,5,0)</f>
        <v>57.657600000000002</v>
      </c>
      <c r="BF24" s="13">
        <f t="shared" si="37"/>
        <v>16.574671209026025</v>
      </c>
      <c r="BG24" s="20">
        <f t="shared" si="7"/>
        <v>129.28787235572034</v>
      </c>
      <c r="BH24" s="59">
        <f t="shared" si="8"/>
        <v>383.05709345819713</v>
      </c>
      <c r="BI24" s="59">
        <f ca="1">AVERAGE(OFFSET($BH$3,0,0,'Données projet'!$E$11+1,1))-AVERAGE(OFFSET($H$3,0,0,'Données projet'!$E$11+1,1))</f>
        <v>314.1123649635374</v>
      </c>
      <c r="BJ24" s="59">
        <f t="shared" si="38"/>
        <v>274.92342227914889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369.36259474928346</v>
      </c>
      <c r="CD24" s="59">
        <f ca="1">AVERAGE(OFFSET($CC$3,0,0,'Données projet'!$E$12+1,1))-AVERAGE(OFFSET($H$3,0,0,'Données projet'!$E$12+1,1))</f>
        <v>309.86296291630748</v>
      </c>
      <c r="CE24" s="59">
        <f t="shared" si="40"/>
        <v>301.17633325088661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8.8000000000000007</v>
      </c>
      <c r="CT24" s="12">
        <f>IF('Données projet'!$A$140&gt;35,CT23+CS24-DB23,IF(A24&lt;'Données projet'!$A$140,$CQ$205^A24,IF(A24='Données projet'!$A$140,'Données projet'!$B$140,CT23+CS24-DB23)))</f>
        <v>40.799999999999997</v>
      </c>
      <c r="CU24" s="17">
        <f>CT24*VLOOKUP('Données projet'!$B$13,Paramètres!$A$1:$I$89,3,0)*VLOOKUP('Données projet'!$B$13,Paramètres!$A$1:$I$89,5,0)</f>
        <v>35.006400000000006</v>
      </c>
      <c r="CV24" s="13">
        <f t="shared" si="41"/>
        <v>10.664997365847841</v>
      </c>
      <c r="CW24" s="20">
        <f t="shared" si="13"/>
        <v>79.544350412184983</v>
      </c>
      <c r="CX24" s="59">
        <f t="shared" si="14"/>
        <v>333.31357151466176</v>
      </c>
      <c r="CY24" s="59">
        <f ca="1">AVERAGE(OFFSET($CX$3,0,0,'Données projet'!$E$13+1,1))-AVERAGE(OFFSET($H$3,0,0,'Données projet'!$E$13+1,1))</f>
        <v>462.66388549889928</v>
      </c>
      <c r="CZ24" s="59">
        <f t="shared" si="42"/>
        <v>265.3725203415089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6.7948717960000007</v>
      </c>
      <c r="DO24" s="12">
        <f>IF('Données projet'!$A$166&gt;35,DO23+DN24-DW23,IF(A24&lt;'Données projet'!$A$166,$DL$205^A24,IF(A24='Données projet'!$A$166,'Données projet'!$B$166,DO23+DN24-DW23)))</f>
        <v>45.256410256000009</v>
      </c>
      <c r="DP24" s="17">
        <f>DO24*VLOOKUP('Données projet'!$B$14,Paramètres!$A$1:$I$89,3,0)*VLOOKUP('Données projet'!$B$14,Paramètres!$A$1:$I$89,5,0)</f>
        <v>35.299999999680011</v>
      </c>
      <c r="DQ24" s="13">
        <f t="shared" si="43"/>
        <v>10.743994925693546</v>
      </c>
      <c r="DR24" s="20">
        <f t="shared" si="16"/>
        <v>80.193291161692272</v>
      </c>
      <c r="DS24" s="59">
        <f t="shared" si="17"/>
        <v>333.96251226416905</v>
      </c>
      <c r="DT24" s="59">
        <f ca="1">AVERAGE(OFFSET($DS$3,0,0,'Données projet'!$E$14+1,1))-AVERAGE(OFFSET($H$3,0,0,'Données projet'!$E$14+1,1))</f>
        <v>206.5241977687125</v>
      </c>
      <c r="DU24" s="59">
        <f t="shared" si="44"/>
        <v>205.25001043771269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7.6</v>
      </c>
      <c r="EJ24" s="12">
        <f>IF('Données projet'!$A$192&gt;35,EJ23+EI24-ER23,IF(A24&lt;'Données projet'!$A$192,$EG$205^A24,IF(A24='Données projet'!$A$192,'Données projet'!$B$192,EJ23+EI24-ER23)))</f>
        <v>22.6</v>
      </c>
      <c r="EK24" s="17">
        <f>EJ24*VLOOKUP('Données projet'!$B$15,Paramètres!$A$1:$I$89,3,0)*VLOOKUP('Données projet'!$B$15,Paramètres!$A$1:$I$89,5,0)</f>
        <v>19.743360000000003</v>
      </c>
      <c r="EL24" s="13">
        <f t="shared" si="45"/>
        <v>6.429632010050284</v>
      </c>
      <c r="EM24" s="20">
        <f t="shared" si="19"/>
        <v>45.584627750837576</v>
      </c>
      <c r="EN24" s="59">
        <f t="shared" si="20"/>
        <v>299.35384885331439</v>
      </c>
      <c r="EO24" s="59">
        <f ca="1">AVERAGE(OFFSET($EN$3,0,0,'Données projet'!$E$15+1,1))-AVERAGE(OFFSET($H$3,0,0,'Données projet'!$E$15+1,1))</f>
        <v>205.83135724908942</v>
      </c>
      <c r="EP24" s="59">
        <f t="shared" si="46"/>
        <v>193.60053377311405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8.1999999999999993</v>
      </c>
      <c r="FE24" s="12">
        <f>IF('Données projet'!$A$218&gt;35,FE23+FD24-FM23,IF(A24&lt;'Données projet'!$A$218,$FB$205^A24,IF(A24='Données projet'!$A$218,'Données projet'!$B$218,FE23+FD24-FM23)))</f>
        <v>83.200000000000017</v>
      </c>
      <c r="FF24" s="17">
        <f>FE24*VLOOKUP('Données projet'!$B$16,Paramètres!$A$1:$I$89,3,0)*VLOOKUP('Données projet'!$B$16,Paramètres!$A$1:$I$89,5,0)</f>
        <v>54.512640000000005</v>
      </c>
      <c r="FG24" s="13">
        <f t="shared" si="47"/>
        <v>15.773243364716285</v>
      </c>
      <c r="FH24" s="20">
        <f t="shared" si="22"/>
        <v>122.41458019354752</v>
      </c>
      <c r="FI24" s="59">
        <f t="shared" si="23"/>
        <v>376.18380129602428</v>
      </c>
      <c r="FJ24" s="59">
        <f ca="1">AVERAGE(OFFSET($FI$3,0,0,'Données projet'!$E$16+1,1))-AVERAGE(OFFSET($H$3,0,0,'Données projet'!$E$16+1,1))</f>
        <v>242.76791261317206</v>
      </c>
      <c r="FK24" s="59">
        <f t="shared" si="48"/>
        <v>244.28580264867682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2.9235042736666665</v>
      </c>
      <c r="FZ24" s="12">
        <f>IF('Données projet'!$A$244&gt;35,FZ23+FY24-GH23,IF(A24&lt;'Données projet'!$A$244,$FW$205^A24,IF(A24='Données projet'!$A$244,'Données projet'!$B$244,FZ23+FY24-GH23)))</f>
        <v>22.914874942365291</v>
      </c>
      <c r="GA24" s="17">
        <f>FZ24*VLOOKUP('Données projet'!$B$17,Paramètres!$A$1:$I$89,3,0)*VLOOKUP('Données projet'!$B$17,Paramètres!$A$1:$I$89,5,0)</f>
        <v>21.805794995154812</v>
      </c>
      <c r="GB24" s="13">
        <f t="shared" si="49"/>
        <v>7.0196299395122805</v>
      </c>
      <c r="GC24" s="20">
        <f t="shared" si="25"/>
        <v>50.204281761211853</v>
      </c>
      <c r="GD24" s="59">
        <f t="shared" si="26"/>
        <v>303.97350286368862</v>
      </c>
      <c r="GE24" s="59">
        <f ca="1">AVERAGE(OFFSET($GD$3,0,0,'Données projet'!$E$17+1,1))-AVERAGE(OFFSET($H$3,0,0,'Données projet'!$E$17+1,1))</f>
        <v>512.71941256120977</v>
      </c>
      <c r="GF24" s="59">
        <f t="shared" si="50"/>
        <v>230.65031527019354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62.209787573402764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2.5641025599999923</v>
      </c>
      <c r="GU24" s="12">
        <f>IF('Données projet'!$A$270&gt;35,GU23+GT24-HC23,IF(A24&lt;'Données projet'!$A$270,$GR$205^A24,IF(A24='Données projet'!$A$270,'Données projet'!$B$270,GU23+GT24-HC23)))</f>
        <v>312.82051281999998</v>
      </c>
      <c r="GV24" s="17">
        <f>GU24*VLOOKUP('Données projet'!$B$18,Paramètres!$A$1:$I$89,3,0)*VLOOKUP('Données projet'!$B$18,Paramètres!$A$1:$I$89,5,0)</f>
        <v>137.61599999977437</v>
      </c>
      <c r="GW24" s="13">
        <f t="shared" si="51"/>
        <v>35.750319851056496</v>
      </c>
      <c r="GX24" s="20">
        <f t="shared" si="28"/>
        <v>301.94634040686378</v>
      </c>
      <c r="GY24" s="59">
        <f t="shared" si="29"/>
        <v>555.71556150934055</v>
      </c>
      <c r="GZ24" s="59">
        <f ca="1">AVERAGE(OFFSET($GY$3,0,0,'Données projet'!$E$18+1,1))-AVERAGE(OFFSET($H$3,0,0,'Données projet'!$E$18+1,1))</f>
        <v>180.68917161146683</v>
      </c>
      <c r="HA24" s="59">
        <f t="shared" si="52"/>
        <v>344.42126252322419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2.25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8.25</v>
      </c>
      <c r="H25" s="66">
        <f t="shared" si="1"/>
        <v>223.66666666666666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2.9235042736666665</v>
      </c>
      <c r="N25" s="13">
        <f>IF('Données projet'!$A$36&gt;35,N24+M25-V24,IF(A25&lt;'Données projet'!$A$36,$K$205^A25,IF(A25='Données projet'!$A$36,'Données projet'!$B$36,N24+M25-V24)))</f>
        <v>26.600205453131583</v>
      </c>
      <c r="O25" s="13">
        <f>N25*VLOOKUP('Données projet'!$B$9,Paramètres!$A$1:$I$89,3,0)*VLOOKUP('Données projet'!$B$9,Paramètres!$A$1:$I$89,5,0)</f>
        <v>24.067865893993456</v>
      </c>
      <c r="P25" s="13">
        <f t="shared" si="33"/>
        <v>7.6593217423067346</v>
      </c>
      <c r="Q25" s="20">
        <f t="shared" si="2"/>
        <v>55.258185133222831</v>
      </c>
      <c r="R25" s="59">
        <f t="shared" si="0"/>
        <v>310.7451519453391</v>
      </c>
      <c r="S25" s="59">
        <f ca="1">AVERAGE(OFFSET($R$3,0,0,'Données projet'!$E$9+1,1))-AVERAGE(OFFSET($H$3,0,0,'Données projet'!$E$9+1,1))</f>
        <v>490.57849401500789</v>
      </c>
      <c r="T25" s="59">
        <f t="shared" si="34"/>
        <v>221.7570623669753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1.8914529913333333</v>
      </c>
      <c r="AI25" s="13">
        <f>IF('Données projet'!$A$62&gt;35,AI24+AH25-AQ24,IF(A25&lt;'Données projet'!$A$62,$AF$205^A25,IF(A25='Données projet'!$A$62,'Données projet'!$B$62,AI24+AH25-AQ24)))</f>
        <v>19.328834093552636</v>
      </c>
      <c r="AJ25" s="13">
        <f>AI25*VLOOKUP('Données projet'!$B$10,Paramètres!$A$1:$I$89,3,0)*VLOOKUP('Données projet'!$B$10,Paramètres!$A$1:$I$89,5,0)</f>
        <v>12.965781909955108</v>
      </c>
      <c r="AK25" s="13">
        <f t="shared" si="35"/>
        <v>4.4342584986874742</v>
      </c>
      <c r="AL25" s="20">
        <f t="shared" si="4"/>
        <v>30.305070378385832</v>
      </c>
      <c r="AM25" s="59">
        <f t="shared" si="5"/>
        <v>285.79203719050213</v>
      </c>
      <c r="AN25" s="59">
        <f ca="1">AVERAGE(OFFSET($AM$3,0,0,'Données projet'!$E$10+1,1))-AVERAGE(OFFSET($H$3,0,0,'Données projet'!$E$10+1,1))</f>
        <v>377.00534440335832</v>
      </c>
      <c r="AO25" s="59">
        <f t="shared" si="36"/>
        <v>131.56029120000656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</v>
      </c>
      <c r="BD25" s="12">
        <f>IF('Données projet'!$A$88&gt;35,BD24+BC25-BL24,IF(A25&lt;'Données projet'!$A$88,$BA$205^A25,IF(A25='Données projet'!$A$88,'Données projet'!$B$88,BD24+BC25-BL24)))</f>
        <v>74</v>
      </c>
      <c r="BE25" s="13">
        <f>BD25*VLOOKUP('Données projet'!$B$11,Paramètres!$A$1:$I$89,3,0)*VLOOKUP('Données projet'!$B$11,Paramètres!$A$1:$I$89,5,0)</f>
        <v>64.646400000000014</v>
      </c>
      <c r="BF25" s="13">
        <f t="shared" si="37"/>
        <v>18.337876695493666</v>
      </c>
      <c r="BG25" s="20">
        <f t="shared" si="7"/>
        <v>144.53094857798482</v>
      </c>
      <c r="BH25" s="59">
        <f t="shared" si="8"/>
        <v>400.01791539010111</v>
      </c>
      <c r="BI25" s="59">
        <f ca="1">AVERAGE(OFFSET($BH$3,0,0,'Données projet'!$E$11+1,1))-AVERAGE(OFFSET($H$3,0,0,'Données projet'!$E$11+1,1))</f>
        <v>314.1123649635374</v>
      </c>
      <c r="BJ25" s="59">
        <f t="shared" si="38"/>
        <v>274.92342227914889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392.98667354432416</v>
      </c>
      <c r="CD25" s="59">
        <f ca="1">AVERAGE(OFFSET($CC$3,0,0,'Données projet'!$E$12+1,1))-AVERAGE(OFFSET($H$3,0,0,'Données projet'!$E$12+1,1))</f>
        <v>309.86296291630748</v>
      </c>
      <c r="CE25" s="59">
        <f t="shared" si="40"/>
        <v>301.17633325088661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8.8000000000000007</v>
      </c>
      <c r="CT25" s="12">
        <f>IF('Données projet'!$A$140&gt;35,CT24+CS25-DB24,IF(A25&lt;'Données projet'!$A$140,$CQ$205^A25,IF(A25='Données projet'!$A$140,'Données projet'!$B$140,CT24+CS25-DB24)))</f>
        <v>49.599999999999994</v>
      </c>
      <c r="CU25" s="17">
        <f>CT25*VLOOKUP('Données projet'!$B$13,Paramètres!$A$1:$I$89,3,0)*VLOOKUP('Données projet'!$B$13,Paramètres!$A$1:$I$89,5,0)</f>
        <v>42.556799999999996</v>
      </c>
      <c r="CV25" s="13">
        <f t="shared" si="41"/>
        <v>12.673863978067095</v>
      </c>
      <c r="CW25" s="20">
        <f t="shared" si="13"/>
        <v>96.193406428466844</v>
      </c>
      <c r="CX25" s="59">
        <f t="shared" si="14"/>
        <v>351.68037324058315</v>
      </c>
      <c r="CY25" s="59">
        <f ca="1">AVERAGE(OFFSET($CX$3,0,0,'Données projet'!$E$13+1,1))-AVERAGE(OFFSET($H$3,0,0,'Données projet'!$E$13+1,1))</f>
        <v>462.66388549889928</v>
      </c>
      <c r="CZ25" s="59">
        <f t="shared" si="42"/>
        <v>265.3725203415089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6.7948717960000007</v>
      </c>
      <c r="DO25" s="12">
        <f>IF('Données projet'!$A$166&gt;35,DO24+DN25-DW24,IF(A25&lt;'Données projet'!$A$166,$DL$205^A25,IF(A25='Données projet'!$A$166,'Données projet'!$B$166,DO24+DN25-DW24)))</f>
        <v>52.051282052000012</v>
      </c>
      <c r="DP25" s="17">
        <f>DO25*VLOOKUP('Données projet'!$B$14,Paramètres!$A$1:$I$89,3,0)*VLOOKUP('Données projet'!$B$14,Paramètres!$A$1:$I$89,5,0)</f>
        <v>40.600000000560009</v>
      </c>
      <c r="DQ25" s="13">
        <f t="shared" si="43"/>
        <v>12.157538908571915</v>
      </c>
      <c r="DR25" s="20">
        <f t="shared" si="16"/>
        <v>91.886046933404771</v>
      </c>
      <c r="DS25" s="59">
        <f t="shared" si="17"/>
        <v>347.37301374552106</v>
      </c>
      <c r="DT25" s="59">
        <f ca="1">AVERAGE(OFFSET($DS$3,0,0,'Données projet'!$E$14+1,1))-AVERAGE(OFFSET($H$3,0,0,'Données projet'!$E$14+1,1))</f>
        <v>206.5241977687125</v>
      </c>
      <c r="DU25" s="59">
        <f t="shared" si="44"/>
        <v>205.25001043771269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7.6</v>
      </c>
      <c r="EJ25" s="12">
        <f>IF('Données projet'!$A$192&gt;35,EJ24+EI25-ER24,IF(A25&lt;'Données projet'!$A$192,$EG$205^A25,IF(A25='Données projet'!$A$192,'Données projet'!$B$192,EJ24+EI25-ER24)))</f>
        <v>30.200000000000003</v>
      </c>
      <c r="EK25" s="17">
        <f>EJ25*VLOOKUP('Données projet'!$B$15,Paramètres!$A$1:$I$89,3,0)*VLOOKUP('Données projet'!$B$15,Paramètres!$A$1:$I$89,5,0)</f>
        <v>26.382720000000006</v>
      </c>
      <c r="EL25" s="13">
        <f t="shared" si="45"/>
        <v>8.3067288704829885</v>
      </c>
      <c r="EM25" s="20">
        <f t="shared" si="19"/>
        <v>60.41745678275786</v>
      </c>
      <c r="EN25" s="59">
        <f t="shared" si="20"/>
        <v>315.90442359487417</v>
      </c>
      <c r="EO25" s="59">
        <f ca="1">AVERAGE(OFFSET($EN$3,0,0,'Données projet'!$E$15+1,1))-AVERAGE(OFFSET($H$3,0,0,'Données projet'!$E$15+1,1))</f>
        <v>205.83135724908942</v>
      </c>
      <c r="EP25" s="59">
        <f t="shared" si="46"/>
        <v>193.60053377311405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8.1999999999999993</v>
      </c>
      <c r="FE25" s="12">
        <f>IF('Données projet'!$A$218&gt;35,FE24+FD25-FM24,IF(A25&lt;'Données projet'!$A$218,$FB$205^A25,IF(A25='Données projet'!$A$218,'Données projet'!$B$218,FE24+FD25-FM24)))</f>
        <v>91.40000000000002</v>
      </c>
      <c r="FF25" s="17">
        <f>FE25*VLOOKUP('Données projet'!$B$16,Paramètres!$A$1:$I$89,3,0)*VLOOKUP('Données projet'!$B$16,Paramètres!$A$1:$I$89,5,0)</f>
        <v>59.885280000000009</v>
      </c>
      <c r="FG25" s="13">
        <f t="shared" si="47"/>
        <v>17.139260967250106</v>
      </c>
      <c r="FH25" s="20">
        <f t="shared" si="22"/>
        <v>134.15107551796063</v>
      </c>
      <c r="FI25" s="59">
        <f t="shared" si="23"/>
        <v>389.63804233007693</v>
      </c>
      <c r="FJ25" s="59">
        <f ca="1">AVERAGE(OFFSET($FI$3,0,0,'Données projet'!$E$16+1,1))-AVERAGE(OFFSET($H$3,0,0,'Données projet'!$E$16+1,1))</f>
        <v>242.76791261317206</v>
      </c>
      <c r="FK25" s="59">
        <f t="shared" si="48"/>
        <v>244.28580264867682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2.9235042736666665</v>
      </c>
      <c r="FZ25" s="12">
        <f>IF('Données projet'!$A$244&gt;35,FZ24+FY25-GH24,IF(A25&lt;'Données projet'!$A$244,$FW$205^A25,IF(A25='Données projet'!$A$244,'Données projet'!$B$244,FZ24+FY25-GH24)))</f>
        <v>26.600205453131583</v>
      </c>
      <c r="GA25" s="17">
        <f>FZ25*VLOOKUP('Données projet'!$B$17,Paramètres!$A$1:$I$89,3,0)*VLOOKUP('Données projet'!$B$17,Paramètres!$A$1:$I$89,5,0)</f>
        <v>25.312755509200016</v>
      </c>
      <c r="GB25" s="13">
        <f t="shared" si="49"/>
        <v>8.0083451097389862</v>
      </c>
      <c r="GC25" s="20">
        <f t="shared" si="25"/>
        <v>58.034250244652092</v>
      </c>
      <c r="GD25" s="59">
        <f t="shared" si="26"/>
        <v>313.52121705676836</v>
      </c>
      <c r="GE25" s="59">
        <f ca="1">AVERAGE(OFFSET($GD$3,0,0,'Données projet'!$E$17+1,1))-AVERAGE(OFFSET($H$3,0,0,'Données projet'!$E$17+1,1))</f>
        <v>512.71941256120977</v>
      </c>
      <c r="GF25" s="59">
        <f t="shared" si="50"/>
        <v>230.65031527019354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62.34493034269839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2.5641025599999923</v>
      </c>
      <c r="GU25" s="12">
        <f>IF('Données projet'!$A$270&gt;35,GU24+GT25-HC24,IF(A25&lt;'Données projet'!$A$270,$GR$205^A25,IF(A25='Données projet'!$A$270,'Données projet'!$B$270,GU24+GT25-HC24)))</f>
        <v>315.38461537999996</v>
      </c>
      <c r="GV25" s="17">
        <f>GU25*VLOOKUP('Données projet'!$B$18,Paramètres!$A$1:$I$89,3,0)*VLOOKUP('Données projet'!$B$18,Paramètres!$A$1:$I$89,5,0)</f>
        <v>138.74399999796958</v>
      </c>
      <c r="GW25" s="13">
        <f t="shared" si="51"/>
        <v>36.009122792363357</v>
      </c>
      <c r="GX25" s="20">
        <f t="shared" si="28"/>
        <v>304.36168885982988</v>
      </c>
      <c r="GY25" s="59">
        <f t="shared" si="29"/>
        <v>559.84865567194618</v>
      </c>
      <c r="GZ25" s="59">
        <f ca="1">AVERAGE(OFFSET($GY$3,0,0,'Données projet'!$E$18+1,1))-AVERAGE(OFFSET($H$3,0,0,'Données projet'!$E$18+1,1))</f>
        <v>180.68917161146683</v>
      </c>
      <c r="HA25" s="59">
        <f t="shared" si="52"/>
        <v>344.42126252322419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2.25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8.25</v>
      </c>
      <c r="H26" s="66">
        <f t="shared" si="1"/>
        <v>223.66666666666666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2.9235042736666665</v>
      </c>
      <c r="N26" s="13">
        <f>IF('Données projet'!$A$36&gt;35,N25+M26-V25,IF(A26&lt;'Données projet'!$A$36,$K$205^A26,IF(A26='Données projet'!$A$36,'Données projet'!$B$36,N25+M26-V25)))</f>
        <v>30.878236600831084</v>
      </c>
      <c r="O26" s="13">
        <f>N26*VLOOKUP('Données projet'!$B$9,Paramètres!$A$1:$I$89,3,0)*VLOOKUP('Données projet'!$B$9,Paramètres!$A$1:$I$89,5,0)</f>
        <v>27.938628476431965</v>
      </c>
      <c r="P26" s="13">
        <f t="shared" si="33"/>
        <v>8.7381375296802872</v>
      </c>
      <c r="Q26" s="20">
        <f t="shared" si="2"/>
        <v>63.87870079397883</v>
      </c>
      <c r="R26" s="59">
        <f t="shared" si="0"/>
        <v>321.07481709105258</v>
      </c>
      <c r="S26" s="59">
        <f ca="1">AVERAGE(OFFSET($R$3,0,0,'Données projet'!$E$9+1,1))-AVERAGE(OFFSET($H$3,0,0,'Données projet'!$E$9+1,1))</f>
        <v>490.57849401500789</v>
      </c>
      <c r="T26" s="59">
        <f t="shared" si="34"/>
        <v>221.7570623669753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1.8914529913333333</v>
      </c>
      <c r="AI26" s="13">
        <f>IF('Données projet'!$A$62&gt;35,AI25+AH26-AQ25,IF(A26&lt;'Données projet'!$A$62,$AF$205^A26,IF(A26='Données projet'!$A$62,'Données projet'!$B$62,AI25+AH26-AQ25)))</f>
        <v>22.114114399800091</v>
      </c>
      <c r="AJ26" s="13">
        <f>AI26*VLOOKUP('Données projet'!$B$10,Paramètres!$A$1:$I$89,3,0)*VLOOKUP('Données projet'!$B$10,Paramètres!$A$1:$I$89,5,0)</f>
        <v>14.8341479393859</v>
      </c>
      <c r="AK26" s="13">
        <f t="shared" si="35"/>
        <v>4.9943583872336657</v>
      </c>
      <c r="AL26" s="20">
        <f t="shared" si="4"/>
        <v>34.534648518862411</v>
      </c>
      <c r="AM26" s="59">
        <f t="shared" si="5"/>
        <v>291.73076481593614</v>
      </c>
      <c r="AN26" s="59">
        <f ca="1">AVERAGE(OFFSET($AM$3,0,0,'Données projet'!$E$10+1,1))-AVERAGE(OFFSET($H$3,0,0,'Données projet'!$E$10+1,1))</f>
        <v>377.00534440335832</v>
      </c>
      <c r="AO26" s="59">
        <f t="shared" si="36"/>
        <v>131.56029120000656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</v>
      </c>
      <c r="BD26" s="12">
        <f>IF('Données projet'!$A$88&gt;35,BD25+BC26-BL25,IF(A26&lt;'Données projet'!$A$88,$BA$205^A26,IF(A26='Données projet'!$A$88,'Données projet'!$B$88,BD25+BC26-BL25)))</f>
        <v>82</v>
      </c>
      <c r="BE26" s="13">
        <f>BD26*VLOOKUP('Données projet'!$B$11,Paramètres!$A$1:$I$89,3,0)*VLOOKUP('Données projet'!$B$11,Paramètres!$A$1:$I$89,5,0)</f>
        <v>71.635200000000012</v>
      </c>
      <c r="BF26" s="13">
        <f t="shared" si="37"/>
        <v>20.078988020012648</v>
      </c>
      <c r="BG26" s="20">
        <f t="shared" si="7"/>
        <v>159.73554413485536</v>
      </c>
      <c r="BH26" s="59">
        <f t="shared" si="8"/>
        <v>416.93166043192912</v>
      </c>
      <c r="BI26" s="59">
        <f ca="1">AVERAGE(OFFSET($BH$3,0,0,'Données projet'!$E$11+1,1))-AVERAGE(OFFSET($H$3,0,0,'Données projet'!$E$11+1,1))</f>
        <v>314.1123649635374</v>
      </c>
      <c r="BJ26" s="59">
        <f t="shared" si="38"/>
        <v>274.92342227914889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416.51807800469487</v>
      </c>
      <c r="CD26" s="59">
        <f ca="1">AVERAGE(OFFSET($CC$3,0,0,'Données projet'!$E$12+1,1))-AVERAGE(OFFSET($H$3,0,0,'Données projet'!$E$12+1,1))</f>
        <v>309.86296291630748</v>
      </c>
      <c r="CE26" s="59">
        <f t="shared" si="40"/>
        <v>301.17633325088661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8.8000000000000007</v>
      </c>
      <c r="CT26" s="12">
        <f>IF('Données projet'!$A$140&gt;35,CT25+CS26-DB25,IF(A26&lt;'Données projet'!$A$140,$CQ$205^A26,IF(A26='Données projet'!$A$140,'Données projet'!$B$140,CT25+CS26-DB25)))</f>
        <v>58.399999999999991</v>
      </c>
      <c r="CU26" s="17">
        <f>CT26*VLOOKUP('Données projet'!$B$13,Paramètres!$A$1:$I$89,3,0)*VLOOKUP('Données projet'!$B$13,Paramètres!$A$1:$I$89,5,0)</f>
        <v>50.107199999999999</v>
      </c>
      <c r="CV26" s="13">
        <f t="shared" si="41"/>
        <v>14.641441079141797</v>
      </c>
      <c r="CW26" s="20">
        <f t="shared" si="13"/>
        <v>112.77054987950528</v>
      </c>
      <c r="CX26" s="59">
        <f t="shared" si="14"/>
        <v>369.966666176579</v>
      </c>
      <c r="CY26" s="59">
        <f ca="1">AVERAGE(OFFSET($CX$3,0,0,'Données projet'!$E$13+1,1))-AVERAGE(OFFSET($H$3,0,0,'Données projet'!$E$13+1,1))</f>
        <v>462.66388549889928</v>
      </c>
      <c r="CZ26" s="59">
        <f t="shared" si="42"/>
        <v>265.3725203415089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6.7948717960000007</v>
      </c>
      <c r="DO26" s="12">
        <f>IF('Données projet'!$A$166&gt;35,DO25+DN26-DW25,IF(A26&lt;'Données projet'!$A$166,$DL$205^A26,IF(A26='Données projet'!$A$166,'Données projet'!$B$166,DO25+DN26-DW25)))</f>
        <v>58.846153848000014</v>
      </c>
      <c r="DP26" s="17">
        <f>DO26*VLOOKUP('Données projet'!$B$14,Paramètres!$A$1:$I$89,3,0)*VLOOKUP('Données projet'!$B$14,Paramètres!$A$1:$I$89,5,0)</f>
        <v>45.900000001440013</v>
      </c>
      <c r="DQ26" s="13">
        <f t="shared" si="43"/>
        <v>13.549702311693792</v>
      </c>
      <c r="DR26" s="20">
        <f t="shared" si="16"/>
        <v>103.54156486204137</v>
      </c>
      <c r="DS26" s="59">
        <f t="shared" si="17"/>
        <v>360.73768115911508</v>
      </c>
      <c r="DT26" s="59">
        <f ca="1">AVERAGE(OFFSET($DS$3,0,0,'Données projet'!$E$14+1,1))-AVERAGE(OFFSET($H$3,0,0,'Données projet'!$E$14+1,1))</f>
        <v>206.5241977687125</v>
      </c>
      <c r="DU26" s="59">
        <f t="shared" si="44"/>
        <v>205.25001043771269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7.6</v>
      </c>
      <c r="EJ26" s="12">
        <f>IF('Données projet'!$A$192&gt;35,EJ25+EI26-ER25,IF(A26&lt;'Données projet'!$A$192,$EG$205^A26,IF(A26='Données projet'!$A$192,'Données projet'!$B$192,EJ25+EI26-ER25)))</f>
        <v>37.800000000000004</v>
      </c>
      <c r="EK26" s="17">
        <f>EJ26*VLOOKUP('Données projet'!$B$15,Paramètres!$A$1:$I$89,3,0)*VLOOKUP('Données projet'!$B$15,Paramètres!$A$1:$I$89,5,0)</f>
        <v>33.022080000000003</v>
      </c>
      <c r="EL26" s="13">
        <f t="shared" si="45"/>
        <v>10.129025278332465</v>
      </c>
      <c r="EM26" s="20">
        <f t="shared" si="19"/>
        <v>75.154841693095705</v>
      </c>
      <c r="EN26" s="59">
        <f t="shared" si="20"/>
        <v>332.35095799016943</v>
      </c>
      <c r="EO26" s="59">
        <f ca="1">AVERAGE(OFFSET($EN$3,0,0,'Données projet'!$E$15+1,1))-AVERAGE(OFFSET($H$3,0,0,'Données projet'!$E$15+1,1))</f>
        <v>205.83135724908942</v>
      </c>
      <c r="EP26" s="59">
        <f t="shared" si="46"/>
        <v>193.60053377311405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8.1999999999999993</v>
      </c>
      <c r="FE26" s="12">
        <f>IF('Données projet'!$A$218&gt;35,FE25+FD26-FM25,IF(A26&lt;'Données projet'!$A$218,$FB$205^A26,IF(A26='Données projet'!$A$218,'Données projet'!$B$218,FE25+FD26-FM25)))</f>
        <v>99.600000000000023</v>
      </c>
      <c r="FF26" s="17">
        <f>FE26*VLOOKUP('Données projet'!$B$16,Paramètres!$A$1:$I$89,3,0)*VLOOKUP('Données projet'!$B$16,Paramètres!$A$1:$I$89,5,0)</f>
        <v>65.257920000000013</v>
      </c>
      <c r="FG26" s="13">
        <f t="shared" si="47"/>
        <v>18.491067519086762</v>
      </c>
      <c r="FH26" s="20">
        <f t="shared" si="22"/>
        <v>145.8628199290761</v>
      </c>
      <c r="FI26" s="59">
        <f t="shared" si="23"/>
        <v>403.05893622614985</v>
      </c>
      <c r="FJ26" s="59">
        <f ca="1">AVERAGE(OFFSET($FI$3,0,0,'Données projet'!$E$16+1,1))-AVERAGE(OFFSET($H$3,0,0,'Données projet'!$E$16+1,1))</f>
        <v>242.76791261317206</v>
      </c>
      <c r="FK26" s="59">
        <f t="shared" si="48"/>
        <v>244.28580264867682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2.9235042736666665</v>
      </c>
      <c r="FZ26" s="12">
        <f>IF('Données projet'!$A$244&gt;35,FZ25+FY26-GH25,IF(A26&lt;'Données projet'!$A$244,$FW$205^A26,IF(A26='Données projet'!$A$244,'Données projet'!$B$244,FZ25+FY26-GH25)))</f>
        <v>30.878236600831084</v>
      </c>
      <c r="GA26" s="17">
        <f>FZ26*VLOOKUP('Données projet'!$B$17,Paramètres!$A$1:$I$89,3,0)*VLOOKUP('Données projet'!$B$17,Paramètres!$A$1:$I$89,5,0)</f>
        <v>29.383729949350858</v>
      </c>
      <c r="GB26" s="13">
        <f t="shared" si="49"/>
        <v>9.1363208529958886</v>
      </c>
      <c r="GC26" s="20">
        <f t="shared" si="25"/>
        <v>67.089088480753915</v>
      </c>
      <c r="GD26" s="59">
        <f t="shared" si="26"/>
        <v>324.28520477782763</v>
      </c>
      <c r="GE26" s="59">
        <f ca="1">AVERAGE(OFFSET($GD$3,0,0,'Données projet'!$E$17+1,1))-AVERAGE(OFFSET($H$3,0,0,'Données projet'!$E$17+1,1))</f>
        <v>512.71941256120977</v>
      </c>
      <c r="GF26" s="59">
        <f t="shared" si="50"/>
        <v>230.65031527019354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62.477728687080713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2.5641025599999923</v>
      </c>
      <c r="GU26" s="12">
        <f>IF('Données projet'!$A$270&gt;35,GU25+GT26-HC25,IF(A26&lt;'Données projet'!$A$270,$GR$205^A26,IF(A26='Données projet'!$A$270,'Données projet'!$B$270,GU25+GT26-HC25)))</f>
        <v>317.94871793999994</v>
      </c>
      <c r="GV26" s="17">
        <f>GU26*VLOOKUP('Données projet'!$B$18,Paramètres!$A$1:$I$89,3,0)*VLOOKUP('Données projet'!$B$18,Paramètres!$A$1:$I$89,5,0)</f>
        <v>139.87199999616476</v>
      </c>
      <c r="GW26" s="13">
        <f t="shared" si="51"/>
        <v>36.267680930714377</v>
      </c>
      <c r="GX26" s="20">
        <f t="shared" si="28"/>
        <v>306.77661094764784</v>
      </c>
      <c r="GY26" s="59">
        <f t="shared" si="29"/>
        <v>563.97272724472157</v>
      </c>
      <c r="GZ26" s="59">
        <f ca="1">AVERAGE(OFFSET($GY$3,0,0,'Données projet'!$E$18+1,1))-AVERAGE(OFFSET($H$3,0,0,'Données projet'!$E$18+1,1))</f>
        <v>180.68917161146683</v>
      </c>
      <c r="HA26" s="59">
        <f t="shared" si="52"/>
        <v>344.42126252322419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2.25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8.25</v>
      </c>
      <c r="H27" s="66">
        <f t="shared" si="1"/>
        <v>223.66666666666666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2.9235042736666665</v>
      </c>
      <c r="N27" s="13">
        <f>IF('Données projet'!$A$36&gt;35,N26+M27-V26,IF(A27&lt;'Données projet'!$A$36,$K$205^A27,IF(A27='Données projet'!$A$36,'Données projet'!$B$36,N26+M27-V26)))</f>
        <v>35.84429064868953</v>
      </c>
      <c r="O27" s="13">
        <f>N27*VLOOKUP('Données projet'!$B$9,Paramètres!$A$1:$I$89,3,0)*VLOOKUP('Données projet'!$B$9,Paramètres!$A$1:$I$89,5,0)</f>
        <v>32.431914178934285</v>
      </c>
      <c r="P27" s="13">
        <f t="shared" si="33"/>
        <v>9.9689045657731459</v>
      </c>
      <c r="Q27" s="20">
        <f t="shared" si="2"/>
        <v>73.848092647032104</v>
      </c>
      <c r="R27" s="59">
        <f t="shared" si="0"/>
        <v>332.74491132966102</v>
      </c>
      <c r="S27" s="59">
        <f ca="1">AVERAGE(OFFSET($R$3,0,0,'Données projet'!$E$9+1,1))-AVERAGE(OFFSET($H$3,0,0,'Données projet'!$E$9+1,1))</f>
        <v>490.57849401500789</v>
      </c>
      <c r="T27" s="59">
        <f t="shared" si="34"/>
        <v>221.7570623669753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1.8914529913333333</v>
      </c>
      <c r="AI27" s="13">
        <f>IF('Données projet'!$A$62&gt;35,AI26+AH27-AQ26,IF(A27&lt;'Données projet'!$A$62,$AF$205^A27,IF(A27='Données projet'!$A$62,'Données projet'!$B$62,AI26+AH27-AQ26)))</f>
        <v>25.300752922835059</v>
      </c>
      <c r="AJ27" s="13">
        <f>AI27*VLOOKUP('Données projet'!$B$10,Paramètres!$A$1:$I$89,3,0)*VLOOKUP('Données projet'!$B$10,Paramètres!$A$1:$I$89,5,0)</f>
        <v>16.971745060637758</v>
      </c>
      <c r="AK27" s="13">
        <f t="shared" si="35"/>
        <v>5.6252055913101335</v>
      </c>
      <c r="AL27" s="20">
        <f t="shared" si="4"/>
        <v>39.356355718809247</v>
      </c>
      <c r="AM27" s="59">
        <f t="shared" si="5"/>
        <v>298.25317440143817</v>
      </c>
      <c r="AN27" s="59">
        <f ca="1">AVERAGE(OFFSET($AM$3,0,0,'Données projet'!$E$10+1,1))-AVERAGE(OFFSET($H$3,0,0,'Données projet'!$E$10+1,1))</f>
        <v>377.00534440335832</v>
      </c>
      <c r="AO27" s="59">
        <f t="shared" si="36"/>
        <v>131.56029120000656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</v>
      </c>
      <c r="BD27" s="12">
        <f>IF('Données projet'!$A$88&gt;35,BD26+BC27-BL26,IF(A27&lt;'Données projet'!$A$88,$BA$205^A27,IF(A27='Données projet'!$A$88,'Données projet'!$B$88,BD26+BC27-BL26)))</f>
        <v>90</v>
      </c>
      <c r="BE27" s="13">
        <f>BD27*VLOOKUP('Données projet'!$B$11,Paramètres!$A$1:$I$89,3,0)*VLOOKUP('Données projet'!$B$11,Paramètres!$A$1:$I$89,5,0)</f>
        <v>78.624000000000009</v>
      </c>
      <c r="BF27" s="13">
        <f t="shared" si="37"/>
        <v>21.800406010684462</v>
      </c>
      <c r="BG27" s="20">
        <f t="shared" si="7"/>
        <v>174.90584046860877</v>
      </c>
      <c r="BH27" s="59">
        <f t="shared" si="8"/>
        <v>433.80265915123766</v>
      </c>
      <c r="BI27" s="59">
        <f ca="1">AVERAGE(OFFSET($BH$3,0,0,'Données projet'!$E$11+1,1))-AVERAGE(OFFSET($H$3,0,0,'Données projet'!$E$11+1,1))</f>
        <v>314.1123649635374</v>
      </c>
      <c r="BJ27" s="59">
        <f t="shared" si="38"/>
        <v>274.92342227914889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439.97011391867807</v>
      </c>
      <c r="CD27" s="59">
        <f ca="1">AVERAGE(OFFSET($CC$3,0,0,'Données projet'!$E$12+1,1))-AVERAGE(OFFSET($H$3,0,0,'Données projet'!$E$12+1,1))</f>
        <v>309.86296291630748</v>
      </c>
      <c r="CE27" s="59">
        <f t="shared" si="40"/>
        <v>301.17633325088661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8.8000000000000007</v>
      </c>
      <c r="CT27" s="12">
        <f>IF('Données projet'!$A$140&gt;35,CT26+CS27-DB26,IF(A27&lt;'Données projet'!$A$140,$CQ$205^A27,IF(A27='Données projet'!$A$140,'Données projet'!$B$140,CT26+CS27-DB26)))</f>
        <v>67.199999999999989</v>
      </c>
      <c r="CU27" s="17">
        <f>CT27*VLOOKUP('Données projet'!$B$13,Paramètres!$A$1:$I$89,3,0)*VLOOKUP('Données projet'!$B$13,Paramètres!$A$1:$I$89,5,0)</f>
        <v>57.657599999999995</v>
      </c>
      <c r="CV27" s="13">
        <f t="shared" si="41"/>
        <v>16.574671209026025</v>
      </c>
      <c r="CW27" s="20">
        <f t="shared" si="13"/>
        <v>129.28787235572034</v>
      </c>
      <c r="CX27" s="59">
        <f t="shared" si="14"/>
        <v>388.18469103834923</v>
      </c>
      <c r="CY27" s="59">
        <f ca="1">AVERAGE(OFFSET($CX$3,0,0,'Données projet'!$E$13+1,1))-AVERAGE(OFFSET($H$3,0,0,'Données projet'!$E$13+1,1))</f>
        <v>462.66388549889928</v>
      </c>
      <c r="CZ27" s="59">
        <f t="shared" si="42"/>
        <v>265.3725203415089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6.7948717960000007</v>
      </c>
      <c r="DO27" s="12">
        <f>IF('Données projet'!$A$166&gt;35,DO26+DN27-DW26,IF(A27&lt;'Données projet'!$A$166,$DL$205^A27,IF(A27='Données projet'!$A$166,'Données projet'!$B$166,DO26+DN27-DW26)))</f>
        <v>65.64102564400001</v>
      </c>
      <c r="DP27" s="17">
        <f>DO27*VLOOKUP('Données projet'!$B$14,Paramètres!$A$1:$I$89,3,0)*VLOOKUP('Données projet'!$B$14,Paramètres!$A$1:$I$89,5,0)</f>
        <v>51.20000000232001</v>
      </c>
      <c r="DQ27" s="13">
        <f t="shared" si="43"/>
        <v>14.923235839077046</v>
      </c>
      <c r="DR27" s="20">
        <f t="shared" si="16"/>
        <v>115.16463575709987</v>
      </c>
      <c r="DS27" s="59">
        <f t="shared" si="17"/>
        <v>374.06145443972878</v>
      </c>
      <c r="DT27" s="59">
        <f ca="1">AVERAGE(OFFSET($DS$3,0,0,'Données projet'!$E$14+1,1))-AVERAGE(OFFSET($H$3,0,0,'Données projet'!$E$14+1,1))</f>
        <v>206.5241977687125</v>
      </c>
      <c r="DU27" s="59">
        <f t="shared" si="44"/>
        <v>205.25001043771269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7.6</v>
      </c>
      <c r="EJ27" s="12">
        <f>IF('Données projet'!$A$192&gt;35,EJ26+EI27-ER26,IF(A27&lt;'Données projet'!$A$192,$EG$205^A27,IF(A27='Données projet'!$A$192,'Données projet'!$B$192,EJ26+EI27-ER26)))</f>
        <v>45.400000000000006</v>
      </c>
      <c r="EK27" s="17">
        <f>EJ27*VLOOKUP('Données projet'!$B$15,Paramètres!$A$1:$I$89,3,0)*VLOOKUP('Données projet'!$B$15,Paramètres!$A$1:$I$89,5,0)</f>
        <v>39.661440000000013</v>
      </c>
      <c r="EL27" s="13">
        <f t="shared" si="45"/>
        <v>11.908867197468041</v>
      </c>
      <c r="EM27" s="20">
        <f t="shared" si="19"/>
        <v>89.818285035590179</v>
      </c>
      <c r="EN27" s="59">
        <f t="shared" si="20"/>
        <v>348.7151037182191</v>
      </c>
      <c r="EO27" s="59">
        <f ca="1">AVERAGE(OFFSET($EN$3,0,0,'Données projet'!$E$15+1,1))-AVERAGE(OFFSET($H$3,0,0,'Données projet'!$E$15+1,1))</f>
        <v>205.83135724908942</v>
      </c>
      <c r="EP27" s="59">
        <f t="shared" si="46"/>
        <v>193.60053377311405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8.1999999999999993</v>
      </c>
      <c r="FE27" s="12">
        <f>IF('Données projet'!$A$218&gt;35,FE26+FD27-FM26,IF(A27&lt;'Données projet'!$A$218,$FB$205^A27,IF(A27='Données projet'!$A$218,'Données projet'!$B$218,FE26+FD27-FM26)))</f>
        <v>107.80000000000003</v>
      </c>
      <c r="FF27" s="17">
        <f>FE27*VLOOKUP('Données projet'!$B$16,Paramètres!$A$1:$I$89,3,0)*VLOOKUP('Données projet'!$B$16,Paramètres!$A$1:$I$89,5,0)</f>
        <v>70.630560000000017</v>
      </c>
      <c r="FG27" s="13">
        <f t="shared" si="47"/>
        <v>19.829966022106095</v>
      </c>
      <c r="FH27" s="20">
        <f t="shared" si="22"/>
        <v>157.5520828218348</v>
      </c>
      <c r="FI27" s="59">
        <f t="shared" si="23"/>
        <v>416.44890150446372</v>
      </c>
      <c r="FJ27" s="59">
        <f ca="1">AVERAGE(OFFSET($FI$3,0,0,'Données projet'!$E$16+1,1))-AVERAGE(OFFSET($H$3,0,0,'Données projet'!$E$16+1,1))</f>
        <v>242.76791261317206</v>
      </c>
      <c r="FK27" s="59">
        <f t="shared" si="48"/>
        <v>244.28580264867682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2.9235042736666665</v>
      </c>
      <c r="FZ27" s="12">
        <f>IF('Données projet'!$A$244&gt;35,FZ26+FY27-GH26,IF(A27&lt;'Données projet'!$A$244,$FW$205^A27,IF(A27='Données projet'!$A$244,'Données projet'!$B$244,FZ26+FY27-GH26)))</f>
        <v>35.84429064868953</v>
      </c>
      <c r="GA27" s="17">
        <f>FZ27*VLOOKUP('Données projet'!$B$17,Paramètres!$A$1:$I$89,3,0)*VLOOKUP('Données projet'!$B$17,Paramètres!$A$1:$I$89,5,0)</f>
        <v>34.109426981292962</v>
      </c>
      <c r="GB27" s="13">
        <f t="shared" si="49"/>
        <v>10.423172026811937</v>
      </c>
      <c r="GC27" s="20">
        <f t="shared" si="25"/>
        <v>77.560943272449364</v>
      </c>
      <c r="GD27" s="59">
        <f t="shared" si="26"/>
        <v>336.4577619550783</v>
      </c>
      <c r="GE27" s="59">
        <f ca="1">AVERAGE(OFFSET($GD$3,0,0,'Données projet'!$E$17+1,1))-AVERAGE(OFFSET($H$3,0,0,'Données projet'!$E$17+1,1))</f>
        <v>512.71941256120977</v>
      </c>
      <c r="GF27" s="59">
        <f t="shared" si="50"/>
        <v>230.65031527019354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62.608223277080612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>
        <f>VLOOKUP(A27,'Données projet'!$A$269:$I$289,2,0)</f>
        <v>320.51282049999998</v>
      </c>
      <c r="GS27" s="12">
        <f>VLOOKUP(A27,'Données projet'!$A$269:$I$289,9,0)</f>
        <v>2.5641025599999923</v>
      </c>
      <c r="GT27" s="12">
        <f t="array" ref="GT27">INDEX(GS:GS,MIN(IF(ISNUMBER(GS27:GS223),ROW(GS27:GS223),"")))</f>
        <v>2.5641025599999923</v>
      </c>
      <c r="GU27" s="12">
        <f>IF('Données projet'!$A$270&gt;35,GU26+GT27-HC26,IF(A27&lt;'Données projet'!$A$270,$GR$205^A27,IF(A27='Données projet'!$A$270,'Données projet'!$B$270,GU26+GT27-HC26)))</f>
        <v>320.51282049999992</v>
      </c>
      <c r="GV27" s="17">
        <f>GU27*VLOOKUP('Données projet'!$B$18,Paramètres!$A$1:$I$89,3,0)*VLOOKUP('Données projet'!$B$18,Paramètres!$A$1:$I$89,5,0)</f>
        <v>140.99999999435997</v>
      </c>
      <c r="GW27" s="13">
        <f t="shared" si="51"/>
        <v>36.525996469139713</v>
      </c>
      <c r="GX27" s="20">
        <f t="shared" si="28"/>
        <v>309.1911105072619</v>
      </c>
      <c r="GY27" s="59">
        <f t="shared" si="29"/>
        <v>568.08792918989081</v>
      </c>
      <c r="GZ27" s="59">
        <f ca="1">AVERAGE(OFFSET($GY$3,0,0,'Données projet'!$E$18+1,1))-AVERAGE(OFFSET($H$3,0,0,'Données projet'!$E$18+1,1))</f>
        <v>180.68917161146683</v>
      </c>
      <c r="HA27" s="59">
        <f t="shared" si="52"/>
        <v>344.42126252322419</v>
      </c>
      <c r="HB27" s="15" t="str">
        <f>IF(ISNA(VLOOKUP(A27,'Données projet'!$A$269:$I$289,3,0)),0,VLOOKUP(A27,'Données projet'!$A$269:$I$289,3,0))</f>
        <v>CR</v>
      </c>
      <c r="HC27" s="15">
        <f>IF(ISNA(VLOOKUP(A27,'Données projet'!$A$269:$I$289,4,0)),0,VLOOKUP(A27,'Données projet'!$A$269:$I$289,4,0))</f>
        <v>320.51282049999998</v>
      </c>
      <c r="HD27" s="16">
        <f>IF(ISNA(VLOOKUP(A27,'Données projet'!$A$269:$I$289,5,0)),0%,VLOOKUP(A27,'Données projet'!$A$269:$I$289,5,0)*VLOOKUP('Données projet'!$B$18,Paramètres!$A$1:$I$89,7,0))</f>
        <v>0.46199999999999997</v>
      </c>
      <c r="HE27" s="16">
        <f>IF(ISNA(VLOOKUP(A27,'Données projet'!$A$269:$I$289,6,0)),0%,VLOOKUP(A27,'Données projet'!$A$269:$I$289,6,0)*VLOOKUP('Données projet'!$B$18,Paramètres!$A$1:$I$89,7,0))</f>
        <v>0.126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72.012551460654919</v>
      </c>
      <c r="HH27" s="21">
        <f>EXP(-LN(2)/25)*HH26+(1-EXP(-LN(2)/25))/(LN(2)/25)*Calculateur!HC27*Calculateur!HE27*VLOOKUP('Données projet'!$B$18,Paramètres!$A$1:$I$89,3,0)*0.475*44/12</f>
        <v>19.562457438169371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91.575008898824294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2.25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8.25</v>
      </c>
      <c r="H28" s="66">
        <f t="shared" si="1"/>
        <v>223.66666666666666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2.9235042736666665</v>
      </c>
      <c r="N28" s="13">
        <f>IF('Données projet'!$A$36&gt;35,N27+M28-V27,IF(A28&lt;'Données projet'!$A$36,$K$205^A28,IF(A28='Données projet'!$A$36,'Données projet'!$B$36,N27+M28-V27)))</f>
        <v>41.609020253221033</v>
      </c>
      <c r="O28" s="13">
        <f>N28*VLOOKUP('Données projet'!$B$9,Paramètres!$A$1:$I$89,3,0)*VLOOKUP('Données projet'!$B$9,Paramètres!$A$1:$I$89,5,0)</f>
        <v>37.647841525114387</v>
      </c>
      <c r="P28" s="13">
        <f t="shared" si="33"/>
        <v>11.373025190315211</v>
      </c>
      <c r="Q28" s="20">
        <f t="shared" si="2"/>
        <v>85.378009529373216</v>
      </c>
      <c r="R28" s="59">
        <f t="shared" si="0"/>
        <v>345.9672300364449</v>
      </c>
      <c r="S28" s="59">
        <f ca="1">AVERAGE(OFFSET($R$3,0,0,'Données projet'!$E$9+1,1))-AVERAGE(OFFSET($H$3,0,0,'Données projet'!$E$9+1,1))</f>
        <v>490.57849401500789</v>
      </c>
      <c r="T28" s="59">
        <f t="shared" si="34"/>
        <v>221.7570623669753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1.8914529913333333</v>
      </c>
      <c r="AI28" s="13">
        <f>IF('Données projet'!$A$62&gt;35,AI27+AH28-AQ27,IF(A28&lt;'Données projet'!$A$62,$AF$205^A28,IF(A28='Données projet'!$A$62,'Données projet'!$B$62,AI27+AH28-AQ27)))</f>
        <v>28.946585284379889</v>
      </c>
      <c r="AJ28" s="13">
        <f>AI28*VLOOKUP('Données projet'!$B$10,Paramètres!$A$1:$I$89,3,0)*VLOOKUP('Données projet'!$B$10,Paramètres!$A$1:$I$89,5,0)</f>
        <v>19.417369408762028</v>
      </c>
      <c r="AK28" s="13">
        <f t="shared" si="35"/>
        <v>6.3357363431088398</v>
      </c>
      <c r="AL28" s="20">
        <f t="shared" si="4"/>
        <v>44.8533258511751</v>
      </c>
      <c r="AM28" s="59">
        <f t="shared" si="5"/>
        <v>305.44254635824677</v>
      </c>
      <c r="AN28" s="59">
        <f ca="1">AVERAGE(OFFSET($AM$3,0,0,'Données projet'!$E$10+1,1))-AVERAGE(OFFSET($H$3,0,0,'Données projet'!$E$10+1,1))</f>
        <v>377.00534440335832</v>
      </c>
      <c r="AO28" s="59">
        <f t="shared" si="36"/>
        <v>131.56029120000656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98</v>
      </c>
      <c r="BB28" s="12">
        <f>VLOOKUP(A28,'Données projet'!$A$87:$I$107,9,0)</f>
        <v>8</v>
      </c>
      <c r="BC28" s="12">
        <f t="array" ref="BC28">INDEX(BB:BB,MIN(IF(ISNUMBER(BB28:BB224),ROW(BB28:BB224),"")))</f>
        <v>8</v>
      </c>
      <c r="BD28" s="12">
        <f>IF('Données projet'!$A$88&gt;35,BD27+BC28-BL27,IF(A28&lt;'Données projet'!$A$88,$BA$205^A28,IF(A28='Données projet'!$A$88,'Données projet'!$B$88,BD27+BC28-BL27)))</f>
        <v>98</v>
      </c>
      <c r="BE28" s="13">
        <f>BD28*VLOOKUP('Données projet'!$B$11,Paramètres!$A$1:$I$89,3,0)*VLOOKUP('Données projet'!$B$11,Paramètres!$A$1:$I$89,5,0)</f>
        <v>85.612800000000007</v>
      </c>
      <c r="BF28" s="13">
        <f t="shared" si="37"/>
        <v>23.504080242391282</v>
      </c>
      <c r="BG28" s="20">
        <f t="shared" si="7"/>
        <v>190.04523308883151</v>
      </c>
      <c r="BH28" s="59">
        <f t="shared" si="8"/>
        <v>450.63445359590321</v>
      </c>
      <c r="BI28" s="59">
        <f ca="1">AVERAGE(OFFSET($BH$3,0,0,'Données projet'!$E$11+1,1))-AVERAGE(OFFSET($H$3,0,0,'Données projet'!$E$11+1,1))</f>
        <v>314.1123649635374</v>
      </c>
      <c r="BJ28" s="59">
        <f t="shared" si="38"/>
        <v>274.92342227914889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463.35265326329977</v>
      </c>
      <c r="CD28" s="59">
        <f ca="1">AVERAGE(OFFSET($CC$3,0,0,'Données projet'!$E$12+1,1))-AVERAGE(OFFSET($H$3,0,0,'Données projet'!$E$12+1,1))</f>
        <v>309.86296291630748</v>
      </c>
      <c r="CE28" s="59">
        <f t="shared" si="40"/>
        <v>301.17633325088661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76</v>
      </c>
      <c r="CR28" s="12">
        <f>VLOOKUP(A28,'Données projet'!$A$139:$I$159,9,0)</f>
        <v>8.8000000000000007</v>
      </c>
      <c r="CS28" s="12">
        <f t="array" ref="CS28">INDEX(CR:CR,MIN(IF(ISNUMBER(CR28:CR224),ROW(CR28:CR224),"")))</f>
        <v>8.8000000000000007</v>
      </c>
      <c r="CT28" s="12">
        <f>IF('Données projet'!$A$140&gt;35,CT27+CS28-DB27,IF(A28&lt;'Données projet'!$A$140,$CQ$205^A28,IF(A28='Données projet'!$A$140,'Données projet'!$B$140,CT27+CS28-DB27)))</f>
        <v>75.999999999999986</v>
      </c>
      <c r="CU28" s="17">
        <f>CT28*VLOOKUP('Données projet'!$B$13,Paramètres!$A$1:$I$89,3,0)*VLOOKUP('Données projet'!$B$13,Paramètres!$A$1:$I$89,5,0)</f>
        <v>65.207999999999998</v>
      </c>
      <c r="CV28" s="13">
        <f t="shared" si="41"/>
        <v>18.478568429485204</v>
      </c>
      <c r="CW28" s="20">
        <f t="shared" si="13"/>
        <v>145.75410668135339</v>
      </c>
      <c r="CX28" s="59">
        <f t="shared" si="14"/>
        <v>406.34332718842506</v>
      </c>
      <c r="CY28" s="59">
        <f ca="1">AVERAGE(OFFSET($CX$3,0,0,'Données projet'!$E$13+1,1))-AVERAGE(OFFSET($H$3,0,0,'Données projet'!$E$13+1,1))</f>
        <v>462.66388549889928</v>
      </c>
      <c r="CZ28" s="59">
        <f t="shared" si="42"/>
        <v>265.3725203415089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72.435897440000005</v>
      </c>
      <c r="DM28" s="12">
        <f>VLOOKUP(A28,'Données projet'!$A$165:$I$185,9,0)</f>
        <v>6.7948717960000007</v>
      </c>
      <c r="DN28" s="12">
        <f t="array" ref="DN28">INDEX(DM:DM,MIN(IF(ISNUMBER(DM28:DM224),ROW(DM28:DM224),"")))</f>
        <v>6.7948717960000007</v>
      </c>
      <c r="DO28" s="12">
        <f>IF('Données projet'!$A$166&gt;35,DO27+DN28-DW27,IF(A28&lt;'Données projet'!$A$166,$DL$205^A28,IF(A28='Données projet'!$A$166,'Données projet'!$B$166,DO27+DN28-DW27)))</f>
        <v>72.435897440000005</v>
      </c>
      <c r="DP28" s="17">
        <f>DO28*VLOOKUP('Données projet'!$B$14,Paramètres!$A$1:$I$89,3,0)*VLOOKUP('Données projet'!$B$14,Paramètres!$A$1:$I$89,5,0)</f>
        <v>56.500000003200007</v>
      </c>
      <c r="DQ28" s="13">
        <f t="shared" si="43"/>
        <v>16.280287626951701</v>
      </c>
      <c r="DR28" s="20">
        <f t="shared" si="16"/>
        <v>126.75900095584753</v>
      </c>
      <c r="DS28" s="59">
        <f t="shared" si="17"/>
        <v>387.34822146291918</v>
      </c>
      <c r="DT28" s="59">
        <f ca="1">AVERAGE(OFFSET($DS$3,0,0,'Données projet'!$E$14+1,1))-AVERAGE(OFFSET($H$3,0,0,'Données projet'!$E$14+1,1))</f>
        <v>206.5241977687125</v>
      </c>
      <c r="DU28" s="59">
        <f t="shared" si="44"/>
        <v>205.25001043771269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17.30769231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53</v>
      </c>
      <c r="EH28" s="12">
        <f>VLOOKUP(A28,'Données projet'!$A$191:$I$211,9,0)</f>
        <v>7.6</v>
      </c>
      <c r="EI28" s="12">
        <f t="array" ref="EI28">INDEX(EH:EH,MIN(IF(ISNUMBER(EH28:EH224),ROW(EH28:EH224),"")))</f>
        <v>7.6</v>
      </c>
      <c r="EJ28" s="12">
        <f>IF('Données projet'!$A$192&gt;35,EJ27+EI28-ER27,IF(A28&lt;'Données projet'!$A$192,$EG$205^A28,IF(A28='Données projet'!$A$192,'Données projet'!$B$192,EJ27+EI28-ER27)))</f>
        <v>53.000000000000007</v>
      </c>
      <c r="EK28" s="17">
        <f>EJ28*VLOOKUP('Données projet'!$B$15,Paramètres!$A$1:$I$89,3,0)*VLOOKUP('Données projet'!$B$15,Paramètres!$A$1:$I$89,5,0)</f>
        <v>46.30080000000001</v>
      </c>
      <c r="EL28" s="13">
        <f t="shared" si="45"/>
        <v>13.654193684451666</v>
      </c>
      <c r="EM28" s="20">
        <f t="shared" si="19"/>
        <v>104.42161400042001</v>
      </c>
      <c r="EN28" s="59">
        <f t="shared" si="20"/>
        <v>365.01083450749167</v>
      </c>
      <c r="EO28" s="59">
        <f ca="1">AVERAGE(OFFSET($EN$3,0,0,'Données projet'!$E$15+1,1))-AVERAGE(OFFSET($H$3,0,0,'Données projet'!$E$15+1,1))</f>
        <v>205.83135724908942</v>
      </c>
      <c r="EP28" s="59">
        <f t="shared" si="46"/>
        <v>193.60053377311405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14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116</v>
      </c>
      <c r="FC28" s="12">
        <f>VLOOKUP(A28,'Données projet'!$A$217:$I$237,9,0)</f>
        <v>8.1999999999999993</v>
      </c>
      <c r="FD28" s="12">
        <f t="array" ref="FD28">INDEX(FC:FC,MIN(IF(ISNUMBER(FC28:FC224),ROW(FC28:FC224),"")))</f>
        <v>8.1999999999999993</v>
      </c>
      <c r="FE28" s="12">
        <f>IF('Données projet'!$A$218&gt;35,FE27+FD28-FM27,IF(A28&lt;'Données projet'!$A$218,$FB$205^A28,IF(A28='Données projet'!$A$218,'Données projet'!$B$218,FE27+FD28-FM27)))</f>
        <v>116.00000000000003</v>
      </c>
      <c r="FF28" s="17">
        <f>FE28*VLOOKUP('Données projet'!$B$16,Paramètres!$A$1:$I$89,3,0)*VLOOKUP('Données projet'!$B$16,Paramètres!$A$1:$I$89,5,0)</f>
        <v>76.003200000000021</v>
      </c>
      <c r="FG28" s="13">
        <f t="shared" si="47"/>
        <v>21.157049992000456</v>
      </c>
      <c r="FH28" s="20">
        <f t="shared" si="22"/>
        <v>169.2207687360675</v>
      </c>
      <c r="FI28" s="59">
        <f t="shared" si="23"/>
        <v>429.80998924313917</v>
      </c>
      <c r="FJ28" s="59">
        <f ca="1">AVERAGE(OFFSET($FI$3,0,0,'Données projet'!$E$16+1,1))-AVERAGE(OFFSET($H$3,0,0,'Données projet'!$E$16+1,1))</f>
        <v>242.76791261317206</v>
      </c>
      <c r="FK28" s="59">
        <f t="shared" si="48"/>
        <v>244.28580264867682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18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2.9235042736666665</v>
      </c>
      <c r="FZ28" s="12">
        <f>IF('Données projet'!$A$244&gt;35,FZ27+FY28-GH27,IF(A28&lt;'Données projet'!$A$244,$FW$205^A28,IF(A28='Données projet'!$A$244,'Données projet'!$B$244,FZ27+FY28-GH27)))</f>
        <v>41.609020253221033</v>
      </c>
      <c r="GA28" s="17">
        <f>FZ28*VLOOKUP('Données projet'!$B$17,Paramètres!$A$1:$I$89,3,0)*VLOOKUP('Données projet'!$B$17,Paramètres!$A$1:$I$89,5,0)</f>
        <v>39.595143672965136</v>
      </c>
      <c r="GB28" s="13">
        <f t="shared" si="49"/>
        <v>11.891276242218426</v>
      </c>
      <c r="GC28" s="20">
        <f t="shared" si="25"/>
        <v>89.672181352278031</v>
      </c>
      <c r="GD28" s="59">
        <f t="shared" si="26"/>
        <v>350.26140185934969</v>
      </c>
      <c r="GE28" s="59">
        <f ca="1">AVERAGE(OFFSET($GD$3,0,0,'Données projet'!$E$17+1,1))-AVERAGE(OFFSET($H$3,0,0,'Données projet'!$E$17+1,1))</f>
        <v>512.71941256120977</v>
      </c>
      <c r="GF28" s="59">
        <f t="shared" si="50"/>
        <v>230.65031527019354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62.736454077686219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-5.6843418860808015E-14</v>
      </c>
      <c r="GV28" s="17">
        <f>GU28*VLOOKUP('Données projet'!$B$18,Paramètres!$A$1:$I$89,3,0)*VLOOKUP('Données projet'!$B$18,Paramètres!$A$1:$I$89,5,0)</f>
        <v>-2.5006556825246661E-14</v>
      </c>
      <c r="GW28" s="13" t="e">
        <f t="shared" si="51"/>
        <v>#NUM!</v>
      </c>
      <c r="GX28" s="20" t="e">
        <f t="shared" si="28"/>
        <v>#NUM!</v>
      </c>
      <c r="GY28" s="59" t="e">
        <f t="shared" si="29"/>
        <v>#NUM!</v>
      </c>
      <c r="GZ28" s="59">
        <f ca="1">AVERAGE(OFFSET($GY$3,0,0,'Données projet'!$E$18+1,1))-AVERAGE(OFFSET($H$3,0,0,'Données projet'!$E$18+1,1))</f>
        <v>180.68917161146683</v>
      </c>
      <c r="HA28" s="59">
        <f t="shared" si="52"/>
        <v>344.42126252322419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70.600429249830796</v>
      </c>
      <c r="HH28" s="21">
        <f>EXP(-LN(2)/25)*HH27+(1-EXP(-LN(2)/25))/(LN(2)/25)*Calculateur!HC28*Calculateur!HE28*VLOOKUP('Données projet'!$B$18,Paramètres!$A$1:$I$89,3,0)*0.475*44/12</f>
        <v>19.027521010777704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89.6279502606085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2.25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8.25</v>
      </c>
      <c r="H29" s="66">
        <f t="shared" si="1"/>
        <v>223.66666666666666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2.9235042736666665</v>
      </c>
      <c r="N29" s="13">
        <f>IF('Données projet'!$A$36&gt;35,N28+M29-V28,IF(A29&lt;'Données projet'!$A$36,$K$205^A29,IF(A29='Données projet'!$A$36,'Données projet'!$B$36,N28+M29-V28)))</f>
        <v>48.300874005334926</v>
      </c>
      <c r="O29" s="13">
        <f>N29*VLOOKUP('Données projet'!$B$9,Paramètres!$A$1:$I$89,3,0)*VLOOKUP('Données projet'!$B$9,Paramètres!$A$1:$I$89,5,0)</f>
        <v>43.702630800027038</v>
      </c>
      <c r="P29" s="13">
        <f t="shared" si="33"/>
        <v>12.974916263481436</v>
      </c>
      <c r="Q29" s="20">
        <f t="shared" si="2"/>
        <v>98.713394468943918</v>
      </c>
      <c r="R29" s="59">
        <f t="shared" si="0"/>
        <v>360.98686023552398</v>
      </c>
      <c r="S29" s="59">
        <f ca="1">AVERAGE(OFFSET($R$3,0,0,'Données projet'!$E$9+1,1))-AVERAGE(OFFSET($H$3,0,0,'Données projet'!$E$9+1,1))</f>
        <v>490.57849401500789</v>
      </c>
      <c r="T29" s="59">
        <f t="shared" si="34"/>
        <v>221.7570623669753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1.8914529913333333</v>
      </c>
      <c r="AI29" s="13">
        <f>IF('Données projet'!$A$62&gt;35,AI28+AH29-AQ28,IF(A29&lt;'Données projet'!$A$62,$AF$205^A29,IF(A29='Données projet'!$A$62,'Données projet'!$B$62,AI28+AH29-AQ28)))</f>
        <v>33.117781205223814</v>
      </c>
      <c r="AJ29" s="13">
        <f>AI29*VLOOKUP('Données projet'!$B$10,Paramètres!$A$1:$I$89,3,0)*VLOOKUP('Données projet'!$B$10,Paramètres!$A$1:$I$89,5,0)</f>
        <v>22.215407632464135</v>
      </c>
      <c r="AK29" s="13">
        <f t="shared" si="35"/>
        <v>7.136015627837887</v>
      </c>
      <c r="AL29" s="20">
        <f t="shared" si="4"/>
        <v>51.120395511692685</v>
      </c>
      <c r="AM29" s="59">
        <f t="shared" si="5"/>
        <v>313.39386127827271</v>
      </c>
      <c r="AN29" s="59">
        <f ca="1">AVERAGE(OFFSET($AM$3,0,0,'Données projet'!$E$10+1,1))-AVERAGE(OFFSET($H$3,0,0,'Données projet'!$E$10+1,1))</f>
        <v>377.00534440335832</v>
      </c>
      <c r="AO29" s="59">
        <f t="shared" si="36"/>
        <v>131.56029120000656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</v>
      </c>
      <c r="BD29" s="12">
        <f>IF('Données projet'!$A$88&gt;35,BD28+BC29-BL28,IF(A29&lt;'Données projet'!$A$88,$BA$205^A29,IF(A29='Données projet'!$A$88,'Données projet'!$B$88,BD28+BC29-BL28)))</f>
        <v>87</v>
      </c>
      <c r="BE29" s="13">
        <f>BD29*VLOOKUP('Données projet'!$B$11,Paramètres!$A$1:$I$89,3,0)*VLOOKUP('Données projet'!$B$11,Paramètres!$A$1:$I$89,5,0)</f>
        <v>76.003200000000007</v>
      </c>
      <c r="BF29" s="13">
        <f t="shared" si="37"/>
        <v>21.157049992000456</v>
      </c>
      <c r="BG29" s="20">
        <f t="shared" si="7"/>
        <v>169.22076873606747</v>
      </c>
      <c r="BH29" s="59">
        <f t="shared" si="8"/>
        <v>431.49423450264749</v>
      </c>
      <c r="BI29" s="59">
        <f ca="1">AVERAGE(OFFSET($BH$3,0,0,'Données projet'!$E$11+1,1))-AVERAGE(OFFSET($H$3,0,0,'Données projet'!$E$11+1,1))</f>
        <v>314.1123649635374</v>
      </c>
      <c r="BJ29" s="59">
        <f t="shared" si="38"/>
        <v>274.92342227914889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437.13871416159384</v>
      </c>
      <c r="CD29" s="59">
        <f ca="1">AVERAGE(OFFSET($CC$3,0,0,'Données projet'!$E$12+1,1))-AVERAGE(OFFSET($H$3,0,0,'Données projet'!$E$12+1,1))</f>
        <v>309.86296291630748</v>
      </c>
      <c r="CE29" s="59">
        <f t="shared" si="40"/>
        <v>301.17633325088661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9.4</v>
      </c>
      <c r="CT29" s="12">
        <f>IF('Données projet'!$A$140&gt;35,CT28+CS29-DB28,IF(A29&lt;'Données projet'!$A$140,$CQ$205^A29,IF(A29='Données projet'!$A$140,'Données projet'!$B$140,CT28+CS29-DB28)))</f>
        <v>78.399999999999991</v>
      </c>
      <c r="CU29" s="17">
        <f>CT29*VLOOKUP('Données projet'!$B$13,Paramètres!$A$1:$I$89,3,0)*VLOOKUP('Données projet'!$B$13,Paramètres!$A$1:$I$89,5,0)</f>
        <v>67.267200000000003</v>
      </c>
      <c r="CV29" s="13">
        <f t="shared" si="41"/>
        <v>18.993242158132926</v>
      </c>
      <c r="CW29" s="20">
        <f t="shared" si="13"/>
        <v>150.23693675874819</v>
      </c>
      <c r="CX29" s="59">
        <f t="shared" si="14"/>
        <v>412.51040252532823</v>
      </c>
      <c r="CY29" s="59">
        <f ca="1">AVERAGE(OFFSET($CX$3,0,0,'Données projet'!$E$13+1,1))-AVERAGE(OFFSET($H$3,0,0,'Données projet'!$E$13+1,1))</f>
        <v>462.66388549889928</v>
      </c>
      <c r="CZ29" s="59">
        <f t="shared" si="42"/>
        <v>265.3725203415089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7.3717948716666664</v>
      </c>
      <c r="DO29" s="12">
        <f>IF('Données projet'!$A$166&gt;35,DO28+DN29-DW28,IF(A29&lt;'Données projet'!$A$166,$DL$205^A29,IF(A29='Données projet'!$A$166,'Données projet'!$B$166,DO28+DN29-DW28)))</f>
        <v>62.50000000166667</v>
      </c>
      <c r="DP29" s="17">
        <f>DO29*VLOOKUP('Données projet'!$B$14,Paramètres!$A$1:$I$89,3,0)*VLOOKUP('Données projet'!$B$14,Paramètres!$A$1:$I$89,5,0)</f>
        <v>48.750000001300002</v>
      </c>
      <c r="DQ29" s="13">
        <f t="shared" si="43"/>
        <v>14.290467584211772</v>
      </c>
      <c r="DR29" s="20">
        <f t="shared" si="16"/>
        <v>109.79548104476635</v>
      </c>
      <c r="DS29" s="59">
        <f t="shared" si="17"/>
        <v>372.06894681134639</v>
      </c>
      <c r="DT29" s="59">
        <f ca="1">AVERAGE(OFFSET($DS$3,0,0,'Données projet'!$E$14+1,1))-AVERAGE(OFFSET($H$3,0,0,'Données projet'!$E$14+1,1))</f>
        <v>206.5241977687125</v>
      </c>
      <c r="DU29" s="59">
        <f t="shared" si="44"/>
        <v>205.25001043771269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7.4</v>
      </c>
      <c r="EJ29" s="12">
        <f>IF('Données projet'!$A$192&gt;35,EJ28+EI29-ER28,IF(A29&lt;'Données projet'!$A$192,$EG$205^A29,IF(A29='Données projet'!$A$192,'Données projet'!$B$192,EJ28+EI29-ER28)))</f>
        <v>46.400000000000006</v>
      </c>
      <c r="EK29" s="17">
        <f>EJ29*VLOOKUP('Données projet'!$B$15,Paramètres!$A$1:$I$89,3,0)*VLOOKUP('Données projet'!$B$15,Paramètres!$A$1:$I$89,5,0)</f>
        <v>40.535040000000009</v>
      </c>
      <c r="EL29" s="13">
        <f t="shared" si="45"/>
        <v>12.140349464730924</v>
      </c>
      <c r="EM29" s="20">
        <f t="shared" si="19"/>
        <v>91.742969984406372</v>
      </c>
      <c r="EN29" s="59">
        <f t="shared" si="20"/>
        <v>354.01643575098643</v>
      </c>
      <c r="EO29" s="59">
        <f ca="1">AVERAGE(OFFSET($EN$3,0,0,'Données projet'!$E$15+1,1))-AVERAGE(OFFSET($H$3,0,0,'Données projet'!$E$15+1,1))</f>
        <v>205.83135724908942</v>
      </c>
      <c r="EP29" s="59">
        <f t="shared" si="46"/>
        <v>193.60053377311405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7.8</v>
      </c>
      <c r="FE29" s="12">
        <f>IF('Données projet'!$A$218&gt;35,FE28+FD29-FM28,IF(A29&lt;'Données projet'!$A$218,$FB$205^A29,IF(A29='Données projet'!$A$218,'Données projet'!$B$218,FE28+FD29-FM28)))</f>
        <v>105.80000000000003</v>
      </c>
      <c r="FF29" s="17">
        <f>FE29*VLOOKUP('Données projet'!$B$16,Paramètres!$A$1:$I$89,3,0)*VLOOKUP('Données projet'!$B$16,Paramètres!$A$1:$I$89,5,0)</f>
        <v>69.320160000000016</v>
      </c>
      <c r="FG29" s="13">
        <f t="shared" si="47"/>
        <v>19.50453356393022</v>
      </c>
      <c r="FH29" s="20">
        <f t="shared" si="22"/>
        <v>154.70300795717847</v>
      </c>
      <c r="FI29" s="59">
        <f t="shared" si="23"/>
        <v>416.97647372375855</v>
      </c>
      <c r="FJ29" s="59">
        <f ca="1">AVERAGE(OFFSET($FI$3,0,0,'Données projet'!$E$16+1,1))-AVERAGE(OFFSET($H$3,0,0,'Données projet'!$E$16+1,1))</f>
        <v>242.76791261317206</v>
      </c>
      <c r="FK29" s="59">
        <f t="shared" si="48"/>
        <v>244.28580264867682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2.9235042736666665</v>
      </c>
      <c r="FZ29" s="12">
        <f>IF('Données projet'!$A$244&gt;35,FZ28+FY29-GH28,IF(A29&lt;'Données projet'!$A$244,$FW$205^A29,IF(A29='Données projet'!$A$244,'Données projet'!$B$244,FZ28+FY29-GH28)))</f>
        <v>48.300874005334926</v>
      </c>
      <c r="GA29" s="17">
        <f>FZ29*VLOOKUP('Données projet'!$B$17,Paramètres!$A$1:$I$89,3,0)*VLOOKUP('Données projet'!$B$17,Paramètres!$A$1:$I$89,5,0)</f>
        <v>45.963111703476713</v>
      </c>
      <c r="GB29" s="13">
        <f t="shared" si="49"/>
        <v>13.566162997695264</v>
      </c>
      <c r="GC29" s="20">
        <f t="shared" si="25"/>
        <v>103.68015343787452</v>
      </c>
      <c r="GD29" s="59">
        <f t="shared" si="26"/>
        <v>365.95361920445458</v>
      </c>
      <c r="GE29" s="59">
        <f ca="1">AVERAGE(OFFSET($GD$3,0,0,'Données projet'!$E$17+1,1))-AVERAGE(OFFSET($H$3,0,0,'Données projet'!$E$17+1,1))</f>
        <v>512.71941256120977</v>
      </c>
      <c r="GF29" s="59">
        <f t="shared" si="50"/>
        <v>230.65031527019354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62.862460360582432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-5.6843418860808015E-14</v>
      </c>
      <c r="GV29" s="17">
        <f>GU29*VLOOKUP('Données projet'!$B$18,Paramètres!$A$1:$I$89,3,0)*VLOOKUP('Données projet'!$B$18,Paramètres!$A$1:$I$89,5,0)</f>
        <v>-2.5006556825246661E-14</v>
      </c>
      <c r="GW29" s="13" t="e">
        <f t="shared" si="51"/>
        <v>#NUM!</v>
      </c>
      <c r="GX29" s="20" t="e">
        <f t="shared" si="28"/>
        <v>#NUM!</v>
      </c>
      <c r="GY29" s="59" t="e">
        <f t="shared" si="29"/>
        <v>#NUM!</v>
      </c>
      <c r="GZ29" s="59">
        <f ca="1">AVERAGE(OFFSET($GY$3,0,0,'Données projet'!$E$18+1,1))-AVERAGE(OFFSET($H$3,0,0,'Données projet'!$E$18+1,1))</f>
        <v>180.68917161146683</v>
      </c>
      <c r="HA29" s="59">
        <f t="shared" si="52"/>
        <v>344.42126252322419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69.21599789425143</v>
      </c>
      <c r="HH29" s="21">
        <f>EXP(-LN(2)/25)*HH28+(1-EXP(-LN(2)/25))/(LN(2)/25)*Calculateur!HC29*Calculateur!HE29*VLOOKUP('Données projet'!$B$18,Paramètres!$A$1:$I$89,3,0)*0.475*44/12</f>
        <v>18.507212448124147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87.72321034237558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2.25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8.25</v>
      </c>
      <c r="H30" s="66">
        <f t="shared" si="1"/>
        <v>223.66666666666666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2.9235042736666665</v>
      </c>
      <c r="N30" s="13">
        <f>IF('Données projet'!$A$36&gt;35,N29+M30-V29,IF(A30&lt;'Données projet'!$A$36,$K$205^A30,IF(A30='Données projet'!$A$36,'Données projet'!$B$36,N29+M30-V29)))</f>
        <v>56.068958497013391</v>
      </c>
      <c r="O30" s="13">
        <f>N30*VLOOKUP('Données projet'!$B$9,Paramètres!$A$1:$I$89,3,0)*VLOOKUP('Données projet'!$B$9,Paramètres!$A$1:$I$89,5,0)</f>
        <v>50.731193648097708</v>
      </c>
      <c r="P30" s="13">
        <f t="shared" si="33"/>
        <v>14.80243376122244</v>
      </c>
      <c r="Q30" s="20">
        <f t="shared" si="2"/>
        <v>114.13773440456593</v>
      </c>
      <c r="R30" s="59">
        <f t="shared" si="0"/>
        <v>378.08743036388614</v>
      </c>
      <c r="S30" s="59">
        <f ca="1">AVERAGE(OFFSET($R$3,0,0,'Données projet'!$E$9+1,1))-AVERAGE(OFFSET($H$3,0,0,'Données projet'!$E$9+1,1))</f>
        <v>490.57849401500789</v>
      </c>
      <c r="T30" s="59">
        <f t="shared" si="34"/>
        <v>221.7570623669753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1.8914529913333333</v>
      </c>
      <c r="AI30" s="13">
        <f>IF('Données projet'!$A$62&gt;35,AI29+AH30-AQ29,IF(A30&lt;'Données projet'!$A$62,$AF$205^A30,IF(A30='Données projet'!$A$62,'Données projet'!$B$62,AI29+AH30-AQ29)))</f>
        <v>37.890045446877714</v>
      </c>
      <c r="AJ30" s="13">
        <f>AI30*VLOOKUP('Données projet'!$B$10,Paramètres!$A$1:$I$89,3,0)*VLOOKUP('Données projet'!$B$10,Paramètres!$A$1:$I$89,5,0)</f>
        <v>25.416642485765571</v>
      </c>
      <c r="AK30" s="13">
        <f t="shared" si="35"/>
        <v>8.0373797587289779</v>
      </c>
      <c r="AL30" s="20">
        <f t="shared" si="4"/>
        <v>58.265755409161351</v>
      </c>
      <c r="AM30" s="59">
        <f t="shared" si="5"/>
        <v>322.21545136848152</v>
      </c>
      <c r="AN30" s="59">
        <f ca="1">AVERAGE(OFFSET($AM$3,0,0,'Données projet'!$E$10+1,1))-AVERAGE(OFFSET($H$3,0,0,'Données projet'!$E$10+1,1))</f>
        <v>377.00534440335832</v>
      </c>
      <c r="AO30" s="59">
        <f t="shared" si="36"/>
        <v>131.56029120000656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</v>
      </c>
      <c r="BD30" s="12">
        <f>IF('Données projet'!$A$88&gt;35,BD29+BC30-BL29,IF(A30&lt;'Données projet'!$A$88,$BA$205^A30,IF(A30='Données projet'!$A$88,'Données projet'!$B$88,BD29+BC30-BL29)))</f>
        <v>95</v>
      </c>
      <c r="BE30" s="13">
        <f>BD30*VLOOKUP('Données projet'!$B$11,Paramètres!$A$1:$I$89,3,0)*VLOOKUP('Données projet'!$B$11,Paramètres!$A$1:$I$89,5,0)</f>
        <v>82.992000000000004</v>
      </c>
      <c r="BF30" s="13">
        <f t="shared" si="37"/>
        <v>22.867173045817324</v>
      </c>
      <c r="BG30" s="20">
        <f t="shared" si="7"/>
        <v>184.37139305479852</v>
      </c>
      <c r="BH30" s="59">
        <f t="shared" si="8"/>
        <v>448.32108901411868</v>
      </c>
      <c r="BI30" s="59">
        <f ca="1">AVERAGE(OFFSET($BH$3,0,0,'Données projet'!$E$11+1,1))-AVERAGE(OFFSET($H$3,0,0,'Données projet'!$E$11+1,1))</f>
        <v>314.1123649635374</v>
      </c>
      <c r="BJ30" s="59">
        <f t="shared" si="38"/>
        <v>274.92342227914889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459.14524331541929</v>
      </c>
      <c r="CD30" s="59">
        <f ca="1">AVERAGE(OFFSET($CC$3,0,0,'Données projet'!$E$12+1,1))-AVERAGE(OFFSET($H$3,0,0,'Données projet'!$E$12+1,1))</f>
        <v>309.86296291630748</v>
      </c>
      <c r="CE30" s="59">
        <f t="shared" si="40"/>
        <v>301.17633325088661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9.4</v>
      </c>
      <c r="CT30" s="12">
        <f>IF('Données projet'!$A$140&gt;35,CT29+CS30-DB29,IF(A30&lt;'Données projet'!$A$140,$CQ$205^A30,IF(A30='Données projet'!$A$140,'Données projet'!$B$140,CT29+CS30-DB29)))</f>
        <v>87.8</v>
      </c>
      <c r="CU30" s="17">
        <f>CT30*VLOOKUP('Données projet'!$B$13,Paramètres!$A$1:$I$89,3,0)*VLOOKUP('Données projet'!$B$13,Paramètres!$A$1:$I$89,5,0)</f>
        <v>75.332400000000007</v>
      </c>
      <c r="CV30" s="13">
        <f t="shared" si="41"/>
        <v>20.991969498724234</v>
      </c>
      <c r="CW30" s="20">
        <f t="shared" si="13"/>
        <v>167.76494354361137</v>
      </c>
      <c r="CX30" s="59">
        <f t="shared" si="14"/>
        <v>431.71463950293156</v>
      </c>
      <c r="CY30" s="59">
        <f ca="1">AVERAGE(OFFSET($CX$3,0,0,'Données projet'!$E$13+1,1))-AVERAGE(OFFSET($H$3,0,0,'Données projet'!$E$13+1,1))</f>
        <v>462.66388549889928</v>
      </c>
      <c r="CZ30" s="59">
        <f t="shared" si="42"/>
        <v>265.3725203415089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7.3717948716666664</v>
      </c>
      <c r="DO30" s="12">
        <f>IF('Données projet'!$A$166&gt;35,DO29+DN30-DW29,IF(A30&lt;'Données projet'!$A$166,$DL$205^A30,IF(A30='Données projet'!$A$166,'Données projet'!$B$166,DO29+DN30-DW29)))</f>
        <v>69.871794873333343</v>
      </c>
      <c r="DP30" s="17">
        <f>DO30*VLOOKUP('Données projet'!$B$14,Paramètres!$A$1:$I$89,3,0)*VLOOKUP('Données projet'!$B$14,Paramètres!$A$1:$I$89,5,0)</f>
        <v>54.500000001200007</v>
      </c>
      <c r="DQ30" s="13">
        <f t="shared" si="43"/>
        <v>15.770011654655841</v>
      </c>
      <c r="DR30" s="20">
        <f t="shared" si="16"/>
        <v>122.38693696728227</v>
      </c>
      <c r="DS30" s="59">
        <f t="shared" si="17"/>
        <v>386.33663292660248</v>
      </c>
      <c r="DT30" s="59">
        <f ca="1">AVERAGE(OFFSET($DS$3,0,0,'Données projet'!$E$14+1,1))-AVERAGE(OFFSET($H$3,0,0,'Données projet'!$E$14+1,1))</f>
        <v>206.5241977687125</v>
      </c>
      <c r="DU30" s="59">
        <f t="shared" si="44"/>
        <v>205.25001043771269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7.4</v>
      </c>
      <c r="EJ30" s="12">
        <f>IF('Données projet'!$A$192&gt;35,EJ29+EI30-ER29,IF(A30&lt;'Données projet'!$A$192,$EG$205^A30,IF(A30='Données projet'!$A$192,'Données projet'!$B$192,EJ29+EI30-ER29)))</f>
        <v>53.800000000000004</v>
      </c>
      <c r="EK30" s="17">
        <f>EJ30*VLOOKUP('Données projet'!$B$15,Paramètres!$A$1:$I$89,3,0)*VLOOKUP('Données projet'!$B$15,Paramètres!$A$1:$I$89,5,0)</f>
        <v>46.999680000000005</v>
      </c>
      <c r="EL30" s="13">
        <f t="shared" si="45"/>
        <v>13.836145469363998</v>
      </c>
      <c r="EM30" s="20">
        <f t="shared" si="19"/>
        <v>105.9557293591423</v>
      </c>
      <c r="EN30" s="59">
        <f t="shared" si="20"/>
        <v>369.90542531846251</v>
      </c>
      <c r="EO30" s="59">
        <f ca="1">AVERAGE(OFFSET($EN$3,0,0,'Données projet'!$E$15+1,1))-AVERAGE(OFFSET($H$3,0,0,'Données projet'!$E$15+1,1))</f>
        <v>205.83135724908942</v>
      </c>
      <c r="EP30" s="59">
        <f t="shared" si="46"/>
        <v>193.60053377311405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7.8</v>
      </c>
      <c r="FE30" s="12">
        <f>IF('Données projet'!$A$218&gt;35,FE29+FD30-FM29,IF(A30&lt;'Données projet'!$A$218,$FB$205^A30,IF(A30='Données projet'!$A$218,'Données projet'!$B$218,FE29+FD30-FM29)))</f>
        <v>113.60000000000002</v>
      </c>
      <c r="FF30" s="17">
        <f>FE30*VLOOKUP('Données projet'!$B$16,Paramètres!$A$1:$I$89,3,0)*VLOOKUP('Données projet'!$B$16,Paramètres!$A$1:$I$89,5,0)</f>
        <v>74.430720000000022</v>
      </c>
      <c r="FG30" s="13">
        <f t="shared" si="47"/>
        <v>20.76980057385482</v>
      </c>
      <c r="FH30" s="20">
        <f t="shared" si="22"/>
        <v>165.80757333279718</v>
      </c>
      <c r="FI30" s="59">
        <f t="shared" si="23"/>
        <v>429.75726929211737</v>
      </c>
      <c r="FJ30" s="59">
        <f ca="1">AVERAGE(OFFSET($FI$3,0,0,'Données projet'!$E$16+1,1))-AVERAGE(OFFSET($H$3,0,0,'Données projet'!$E$16+1,1))</f>
        <v>242.76791261317206</v>
      </c>
      <c r="FK30" s="59">
        <f t="shared" si="48"/>
        <v>244.28580264867682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2.9235042736666665</v>
      </c>
      <c r="FZ30" s="12">
        <f>IF('Données projet'!$A$244&gt;35,FZ29+FY30-GH29,IF(A30&lt;'Données projet'!$A$244,$FW$205^A30,IF(A30='Données projet'!$A$244,'Données projet'!$B$244,FZ29+FY30-GH29)))</f>
        <v>56.068958497013391</v>
      </c>
      <c r="GA30" s="17">
        <f>FZ30*VLOOKUP('Données projet'!$B$17,Paramètres!$A$1:$I$89,3,0)*VLOOKUP('Données projet'!$B$17,Paramètres!$A$1:$I$89,5,0)</f>
        <v>53.355220905757939</v>
      </c>
      <c r="GB30" s="13">
        <f t="shared" si="49"/>
        <v>15.476957622649733</v>
      </c>
      <c r="GC30" s="20">
        <f t="shared" si="25"/>
        <v>119.88271093697669</v>
      </c>
      <c r="GD30" s="59">
        <f t="shared" si="26"/>
        <v>383.8324068962969</v>
      </c>
      <c r="GE30" s="59">
        <f ca="1">AVERAGE(OFFSET($GD$3,0,0,'Données projet'!$E$17+1,1))-AVERAGE(OFFSET($H$3,0,0,'Données projet'!$E$17+1,1))</f>
        <v>512.71941256120977</v>
      </c>
      <c r="GF30" s="59">
        <f t="shared" si="50"/>
        <v>230.65031527019354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62.98628071617825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-5.6843418860808015E-14</v>
      </c>
      <c r="GV30" s="17">
        <f>GU30*VLOOKUP('Données projet'!$B$18,Paramètres!$A$1:$I$89,3,0)*VLOOKUP('Données projet'!$B$18,Paramètres!$A$1:$I$89,5,0)</f>
        <v>-2.5006556825246661E-14</v>
      </c>
      <c r="GW30" s="13" t="e">
        <f t="shared" si="51"/>
        <v>#NUM!</v>
      </c>
      <c r="GX30" s="20" t="e">
        <f t="shared" si="28"/>
        <v>#NUM!</v>
      </c>
      <c r="GY30" s="59" t="e">
        <f t="shared" si="29"/>
        <v>#NUM!</v>
      </c>
      <c r="GZ30" s="59">
        <f ca="1">AVERAGE(OFFSET($GY$3,0,0,'Données projet'!$E$18+1,1))-AVERAGE(OFFSET($H$3,0,0,'Données projet'!$E$18+1,1))</f>
        <v>180.68917161146683</v>
      </c>
      <c r="HA30" s="59">
        <f t="shared" si="52"/>
        <v>344.42126252322419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67.85871439313523</v>
      </c>
      <c r="HH30" s="21">
        <f>EXP(-LN(2)/25)*HH29+(1-EXP(-LN(2)/25))/(LN(2)/25)*Calculateur!HC30*Calculateur!HE30*VLOOKUP('Données projet'!$B$18,Paramètres!$A$1:$I$89,3,0)*0.475*44/12</f>
        <v>18.001131750478187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85.859846143613424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2.25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8.25</v>
      </c>
      <c r="H31" s="66">
        <f t="shared" si="1"/>
        <v>223.66666666666666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2.9235042736666665</v>
      </c>
      <c r="N31" s="13">
        <f>IF('Données projet'!$A$36&gt;35,N30+M31-V30,IF(A31&lt;'Données projet'!$A$36,$K$205^A31,IF(A31='Données projet'!$A$36,'Données projet'!$B$36,N30+M31-V30)))</f>
        <v>65.086360685576395</v>
      </c>
      <c r="O31" s="13">
        <f>N31*VLOOKUP('Données projet'!$B$9,Paramètres!$A$1:$I$89,3,0)*VLOOKUP('Données projet'!$B$9,Paramètres!$A$1:$I$89,5,0)</f>
        <v>58.890139148309522</v>
      </c>
      <c r="P31" s="13">
        <f t="shared" si="33"/>
        <v>16.887357174865162</v>
      </c>
      <c r="Q31" s="20">
        <f t="shared" si="2"/>
        <v>131.97913942952923</v>
      </c>
      <c r="R31" s="59">
        <f t="shared" si="0"/>
        <v>397.5971895583109</v>
      </c>
      <c r="S31" s="59">
        <f ca="1">AVERAGE(OFFSET($R$3,0,0,'Données projet'!$E$9+1,1))-AVERAGE(OFFSET($H$3,0,0,'Données projet'!$E$9+1,1))</f>
        <v>490.57849401500789</v>
      </c>
      <c r="T31" s="59">
        <f t="shared" si="34"/>
        <v>221.7570623669753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1.8914529913333333</v>
      </c>
      <c r="AI31" s="13">
        <f>IF('Données projet'!$A$62&gt;35,AI30+AH31-AQ30,IF(A31&lt;'Données projet'!$A$62,$AF$205^A31,IF(A31='Données projet'!$A$62,'Données projet'!$B$62,AI30+AH31-AQ30)))</f>
        <v>43.349991808630179</v>
      </c>
      <c r="AJ31" s="13">
        <f>AI31*VLOOKUP('Données projet'!$B$10,Paramètres!$A$1:$I$89,3,0)*VLOOKUP('Données projet'!$B$10,Paramètres!$A$1:$I$89,5,0)</f>
        <v>29.079174505229123</v>
      </c>
      <c r="AK31" s="13">
        <f t="shared" si="35"/>
        <v>9.0525969609737285</v>
      </c>
      <c r="AL31" s="20">
        <f t="shared" si="4"/>
        <v>66.412835303636626</v>
      </c>
      <c r="AM31" s="59">
        <f t="shared" si="5"/>
        <v>332.03088543241836</v>
      </c>
      <c r="AN31" s="59">
        <f ca="1">AVERAGE(OFFSET($AM$3,0,0,'Données projet'!$E$10+1,1))-AVERAGE(OFFSET($H$3,0,0,'Données projet'!$E$10+1,1))</f>
        <v>377.00534440335832</v>
      </c>
      <c r="AO31" s="59">
        <f t="shared" si="36"/>
        <v>131.56029120000656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</v>
      </c>
      <c r="BD31" s="12">
        <f>IF('Données projet'!$A$88&gt;35,BD30+BC31-BL30,IF(A31&lt;'Données projet'!$A$88,$BA$205^A31,IF(A31='Données projet'!$A$88,'Données projet'!$B$88,BD30+BC31-BL30)))</f>
        <v>103</v>
      </c>
      <c r="BE31" s="13">
        <f>BD31*VLOOKUP('Données projet'!$B$11,Paramètres!$A$1:$I$89,3,0)*VLOOKUP('Données projet'!$B$11,Paramètres!$A$1:$I$89,5,0)</f>
        <v>89.980800000000016</v>
      </c>
      <c r="BF31" s="13">
        <f t="shared" si="37"/>
        <v>24.560594358746648</v>
      </c>
      <c r="BG31" s="20">
        <f t="shared" si="7"/>
        <v>199.49292850815041</v>
      </c>
      <c r="BH31" s="59">
        <f t="shared" si="8"/>
        <v>465.11097863693215</v>
      </c>
      <c r="BI31" s="59">
        <f ca="1">AVERAGE(OFFSET($BH$3,0,0,'Données projet'!$E$11+1,1))-AVERAGE(OFFSET($H$3,0,0,'Données projet'!$E$11+1,1))</f>
        <v>314.1123649635374</v>
      </c>
      <c r="BJ31" s="59">
        <f t="shared" si="38"/>
        <v>274.92342227914889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481.09468427587365</v>
      </c>
      <c r="CD31" s="59">
        <f ca="1">AVERAGE(OFFSET($CC$3,0,0,'Données projet'!$E$12+1,1))-AVERAGE(OFFSET($H$3,0,0,'Données projet'!$E$12+1,1))</f>
        <v>309.86296291630748</v>
      </c>
      <c r="CE31" s="59">
        <f t="shared" si="40"/>
        <v>301.17633325088661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9.4</v>
      </c>
      <c r="CT31" s="12">
        <f>IF('Données projet'!$A$140&gt;35,CT30+CS31-DB30,IF(A31&lt;'Données projet'!$A$140,$CQ$205^A31,IF(A31='Données projet'!$A$140,'Données projet'!$B$140,CT30+CS31-DB30)))</f>
        <v>97.2</v>
      </c>
      <c r="CU31" s="17">
        <f>CT31*VLOOKUP('Données projet'!$B$13,Paramètres!$A$1:$I$89,3,0)*VLOOKUP('Données projet'!$B$13,Paramètres!$A$1:$I$89,5,0)</f>
        <v>83.397600000000011</v>
      </c>
      <c r="CV31" s="13">
        <f t="shared" si="41"/>
        <v>22.965893371329315</v>
      </c>
      <c r="CW31" s="20">
        <f t="shared" si="13"/>
        <v>185.24975095506522</v>
      </c>
      <c r="CX31" s="59">
        <f t="shared" si="14"/>
        <v>450.86780108384693</v>
      </c>
      <c r="CY31" s="59">
        <f ca="1">AVERAGE(OFFSET($CX$3,0,0,'Données projet'!$E$13+1,1))-AVERAGE(OFFSET($H$3,0,0,'Données projet'!$E$13+1,1))</f>
        <v>462.66388549889928</v>
      </c>
      <c r="CZ31" s="59">
        <f t="shared" si="42"/>
        <v>265.3725203415089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7.3717948716666664</v>
      </c>
      <c r="DO31" s="12">
        <f>IF('Données projet'!$A$166&gt;35,DO30+DN31-DW30,IF(A31&lt;'Données projet'!$A$166,$DL$205^A31,IF(A31='Données projet'!$A$166,'Données projet'!$B$166,DO30+DN31-DW30)))</f>
        <v>77.243589745000008</v>
      </c>
      <c r="DP31" s="17">
        <f>DO31*VLOOKUP('Données projet'!$B$14,Paramètres!$A$1:$I$89,3,0)*VLOOKUP('Données projet'!$B$14,Paramètres!$A$1:$I$89,5,0)</f>
        <v>60.250000001100005</v>
      </c>
      <c r="DQ31" s="13">
        <f t="shared" si="43"/>
        <v>17.231461552335357</v>
      </c>
      <c r="DR31" s="20">
        <f t="shared" si="16"/>
        <v>134.94687887223327</v>
      </c>
      <c r="DS31" s="59">
        <f t="shared" si="17"/>
        <v>400.564929001015</v>
      </c>
      <c r="DT31" s="59">
        <f ca="1">AVERAGE(OFFSET($DS$3,0,0,'Données projet'!$E$14+1,1))-AVERAGE(OFFSET($H$3,0,0,'Données projet'!$E$14+1,1))</f>
        <v>206.5241977687125</v>
      </c>
      <c r="DU31" s="59">
        <f t="shared" si="44"/>
        <v>205.25001043771269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7.4</v>
      </c>
      <c r="EJ31" s="12">
        <f>IF('Données projet'!$A$192&gt;35,EJ30+EI31-ER30,IF(A31&lt;'Données projet'!$A$192,$EG$205^A31,IF(A31='Données projet'!$A$192,'Données projet'!$B$192,EJ30+EI31-ER30)))</f>
        <v>61.2</v>
      </c>
      <c r="EK31" s="17">
        <f>EJ31*VLOOKUP('Données projet'!$B$15,Paramètres!$A$1:$I$89,3,0)*VLOOKUP('Données projet'!$B$15,Paramètres!$A$1:$I$89,5,0)</f>
        <v>53.464320000000008</v>
      </c>
      <c r="EL31" s="13">
        <f t="shared" si="45"/>
        <v>15.504917410776137</v>
      </c>
      <c r="EM31" s="20">
        <f t="shared" si="19"/>
        <v>120.12142182376846</v>
      </c>
      <c r="EN31" s="59">
        <f t="shared" si="20"/>
        <v>385.73947195255016</v>
      </c>
      <c r="EO31" s="59">
        <f ca="1">AVERAGE(OFFSET($EN$3,0,0,'Données projet'!$E$15+1,1))-AVERAGE(OFFSET($H$3,0,0,'Données projet'!$E$15+1,1))</f>
        <v>205.83135724908942</v>
      </c>
      <c r="EP31" s="59">
        <f t="shared" si="46"/>
        <v>193.60053377311405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7.8</v>
      </c>
      <c r="FE31" s="12">
        <f>IF('Données projet'!$A$218&gt;35,FE30+FD31-FM30,IF(A31&lt;'Données projet'!$A$218,$FB$205^A31,IF(A31='Données projet'!$A$218,'Données projet'!$B$218,FE30+FD31-FM30)))</f>
        <v>121.40000000000002</v>
      </c>
      <c r="FF31" s="17">
        <f>FE31*VLOOKUP('Données projet'!$B$16,Paramètres!$A$1:$I$89,3,0)*VLOOKUP('Données projet'!$B$16,Paramètres!$A$1:$I$89,5,0)</f>
        <v>79.541280000000015</v>
      </c>
      <c r="FG31" s="13">
        <f t="shared" si="47"/>
        <v>22.024987194093406</v>
      </c>
      <c r="FH31" s="20">
        <f t="shared" si="22"/>
        <v>176.89458202971272</v>
      </c>
      <c r="FI31" s="59">
        <f t="shared" si="23"/>
        <v>442.5126321584944</v>
      </c>
      <c r="FJ31" s="59">
        <f ca="1">AVERAGE(OFFSET($FI$3,0,0,'Données projet'!$E$16+1,1))-AVERAGE(OFFSET($H$3,0,0,'Données projet'!$E$16+1,1))</f>
        <v>242.76791261317206</v>
      </c>
      <c r="FK31" s="59">
        <f t="shared" si="48"/>
        <v>244.28580264867682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2.9235042736666665</v>
      </c>
      <c r="FZ31" s="12">
        <f>IF('Données projet'!$A$244&gt;35,FZ30+FY31-GH30,IF(A31&lt;'Données projet'!$A$244,$FW$205^A31,IF(A31='Données projet'!$A$244,'Données projet'!$B$244,FZ30+FY31-GH30)))</f>
        <v>65.086360685576395</v>
      </c>
      <c r="GA31" s="17">
        <f>FZ31*VLOOKUP('Données projet'!$B$17,Paramètres!$A$1:$I$89,3,0)*VLOOKUP('Données projet'!$B$17,Paramètres!$A$1:$I$89,5,0)</f>
        <v>61.936180828394491</v>
      </c>
      <c r="GB31" s="13">
        <f t="shared" si="49"/>
        <v>17.656887750352848</v>
      </c>
      <c r="GC31" s="20">
        <f t="shared" si="25"/>
        <v>138.62459444131827</v>
      </c>
      <c r="GD31" s="59">
        <f t="shared" si="26"/>
        <v>404.24264457009997</v>
      </c>
      <c r="GE31" s="59">
        <f ca="1">AVERAGE(OFFSET($GD$3,0,0,'Données projet'!$E$17+1,1))-AVERAGE(OFFSET($H$3,0,0,'Données projet'!$E$17+1,1))</f>
        <v>512.71941256120977</v>
      </c>
      <c r="GF31" s="59">
        <f t="shared" si="50"/>
        <v>230.65031527019354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63.10795306542532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-5.6843418860808015E-14</v>
      </c>
      <c r="GV31" s="17">
        <f>GU31*VLOOKUP('Données projet'!$B$18,Paramètres!$A$1:$I$89,3,0)*VLOOKUP('Données projet'!$B$18,Paramètres!$A$1:$I$89,5,0)</f>
        <v>-2.5006556825246661E-14</v>
      </c>
      <c r="GW31" s="13" t="e">
        <f t="shared" si="51"/>
        <v>#NUM!</v>
      </c>
      <c r="GX31" s="20" t="e">
        <f t="shared" si="28"/>
        <v>#NUM!</v>
      </c>
      <c r="GY31" s="59" t="e">
        <f t="shared" si="29"/>
        <v>#NUM!</v>
      </c>
      <c r="GZ31" s="59">
        <f ca="1">AVERAGE(OFFSET($GY$3,0,0,'Données projet'!$E$18+1,1))-AVERAGE(OFFSET($H$3,0,0,'Données projet'!$E$18+1,1))</f>
        <v>180.68917161146683</v>
      </c>
      <c r="HA31" s="59">
        <f t="shared" si="52"/>
        <v>344.42126252322419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66.52804639361473</v>
      </c>
      <c r="HH31" s="21">
        <f>EXP(-LN(2)/25)*HH30+(1-EXP(-LN(2)/25))/(LN(2)/25)*Calculateur!HC31*Calculateur!HE31*VLOOKUP('Données projet'!$B$18,Paramètres!$A$1:$I$89,3,0)*0.475*44/12</f>
        <v>17.508889856122984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84.036936249737721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2.25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8.25</v>
      </c>
      <c r="H32" s="66">
        <f t="shared" si="1"/>
        <v>223.66666666666666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2.9235042736666665</v>
      </c>
      <c r="N32" s="13">
        <f>IF('Données projet'!$A$36&gt;35,N31+M32-V31,IF(A32&lt;'Données projet'!$A$36,$K$205^A32,IF(A32='Données projet'!$A$36,'Données projet'!$B$36,N31+M32-V31)))</f>
        <v>75.554004583812542</v>
      </c>
      <c r="O32" s="13">
        <f>N32*VLOOKUP('Données projet'!$B$9,Paramètres!$A$1:$I$89,3,0)*VLOOKUP('Données projet'!$B$9,Paramètres!$A$1:$I$89,5,0)</f>
        <v>68.361263347433592</v>
      </c>
      <c r="P32" s="13">
        <f t="shared" si="33"/>
        <v>19.265942138417536</v>
      </c>
      <c r="Q32" s="20">
        <f t="shared" si="2"/>
        <v>152.61738288785739</v>
      </c>
      <c r="R32" s="59">
        <f t="shared" si="0"/>
        <v>419.89604779421762</v>
      </c>
      <c r="S32" s="59">
        <f ca="1">AVERAGE(OFFSET($R$3,0,0,'Données projet'!$E$9+1,1))-AVERAGE(OFFSET($H$3,0,0,'Données projet'!$E$9+1,1))</f>
        <v>490.57849401500789</v>
      </c>
      <c r="T32" s="59">
        <f t="shared" si="34"/>
        <v>221.7570623669753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1.8914529913333333</v>
      </c>
      <c r="AI32" s="13">
        <f>IF('Données projet'!$A$62&gt;35,AI31+AH32-AQ31,IF(A32&lt;'Données projet'!$A$62,$AF$205^A32,IF(A32='Données projet'!$A$62,'Données projet'!$B$62,AI31+AH32-AQ31)))</f>
        <v>49.596715117246141</v>
      </c>
      <c r="AJ32" s="13">
        <f>AI32*VLOOKUP('Données projet'!$B$10,Paramètres!$A$1:$I$89,3,0)*VLOOKUP('Données projet'!$B$10,Paramètres!$A$1:$I$89,5,0)</f>
        <v>33.269476500648715</v>
      </c>
      <c r="AK32" s="13">
        <f t="shared" si="35"/>
        <v>10.196048239331944</v>
      </c>
      <c r="AL32" s="20">
        <f t="shared" si="4"/>
        <v>75.702455588799637</v>
      </c>
      <c r="AM32" s="59">
        <f t="shared" si="5"/>
        <v>342.98112049515987</v>
      </c>
      <c r="AN32" s="59">
        <f ca="1">AVERAGE(OFFSET($AM$3,0,0,'Données projet'!$E$10+1,1))-AVERAGE(OFFSET($H$3,0,0,'Données projet'!$E$10+1,1))</f>
        <v>377.00534440335832</v>
      </c>
      <c r="AO32" s="59">
        <f t="shared" si="36"/>
        <v>131.56029120000656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</v>
      </c>
      <c r="BD32" s="12">
        <f>IF('Données projet'!$A$88&gt;35,BD31+BC32-BL31,IF(A32&lt;'Données projet'!$A$88,$BA$205^A32,IF(A32='Données projet'!$A$88,'Données projet'!$B$88,BD31+BC32-BL31)))</f>
        <v>111</v>
      </c>
      <c r="BE32" s="13">
        <f>BD32*VLOOKUP('Données projet'!$B$11,Paramètres!$A$1:$I$89,3,0)*VLOOKUP('Données projet'!$B$11,Paramètres!$A$1:$I$89,5,0)</f>
        <v>96.969600000000014</v>
      </c>
      <c r="BF32" s="13">
        <f t="shared" si="37"/>
        <v>26.238758642904337</v>
      </c>
      <c r="BG32" s="20">
        <f t="shared" si="7"/>
        <v>214.58789130305843</v>
      </c>
      <c r="BH32" s="59">
        <f t="shared" si="8"/>
        <v>481.86655620941866</v>
      </c>
      <c r="BI32" s="59">
        <f ca="1">AVERAGE(OFFSET($BH$3,0,0,'Données projet'!$E$11+1,1))-AVERAGE(OFFSET($H$3,0,0,'Données projet'!$E$11+1,1))</f>
        <v>314.1123649635374</v>
      </c>
      <c r="BJ32" s="59">
        <f t="shared" si="38"/>
        <v>274.92342227914889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502.9924578160086</v>
      </c>
      <c r="CD32" s="59">
        <f ca="1">AVERAGE(OFFSET($CC$3,0,0,'Données projet'!$E$12+1,1))-AVERAGE(OFFSET($H$3,0,0,'Données projet'!$E$12+1,1))</f>
        <v>309.86296291630748</v>
      </c>
      <c r="CE32" s="59">
        <f t="shared" si="40"/>
        <v>301.17633325088661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9.4</v>
      </c>
      <c r="CT32" s="12">
        <f>IF('Données projet'!$A$140&gt;35,CT31+CS32-DB31,IF(A32&lt;'Données projet'!$A$140,$CQ$205^A32,IF(A32='Données projet'!$A$140,'Données projet'!$B$140,CT31+CS32-DB31)))</f>
        <v>106.60000000000001</v>
      </c>
      <c r="CU32" s="17">
        <f>CT32*VLOOKUP('Données projet'!$B$13,Paramètres!$A$1:$I$89,3,0)*VLOOKUP('Données projet'!$B$13,Paramètres!$A$1:$I$89,5,0)</f>
        <v>91.462800000000016</v>
      </c>
      <c r="CV32" s="13">
        <f t="shared" si="41"/>
        <v>24.917685409456144</v>
      </c>
      <c r="CW32" s="20">
        <f t="shared" si="13"/>
        <v>202.69601208813614</v>
      </c>
      <c r="CX32" s="59">
        <f t="shared" si="14"/>
        <v>469.97467699449635</v>
      </c>
      <c r="CY32" s="59">
        <f ca="1">AVERAGE(OFFSET($CX$3,0,0,'Données projet'!$E$13+1,1))-AVERAGE(OFFSET($H$3,0,0,'Données projet'!$E$13+1,1))</f>
        <v>462.66388549889928</v>
      </c>
      <c r="CZ32" s="59">
        <f t="shared" si="42"/>
        <v>265.3725203415089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7.3717948716666664</v>
      </c>
      <c r="DO32" s="12">
        <f>IF('Données projet'!$A$166&gt;35,DO31+DN32-DW31,IF(A32&lt;'Données projet'!$A$166,$DL$205^A32,IF(A32='Données projet'!$A$166,'Données projet'!$B$166,DO31+DN32-DW31)))</f>
        <v>84.615384616666674</v>
      </c>
      <c r="DP32" s="17">
        <f>DO32*VLOOKUP('Données projet'!$B$14,Paramètres!$A$1:$I$89,3,0)*VLOOKUP('Données projet'!$B$14,Paramètres!$A$1:$I$89,5,0)</f>
        <v>66.000000001000004</v>
      </c>
      <c r="DQ32" s="13">
        <f t="shared" si="43"/>
        <v>18.676740573349772</v>
      </c>
      <c r="DR32" s="20">
        <f t="shared" si="16"/>
        <v>147.47865650032585</v>
      </c>
      <c r="DS32" s="59">
        <f t="shared" si="17"/>
        <v>414.75732140668606</v>
      </c>
      <c r="DT32" s="59">
        <f ca="1">AVERAGE(OFFSET($DS$3,0,0,'Données projet'!$E$14+1,1))-AVERAGE(OFFSET($H$3,0,0,'Données projet'!$E$14+1,1))</f>
        <v>206.5241977687125</v>
      </c>
      <c r="DU32" s="59">
        <f t="shared" si="44"/>
        <v>205.25001043771269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7.4</v>
      </c>
      <c r="EJ32" s="12">
        <f>IF('Données projet'!$A$192&gt;35,EJ31+EI32-ER31,IF(A32&lt;'Données projet'!$A$192,$EG$205^A32,IF(A32='Données projet'!$A$192,'Données projet'!$B$192,EJ31+EI32-ER31)))</f>
        <v>68.600000000000009</v>
      </c>
      <c r="EK32" s="17">
        <f>EJ32*VLOOKUP('Données projet'!$B$15,Paramètres!$A$1:$I$89,3,0)*VLOOKUP('Données projet'!$B$15,Paramètres!$A$1:$I$89,5,0)</f>
        <v>59.928960000000018</v>
      </c>
      <c r="EL32" s="13">
        <f t="shared" si="45"/>
        <v>17.150306633391633</v>
      </c>
      <c r="EM32" s="20">
        <f t="shared" si="19"/>
        <v>134.24638938649045</v>
      </c>
      <c r="EN32" s="59">
        <f t="shared" si="20"/>
        <v>401.52505429285065</v>
      </c>
      <c r="EO32" s="59">
        <f ca="1">AVERAGE(OFFSET($EN$3,0,0,'Données projet'!$E$15+1,1))-AVERAGE(OFFSET($H$3,0,0,'Données projet'!$E$15+1,1))</f>
        <v>205.83135724908942</v>
      </c>
      <c r="EP32" s="59">
        <f t="shared" si="46"/>
        <v>193.60053377311405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7.8</v>
      </c>
      <c r="FE32" s="12">
        <f>IF('Données projet'!$A$218&gt;35,FE31+FD32-FM31,IF(A32&lt;'Données projet'!$A$218,$FB$205^A32,IF(A32='Données projet'!$A$218,'Données projet'!$B$218,FE31+FD32-FM31)))</f>
        <v>129.20000000000002</v>
      </c>
      <c r="FF32" s="17">
        <f>FE32*VLOOKUP('Données projet'!$B$16,Paramètres!$A$1:$I$89,3,0)*VLOOKUP('Données projet'!$B$16,Paramètres!$A$1:$I$89,5,0)</f>
        <v>84.651840000000007</v>
      </c>
      <c r="FG32" s="13">
        <f t="shared" si="47"/>
        <v>23.270814809686321</v>
      </c>
      <c r="FH32" s="20">
        <f t="shared" si="22"/>
        <v>187.96529046020365</v>
      </c>
      <c r="FI32" s="59">
        <f t="shared" si="23"/>
        <v>455.24395536656391</v>
      </c>
      <c r="FJ32" s="59">
        <f ca="1">AVERAGE(OFFSET($FI$3,0,0,'Données projet'!$E$16+1,1))-AVERAGE(OFFSET($H$3,0,0,'Données projet'!$E$16+1,1))</f>
        <v>242.76791261317206</v>
      </c>
      <c r="FK32" s="59">
        <f t="shared" si="48"/>
        <v>244.28580264867682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2.9235042736666665</v>
      </c>
      <c r="FZ32" s="12">
        <f>IF('Données projet'!$A$244&gt;35,FZ31+FY32-GH31,IF(A32&lt;'Données projet'!$A$244,$FW$205^A32,IF(A32='Données projet'!$A$244,'Données projet'!$B$244,FZ31+FY32-GH31)))</f>
        <v>75.554004583812542</v>
      </c>
      <c r="GA32" s="17">
        <f>FZ32*VLOOKUP('Données projet'!$B$17,Paramètres!$A$1:$I$89,3,0)*VLOOKUP('Données projet'!$B$17,Paramètres!$A$1:$I$89,5,0)</f>
        <v>71.897190761956026</v>
      </c>
      <c r="GB32" s="13">
        <f t="shared" si="49"/>
        <v>20.143861127609956</v>
      </c>
      <c r="GC32" s="20">
        <f t="shared" si="25"/>
        <v>160.30483204099406</v>
      </c>
      <c r="GD32" s="59">
        <f t="shared" si="26"/>
        <v>427.58349694735432</v>
      </c>
      <c r="GE32" s="59">
        <f ca="1">AVERAGE(OFFSET($GD$3,0,0,'Données projet'!$E$17+1,1))-AVERAGE(OFFSET($H$3,0,0,'Données projet'!$E$17+1,1))</f>
        <v>512.71941256120977</v>
      </c>
      <c r="GF32" s="59">
        <f t="shared" si="50"/>
        <v>230.65031527019354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63.227514671431578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-5.6843418860808015E-14</v>
      </c>
      <c r="GV32" s="17">
        <f>GU32*VLOOKUP('Données projet'!$B$18,Paramètres!$A$1:$I$89,3,0)*VLOOKUP('Données projet'!$B$18,Paramètres!$A$1:$I$89,5,0)</f>
        <v>-2.5006556825246661E-14</v>
      </c>
      <c r="GW32" s="13" t="e">
        <f t="shared" si="51"/>
        <v>#NUM!</v>
      </c>
      <c r="GX32" s="20" t="e">
        <f t="shared" si="28"/>
        <v>#NUM!</v>
      </c>
      <c r="GY32" s="59" t="e">
        <f t="shared" si="29"/>
        <v>#NUM!</v>
      </c>
      <c r="GZ32" s="59">
        <f ca="1">AVERAGE(OFFSET($GY$3,0,0,'Données projet'!$E$18+1,1))-AVERAGE(OFFSET($H$3,0,0,'Données projet'!$E$18+1,1))</f>
        <v>180.68917161146683</v>
      </c>
      <c r="HA32" s="59">
        <f t="shared" si="52"/>
        <v>344.42126252322419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65.223471981937493</v>
      </c>
      <c r="HH32" s="21">
        <f>EXP(-LN(2)/25)*HH31+(1-EXP(-LN(2)/25))/(LN(2)/25)*Calculateur!HC32*Calculateur!HE32*VLOOKUP('Données projet'!$B$18,Paramètres!$A$1:$I$89,3,0)*0.475*44/12</f>
        <v>17.030108342254799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82.253580324192285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2.25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8.25</v>
      </c>
      <c r="H33" s="66">
        <f t="shared" si="1"/>
        <v>223.66666666666666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87.705128209999998</v>
      </c>
      <c r="L33" s="12">
        <f>VLOOKUP(A33,'Données projet'!$A$35:$I$55,9,0)</f>
        <v>2.9235042736666665</v>
      </c>
      <c r="M33" s="12">
        <f t="array" ref="M33">INDEX(L:L,MIN(IF(ISNUMBER(L33:L229),ROW(L33:L229),"")))</f>
        <v>2.9235042736666665</v>
      </c>
      <c r="N33" s="13">
        <f>IF('Données projet'!$A$36&gt;35,N32+M33-V32,IF(A33&lt;'Données projet'!$A$36,$K$205^A33,IF(A33='Données projet'!$A$36,'Données projet'!$B$36,N32+M33-V32)))</f>
        <v>87.705128209999998</v>
      </c>
      <c r="O33" s="13">
        <f>N33*VLOOKUP('Données projet'!$B$9,Paramètres!$A$1:$I$89,3,0)*VLOOKUP('Données projet'!$B$9,Paramètres!$A$1:$I$89,5,0)</f>
        <v>79.355600004407989</v>
      </c>
      <c r="P33" s="13">
        <f t="shared" si="33"/>
        <v>21.979550893452156</v>
      </c>
      <c r="Q33" s="20">
        <f t="shared" si="2"/>
        <v>176.49205448043975</v>
      </c>
      <c r="R33" s="59">
        <f t="shared" si="0"/>
        <v>445.42372903364196</v>
      </c>
      <c r="S33" s="59">
        <f ca="1">AVERAGE(OFFSET($R$3,0,0,'Données projet'!$E$9+1,1))-AVERAGE(OFFSET($H$3,0,0,'Données projet'!$E$9+1,1))</f>
        <v>490.57849401500789</v>
      </c>
      <c r="T33" s="59">
        <f t="shared" si="34"/>
        <v>221.7570623669753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56.743589739999997</v>
      </c>
      <c r="AG33" s="12">
        <f>VLOOKUP(A33,'Données projet'!$A$61:$I$81,9,0)</f>
        <v>1.8914529913333333</v>
      </c>
      <c r="AH33" s="12">
        <f t="array" ref="AH33">INDEX(AG:AG,MIN(IF(ISNUMBER(AG33:AG229),ROW(AG33:AG229),"")))</f>
        <v>1.8914529913333333</v>
      </c>
      <c r="AI33" s="13">
        <f>IF('Données projet'!$A$62&gt;35,AI32+AH33-AQ32,IF(A33&lt;'Données projet'!$A$62,$AF$205^A33,IF(A33='Données projet'!$A$62,'Données projet'!$B$62,AI32+AH33-AQ32)))</f>
        <v>56.743589739999997</v>
      </c>
      <c r="AJ33" s="13">
        <f>AI33*VLOOKUP('Données projet'!$B$10,Paramètres!$A$1:$I$89,3,0)*VLOOKUP('Données projet'!$B$10,Paramètres!$A$1:$I$89,5,0)</f>
        <v>38.063599997592</v>
      </c>
      <c r="AK33" s="13">
        <f t="shared" si="35"/>
        <v>11.48393109148226</v>
      </c>
      <c r="AL33" s="20">
        <f t="shared" si="4"/>
        <v>86.295283313471018</v>
      </c>
      <c r="AM33" s="59">
        <f t="shared" si="5"/>
        <v>355.22695786667322</v>
      </c>
      <c r="AN33" s="59">
        <f ca="1">AVERAGE(OFFSET($AM$3,0,0,'Données projet'!$E$10+1,1))-AVERAGE(OFFSET($H$3,0,0,'Données projet'!$E$10+1,1))</f>
        <v>377.00534440335832</v>
      </c>
      <c r="AO33" s="59">
        <f t="shared" si="36"/>
        <v>131.56029120000656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119</v>
      </c>
      <c r="BB33" s="12">
        <f>VLOOKUP(A33,'Données projet'!$A$87:$I$107,9,0)</f>
        <v>8</v>
      </c>
      <c r="BC33" s="12">
        <f t="array" ref="BC33">INDEX(BB:BB,MIN(IF(ISNUMBER(BB33:BB229),ROW(BB33:BB229),"")))</f>
        <v>8</v>
      </c>
      <c r="BD33" s="12">
        <f>IF('Données projet'!$A$88&gt;35,BD32+BC33-BL32,IF(A33&lt;'Données projet'!$A$88,$BA$205^A33,IF(A33='Données projet'!$A$88,'Données projet'!$B$88,BD32+BC33-BL32)))</f>
        <v>119</v>
      </c>
      <c r="BE33" s="13">
        <f>BD33*VLOOKUP('Données projet'!$B$11,Paramètres!$A$1:$I$89,3,0)*VLOOKUP('Données projet'!$B$11,Paramètres!$A$1:$I$89,5,0)</f>
        <v>103.9584</v>
      </c>
      <c r="BF33" s="13">
        <f t="shared" si="37"/>
        <v>27.902890560352166</v>
      </c>
      <c r="BG33" s="20">
        <f t="shared" si="7"/>
        <v>229.65841439261331</v>
      </c>
      <c r="BH33" s="59">
        <f t="shared" si="8"/>
        <v>498.59008894581552</v>
      </c>
      <c r="BI33" s="59">
        <f ca="1">AVERAGE(OFFSET($BH$3,0,0,'Données projet'!$E$11+1,1))-AVERAGE(OFFSET($H$3,0,0,'Données projet'!$E$11+1,1))</f>
        <v>314.1123649635374</v>
      </c>
      <c r="BJ33" s="59">
        <f t="shared" si="38"/>
        <v>274.92342227914889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524.84299991755324</v>
      </c>
      <c r="CD33" s="59">
        <f ca="1">AVERAGE(OFFSET($CC$3,0,0,'Données projet'!$E$12+1,1))-AVERAGE(OFFSET($H$3,0,0,'Données projet'!$E$12+1,1))</f>
        <v>309.86296291630748</v>
      </c>
      <c r="CE33" s="59">
        <f t="shared" si="40"/>
        <v>301.17633325088661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116</v>
      </c>
      <c r="CR33" s="12">
        <f>VLOOKUP(A33,'Données projet'!$A$139:$I$159,9,0)</f>
        <v>9.4</v>
      </c>
      <c r="CS33" s="12">
        <f t="array" ref="CS33">INDEX(CR:CR,MIN(IF(ISNUMBER(CR33:CR229),ROW(CR33:CR229),"")))</f>
        <v>9.4</v>
      </c>
      <c r="CT33" s="12">
        <f>IF('Données projet'!$A$140&gt;35,CT32+CS33-DB32,IF(A33&lt;'Données projet'!$A$140,$CQ$205^A33,IF(A33='Données projet'!$A$140,'Données projet'!$B$140,CT32+CS33-DB32)))</f>
        <v>116.00000000000001</v>
      </c>
      <c r="CU33" s="17">
        <f>CT33*VLOOKUP('Données projet'!$B$13,Paramètres!$A$1:$I$89,3,0)*VLOOKUP('Données projet'!$B$13,Paramètres!$A$1:$I$89,5,0)</f>
        <v>99.52800000000002</v>
      </c>
      <c r="CV33" s="13">
        <f t="shared" si="41"/>
        <v>26.849519112903323</v>
      </c>
      <c r="CW33" s="20">
        <f t="shared" si="13"/>
        <v>220.10751245497332</v>
      </c>
      <c r="CX33" s="59">
        <f t="shared" si="14"/>
        <v>489.03918700817553</v>
      </c>
      <c r="CY33" s="59">
        <f ca="1">AVERAGE(OFFSET($CX$3,0,0,'Données projet'!$E$13+1,1))-AVERAGE(OFFSET($H$3,0,0,'Données projet'!$E$13+1,1))</f>
        <v>462.66388549889928</v>
      </c>
      <c r="CZ33" s="59">
        <f t="shared" si="42"/>
        <v>265.3725203415089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7.3717948716666664</v>
      </c>
      <c r="DO33" s="12">
        <f>IF('Données projet'!$A$166&gt;35,DO32+DN33-DW32,IF(A33&lt;'Données projet'!$A$166,$DL$205^A33,IF(A33='Données projet'!$A$166,'Données projet'!$B$166,DO32+DN33-DW32)))</f>
        <v>91.987179488333339</v>
      </c>
      <c r="DP33" s="17">
        <f>DO33*VLOOKUP('Données projet'!$B$14,Paramètres!$A$1:$I$89,3,0)*VLOOKUP('Données projet'!$B$14,Paramètres!$A$1:$I$89,5,0)</f>
        <v>71.750000000900002</v>
      </c>
      <c r="DQ33" s="13">
        <f t="shared" si="43"/>
        <v>20.10741773183333</v>
      </c>
      <c r="DR33" s="20">
        <f t="shared" si="16"/>
        <v>159.98500255117719</v>
      </c>
      <c r="DS33" s="59">
        <f t="shared" si="17"/>
        <v>428.91667710437935</v>
      </c>
      <c r="DT33" s="59">
        <f ca="1">AVERAGE(OFFSET($DS$3,0,0,'Données projet'!$E$14+1,1))-AVERAGE(OFFSET($H$3,0,0,'Données projet'!$E$14+1,1))</f>
        <v>206.5241977687125</v>
      </c>
      <c r="DU33" s="59">
        <f t="shared" si="44"/>
        <v>205.25001043771269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76</v>
      </c>
      <c r="EH33" s="12">
        <f>VLOOKUP(A33,'Données projet'!$A$191:$I$211,9,0)</f>
        <v>7.4</v>
      </c>
      <c r="EI33" s="12">
        <f t="array" ref="EI33">INDEX(EH:EH,MIN(IF(ISNUMBER(EH33:EH229),ROW(EH33:EH229),"")))</f>
        <v>7.4</v>
      </c>
      <c r="EJ33" s="12">
        <f>IF('Données projet'!$A$192&gt;35,EJ32+EI33-ER32,IF(A33&lt;'Données projet'!$A$192,$EG$205^A33,IF(A33='Données projet'!$A$192,'Données projet'!$B$192,EJ32+EI33-ER32)))</f>
        <v>76.000000000000014</v>
      </c>
      <c r="EK33" s="17">
        <f>EJ33*VLOOKUP('Données projet'!$B$15,Paramètres!$A$1:$I$89,3,0)*VLOOKUP('Données projet'!$B$15,Paramètres!$A$1:$I$89,5,0)</f>
        <v>66.393600000000021</v>
      </c>
      <c r="EL33" s="13">
        <f t="shared" si="45"/>
        <v>18.775122997078544</v>
      </c>
      <c r="EM33" s="20">
        <f t="shared" si="19"/>
        <v>148.33552588657849</v>
      </c>
      <c r="EN33" s="59">
        <f t="shared" si="20"/>
        <v>417.26720043978071</v>
      </c>
      <c r="EO33" s="59">
        <f ca="1">AVERAGE(OFFSET($EN$3,0,0,'Données projet'!$E$15+1,1))-AVERAGE(OFFSET($H$3,0,0,'Données projet'!$E$15+1,1))</f>
        <v>205.83135724908942</v>
      </c>
      <c r="EP33" s="59">
        <f t="shared" si="46"/>
        <v>193.60053377311405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14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137</v>
      </c>
      <c r="FC33" s="12">
        <f>VLOOKUP(A33,'Données projet'!$A$217:$I$237,9,0)</f>
        <v>7.8</v>
      </c>
      <c r="FD33" s="12">
        <f t="array" ref="FD33">INDEX(FC:FC,MIN(IF(ISNUMBER(FC33:FC229),ROW(FC33:FC229),"")))</f>
        <v>7.8</v>
      </c>
      <c r="FE33" s="12">
        <f>IF('Données projet'!$A$218&gt;35,FE32+FD33-FM32,IF(A33&lt;'Données projet'!$A$218,$FB$205^A33,IF(A33='Données projet'!$A$218,'Données projet'!$B$218,FE32+FD33-FM32)))</f>
        <v>137.00000000000003</v>
      </c>
      <c r="FF33" s="17">
        <f>FE33*VLOOKUP('Données projet'!$B$16,Paramètres!$A$1:$I$89,3,0)*VLOOKUP('Données projet'!$B$16,Paramètres!$A$1:$I$89,5,0)</f>
        <v>89.762400000000028</v>
      </c>
      <c r="FG33" s="13">
        <f t="shared" si="47"/>
        <v>24.507912782090678</v>
      </c>
      <c r="FH33" s="20">
        <f t="shared" si="22"/>
        <v>199.02079476214132</v>
      </c>
      <c r="FI33" s="59">
        <f t="shared" si="23"/>
        <v>467.95246931534348</v>
      </c>
      <c r="FJ33" s="59">
        <f ca="1">AVERAGE(OFFSET($FI$3,0,0,'Données projet'!$E$16+1,1))-AVERAGE(OFFSET($H$3,0,0,'Données projet'!$E$16+1,1))</f>
        <v>242.76791261317206</v>
      </c>
      <c r="FK33" s="59">
        <f t="shared" si="48"/>
        <v>244.28580264867682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20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87.705128209999998</v>
      </c>
      <c r="FX33" s="12">
        <f>VLOOKUP(A33,'Données projet'!$A$243:$I$263,9,0)</f>
        <v>2.9235042736666665</v>
      </c>
      <c r="FY33" s="12">
        <f t="array" ref="FY33">INDEX(FX:FX,MIN(IF(ISNUMBER(FX33:FX229),ROW(FX33:FX229),"")))</f>
        <v>2.9235042736666665</v>
      </c>
      <c r="FZ33" s="12">
        <f>IF('Données projet'!$A$244&gt;35,FZ32+FY33-GH32,IF(A33&lt;'Données projet'!$A$244,$FW$205^A33,IF(A33='Données projet'!$A$244,'Données projet'!$B$244,FZ32+FY33-GH32)))</f>
        <v>87.705128209999998</v>
      </c>
      <c r="GA33" s="17">
        <f>FZ33*VLOOKUP('Données projet'!$B$17,Paramètres!$A$1:$I$89,3,0)*VLOOKUP('Données projet'!$B$17,Paramètres!$A$1:$I$89,5,0)</f>
        <v>83.460200004635993</v>
      </c>
      <c r="GB33" s="13">
        <f t="shared" si="49"/>
        <v>22.981124808947566</v>
      </c>
      <c r="GC33" s="20">
        <f t="shared" si="25"/>
        <v>185.38530738365804</v>
      </c>
      <c r="GD33" s="59">
        <f t="shared" si="26"/>
        <v>454.3169819368602</v>
      </c>
      <c r="GE33" s="59">
        <f ca="1">AVERAGE(OFFSET($GD$3,0,0,'Données projet'!$E$17+1,1))-AVERAGE(OFFSET($H$3,0,0,'Données projet'!$E$17+1,1))</f>
        <v>512.71941256120977</v>
      </c>
      <c r="GF33" s="59">
        <f t="shared" si="50"/>
        <v>230.65031527019354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63.345002150873327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-5.6843418860808015E-14</v>
      </c>
      <c r="GV33" s="17">
        <f>GU33*VLOOKUP('Données projet'!$B$18,Paramètres!$A$1:$I$89,3,0)*VLOOKUP('Données projet'!$B$18,Paramètres!$A$1:$I$89,5,0)</f>
        <v>-2.5006556825246661E-14</v>
      </c>
      <c r="GW33" s="13" t="e">
        <f t="shared" si="51"/>
        <v>#NUM!</v>
      </c>
      <c r="GX33" s="20" t="e">
        <f t="shared" si="28"/>
        <v>#NUM!</v>
      </c>
      <c r="GY33" s="59" t="e">
        <f t="shared" si="29"/>
        <v>#NUM!</v>
      </c>
      <c r="GZ33" s="59">
        <f ca="1">AVERAGE(OFFSET($GY$3,0,0,'Données projet'!$E$18+1,1))-AVERAGE(OFFSET($H$3,0,0,'Données projet'!$E$18+1,1))</f>
        <v>180.68917161146683</v>
      </c>
      <c r="HA33" s="59">
        <f t="shared" si="52"/>
        <v>344.42126252322419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63.944479478761423</v>
      </c>
      <c r="HH33" s="21">
        <f>EXP(-LN(2)/25)*HH32+(1-EXP(-LN(2)/25))/(LN(2)/25)*Calculateur!HC33*Calculateur!HE33*VLOOKUP('Données projet'!$B$18,Paramètres!$A$1:$I$89,3,0)*0.475*44/12</f>
        <v>16.564419134061367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80.50889861282279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2.25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8.25</v>
      </c>
      <c r="H34" s="66">
        <f t="shared" si="1"/>
        <v>223.66666666666666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8.147490842142858</v>
      </c>
      <c r="N34" s="13">
        <f>IF('Données projet'!$A$36&gt;35,N33+M34-V33,IF(A34&lt;'Données projet'!$A$36,$K$205^A34,IF(A34='Données projet'!$A$36,'Données projet'!$B$36,N33+M34-V33)))</f>
        <v>95.852619052142856</v>
      </c>
      <c r="O34" s="13">
        <f>N34*VLOOKUP('Données projet'!$B$9,Paramètres!$A$1:$I$89,3,0)*VLOOKUP('Données projet'!$B$9,Paramètres!$A$1:$I$89,5,0)</f>
        <v>86.72744971837885</v>
      </c>
      <c r="P34" s="13">
        <f t="shared" si="33"/>
        <v>23.774271351284888</v>
      </c>
      <c r="Q34" s="20">
        <f t="shared" si="2"/>
        <v>192.45716419633104</v>
      </c>
      <c r="R34" s="59">
        <f t="shared" si="0"/>
        <v>461.81215297543224</v>
      </c>
      <c r="S34" s="59">
        <f ca="1">AVERAGE(OFFSET($R$3,0,0,'Données projet'!$E$9+1,1))-AVERAGE(OFFSET($H$3,0,0,'Données projet'!$E$9+1,1))</f>
        <v>490.57849401500789</v>
      </c>
      <c r="T34" s="59">
        <f t="shared" si="34"/>
        <v>221.7570623669753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4.8292136753333335</v>
      </c>
      <c r="AI34" s="13">
        <f>IF('Données projet'!$A$62&gt;35,AI33+AH34-AQ33,IF(A34&lt;'Données projet'!$A$62,$AF$205^A34,IF(A34='Données projet'!$A$62,'Données projet'!$B$62,AI33+AH34-AQ33)))</f>
        <v>61.572803415333333</v>
      </c>
      <c r="AJ34" s="13">
        <f>AI34*VLOOKUP('Données projet'!$B$10,Paramètres!$A$1:$I$89,3,0)*VLOOKUP('Données projet'!$B$10,Paramètres!$A$1:$I$89,5,0)</f>
        <v>41.303036531005596</v>
      </c>
      <c r="AK34" s="13">
        <f t="shared" si="35"/>
        <v>12.343369893274007</v>
      </c>
      <c r="AL34" s="20">
        <f t="shared" si="4"/>
        <v>93.434157855620299</v>
      </c>
      <c r="AM34" s="59">
        <f t="shared" si="5"/>
        <v>362.78914663472153</v>
      </c>
      <c r="AN34" s="59">
        <f ca="1">AVERAGE(OFFSET($AM$3,0,0,'Données projet'!$E$10+1,1))-AVERAGE(OFFSET($H$3,0,0,'Données projet'!$E$10+1,1))</f>
        <v>377.00534440335832</v>
      </c>
      <c r="AO34" s="59">
        <f t="shared" si="36"/>
        <v>131.56029120000656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7.2</v>
      </c>
      <c r="BD34" s="12">
        <f>IF('Données projet'!$A$88&gt;35,BD33+BC34-BL33,IF(A34&lt;'Données projet'!$A$88,$BA$205^A34,IF(A34='Données projet'!$A$88,'Données projet'!$B$88,BD33+BC34-BL33)))</f>
        <v>106.2</v>
      </c>
      <c r="BE34" s="13">
        <f>BD34*VLOOKUP('Données projet'!$B$11,Paramètres!$A$1:$I$89,3,0)*VLOOKUP('Données projet'!$B$11,Paramètres!$A$1:$I$89,5,0)</f>
        <v>92.776320000000013</v>
      </c>
      <c r="BF34" s="13">
        <f t="shared" si="37"/>
        <v>25.233617967655977</v>
      </c>
      <c r="BG34" s="20">
        <f t="shared" si="7"/>
        <v>205.53397529366751</v>
      </c>
      <c r="BH34" s="59">
        <f t="shared" si="8"/>
        <v>474.88896407276877</v>
      </c>
      <c r="BI34" s="59">
        <f ca="1">AVERAGE(OFFSET($BH$3,0,0,'Données projet'!$E$11+1,1))-AVERAGE(OFFSET($H$3,0,0,'Données projet'!$E$11+1,1))</f>
        <v>314.1123649635374</v>
      </c>
      <c r="BJ34" s="59">
        <f t="shared" si="38"/>
        <v>274.92342227914889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495.81286667415725</v>
      </c>
      <c r="CD34" s="59">
        <f ca="1">AVERAGE(OFFSET($CC$3,0,0,'Données projet'!$E$12+1,1))-AVERAGE(OFFSET($H$3,0,0,'Données projet'!$E$12+1,1))</f>
        <v>309.86296291630748</v>
      </c>
      <c r="CE34" s="59">
        <f t="shared" si="40"/>
        <v>301.17633325088661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10.199999999999999</v>
      </c>
      <c r="CT34" s="12">
        <f>IF('Données projet'!$A$140&gt;35,CT33+CS34-DB33,IF(A34&lt;'Données projet'!$A$140,$CQ$205^A34,IF(A34='Données projet'!$A$140,'Données projet'!$B$140,CT33+CS34-DB33)))</f>
        <v>98.200000000000017</v>
      </c>
      <c r="CU34" s="17">
        <f>CT34*VLOOKUP('Données projet'!$B$13,Paramètres!$A$1:$I$89,3,0)*VLOOKUP('Données projet'!$B$13,Paramètres!$A$1:$I$89,5,0)</f>
        <v>84.255600000000015</v>
      </c>
      <c r="CV34" s="13">
        <f t="shared" si="41"/>
        <v>23.174541098743855</v>
      </c>
      <c r="CW34" s="20">
        <f t="shared" si="13"/>
        <v>187.10749574697891</v>
      </c>
      <c r="CX34" s="59">
        <f t="shared" si="14"/>
        <v>456.46248452608017</v>
      </c>
      <c r="CY34" s="59">
        <f ca="1">AVERAGE(OFFSET($CX$3,0,0,'Données projet'!$E$13+1,1))-AVERAGE(OFFSET($H$3,0,0,'Données projet'!$E$13+1,1))</f>
        <v>462.66388549889928</v>
      </c>
      <c r="CZ34" s="59">
        <f t="shared" si="42"/>
        <v>265.3725203415089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>
        <f>VLOOKUP(A34,'Données projet'!$A$165:$I$185,2,0)</f>
        <v>99.358974360000005</v>
      </c>
      <c r="DM34" s="12">
        <f>VLOOKUP(A34,'Données projet'!$A$165:$I$185,9,0)</f>
        <v>7.3717948716666664</v>
      </c>
      <c r="DN34" s="12">
        <f t="array" ref="DN34">INDEX(DM:DM,MIN(IF(ISNUMBER(DM34:DM230),ROW(DM34:DM230),"")))</f>
        <v>7.3717948716666664</v>
      </c>
      <c r="DO34" s="12">
        <f>IF('Données projet'!$A$166&gt;35,DO33+DN34-DW33,IF(A34&lt;'Données projet'!$A$166,$DL$205^A34,IF(A34='Données projet'!$A$166,'Données projet'!$B$166,DO33+DN34-DW33)))</f>
        <v>99.358974360000005</v>
      </c>
      <c r="DP34" s="17">
        <f>DO34*VLOOKUP('Données projet'!$B$14,Paramètres!$A$1:$I$89,3,0)*VLOOKUP('Données projet'!$B$14,Paramètres!$A$1:$I$89,5,0)</f>
        <v>77.5000000008</v>
      </c>
      <c r="DQ34" s="13">
        <f t="shared" si="43"/>
        <v>21.524796250962588</v>
      </c>
      <c r="DR34" s="20">
        <f t="shared" si="16"/>
        <v>172.46818680515318</v>
      </c>
      <c r="DS34" s="59">
        <f t="shared" si="17"/>
        <v>441.82317558425439</v>
      </c>
      <c r="DT34" s="59">
        <f ca="1">AVERAGE(OFFSET($DS$3,0,0,'Données projet'!$E$14+1,1))-AVERAGE(OFFSET($H$3,0,0,'Données projet'!$E$14+1,1))</f>
        <v>206.5241977687125</v>
      </c>
      <c r="DU34" s="59">
        <f t="shared" si="44"/>
        <v>205.25001043771269</v>
      </c>
      <c r="DV34" s="15">
        <f>IF(ISNA(VLOOKUP(A34,'Données projet'!$A$165:$I$185,3,0)),0,VLOOKUP(A34,'Données projet'!$A$165:$I$185,3,0))</f>
        <v>4</v>
      </c>
      <c r="DW34" s="15">
        <f>IF(ISNA(VLOOKUP(A34,'Données projet'!$A$165:$I$185,4,0)),0,VLOOKUP(A34,'Données projet'!$A$165:$I$185,4,0))</f>
        <v>23.07692308</v>
      </c>
      <c r="DX34" s="16">
        <f>IF(ISNA(VLOOKUP(A34,'Données projet'!$A$165:$I$185,5,0)),0%,VLOOKUP(A34,'Données projet'!$A$165:$I$185,5,0)*VLOOKUP('Données projet'!$B$14,Paramètres!$A$1:$I$89,7,0))</f>
        <v>0.43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8.5563407387258792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8.5563407387258792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6.6</v>
      </c>
      <c r="EJ34" s="12">
        <f>IF('Données projet'!$A$192&gt;35,EJ33+EI34-ER33,IF(A34&lt;'Données projet'!$A$192,$EG$205^A34,IF(A34='Données projet'!$A$192,'Données projet'!$B$192,EJ33+EI34-ER33)))</f>
        <v>68.600000000000009</v>
      </c>
      <c r="EK34" s="17">
        <f>EJ34*VLOOKUP('Données projet'!$B$15,Paramètres!$A$1:$I$89,3,0)*VLOOKUP('Données projet'!$B$15,Paramètres!$A$1:$I$89,5,0)</f>
        <v>59.928960000000018</v>
      </c>
      <c r="EL34" s="13">
        <f t="shared" si="45"/>
        <v>17.150306633391633</v>
      </c>
      <c r="EM34" s="20">
        <f t="shared" si="19"/>
        <v>134.24638938649045</v>
      </c>
      <c r="EN34" s="59">
        <f t="shared" si="20"/>
        <v>403.60137816559165</v>
      </c>
      <c r="EO34" s="59">
        <f ca="1">AVERAGE(OFFSET($EN$3,0,0,'Données projet'!$E$15+1,1))-AVERAGE(OFFSET($H$3,0,0,'Données projet'!$E$15+1,1))</f>
        <v>205.83135724908942</v>
      </c>
      <c r="EP34" s="59">
        <f t="shared" si="46"/>
        <v>193.60053377311405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7.2</v>
      </c>
      <c r="FE34" s="12">
        <f>IF('Données projet'!$A$218&gt;35,FE33+FD34-FM33,IF(A34&lt;'Données projet'!$A$218,$FB$205^A34,IF(A34='Données projet'!$A$218,'Données projet'!$B$218,FE33+FD34-FM33)))</f>
        <v>124.20000000000002</v>
      </c>
      <c r="FF34" s="17">
        <f>FE34*VLOOKUP('Données projet'!$B$16,Paramètres!$A$1:$I$89,3,0)*VLOOKUP('Données projet'!$B$16,Paramètres!$A$1:$I$89,5,0)</f>
        <v>81.375840000000011</v>
      </c>
      <c r="FG34" s="13">
        <f t="shared" si="47"/>
        <v>22.473249586041131</v>
      </c>
      <c r="FH34" s="20">
        <f t="shared" si="22"/>
        <v>180.87049769568833</v>
      </c>
      <c r="FI34" s="59">
        <f t="shared" si="23"/>
        <v>450.22548647478959</v>
      </c>
      <c r="FJ34" s="59">
        <f ca="1">AVERAGE(OFFSET($FI$3,0,0,'Données projet'!$E$16+1,1))-AVERAGE(OFFSET($H$3,0,0,'Données projet'!$E$16+1,1))</f>
        <v>242.76791261317206</v>
      </c>
      <c r="FK34" s="59">
        <f t="shared" si="48"/>
        <v>244.28580264867682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8.147490842142858</v>
      </c>
      <c r="FZ34" s="12">
        <f>IF('Données projet'!$A$244&gt;35,FZ33+FY34-GH33,IF(A34&lt;'Données projet'!$A$244,$FW$205^A34,IF(A34='Données projet'!$A$244,'Données projet'!$B$244,FZ33+FY34-GH33)))</f>
        <v>95.852619052142856</v>
      </c>
      <c r="GA34" s="17">
        <f>FZ34*VLOOKUP('Données projet'!$B$17,Paramètres!$A$1:$I$89,3,0)*VLOOKUP('Données projet'!$B$17,Paramètres!$A$1:$I$89,5,0)</f>
        <v>91.213352290019145</v>
      </c>
      <c r="GB34" s="13">
        <f t="shared" si="49"/>
        <v>24.857627883944978</v>
      </c>
      <c r="GC34" s="20">
        <f t="shared" si="25"/>
        <v>202.15695713632087</v>
      </c>
      <c r="GD34" s="59">
        <f t="shared" si="26"/>
        <v>471.51194591542207</v>
      </c>
      <c r="GE34" s="59">
        <f ca="1">AVERAGE(OFFSET($GD$3,0,0,'Données projet'!$E$17+1,1))-AVERAGE(OFFSET($H$3,0,0,'Données projet'!$E$17+1,1))</f>
        <v>512.71941256120977</v>
      </c>
      <c r="GF34" s="59">
        <f t="shared" si="50"/>
        <v>230.65031527019354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63.460451485209425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-5.6843418860808015E-14</v>
      </c>
      <c r="GV34" s="17">
        <f>GU34*VLOOKUP('Données projet'!$B$18,Paramètres!$A$1:$I$89,3,0)*VLOOKUP('Données projet'!$B$18,Paramètres!$A$1:$I$89,5,0)</f>
        <v>-2.5006556825246661E-14</v>
      </c>
      <c r="GW34" s="13" t="e">
        <f t="shared" si="51"/>
        <v>#NUM!</v>
      </c>
      <c r="GX34" s="20" t="e">
        <f t="shared" si="28"/>
        <v>#NUM!</v>
      </c>
      <c r="GY34" s="59" t="e">
        <f t="shared" si="29"/>
        <v>#NUM!</v>
      </c>
      <c r="GZ34" s="59">
        <f ca="1">AVERAGE(OFFSET($GY$3,0,0,'Données projet'!$E$18+1,1))-AVERAGE(OFFSET($H$3,0,0,'Données projet'!$E$18+1,1))</f>
        <v>180.68917161146683</v>
      </c>
      <c r="HA34" s="59">
        <f t="shared" si="52"/>
        <v>344.42126252322419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62.69056723846424</v>
      </c>
      <c r="HH34" s="21">
        <f>EXP(-LN(2)/25)*HH33+(1-EXP(-LN(2)/25))/(LN(2)/25)*Calculateur!HC34*Calculateur!HE34*VLOOKUP('Données projet'!$B$18,Paramètres!$A$1:$I$89,3,0)*0.475*44/12</f>
        <v>16.111464221755515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78.802031460219752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2.25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8.25</v>
      </c>
      <c r="H35" s="66">
        <f t="shared" si="1"/>
        <v>223.66666666666666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8.147490842142858</v>
      </c>
      <c r="N35" s="13">
        <f>IF('Données projet'!$A$36&gt;35,N34+M35-V34,IF(A35&lt;'Données projet'!$A$36,$K$205^A35,IF(A35='Données projet'!$A$36,'Données projet'!$B$36,N34+M35-V34)))</f>
        <v>104.00010989428571</v>
      </c>
      <c r="O35" s="13">
        <f>N35*VLOOKUP('Données projet'!$B$9,Paramètres!$A$1:$I$89,3,0)*VLOOKUP('Données projet'!$B$9,Paramètres!$A$1:$I$89,5,0)</f>
        <v>94.09929943234971</v>
      </c>
      <c r="P35" s="13">
        <f t="shared" si="33"/>
        <v>25.55129988819704</v>
      </c>
      <c r="Q35" s="20">
        <f t="shared" ref="Q35:Q66" si="53">(O35+P35)*0.475*44/12</f>
        <v>208.39146048328556</v>
      </c>
      <c r="R35" s="59">
        <f t="shared" si="0"/>
        <v>478.1624199328553</v>
      </c>
      <c r="S35" s="59">
        <f ca="1">AVERAGE(OFFSET($R$3,0,0,'Données projet'!$E$9+1,1))-AVERAGE(OFFSET($H$3,0,0,'Données projet'!$E$9+1,1))</f>
        <v>490.57849401500789</v>
      </c>
      <c r="T35" s="59">
        <f t="shared" si="34"/>
        <v>221.7570623669753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4.8292136753333335</v>
      </c>
      <c r="AI35" s="13">
        <f>IF('Données projet'!$A$62&gt;35,AI34+AH35-AQ34,IF(A35&lt;'Données projet'!$A$62,$AF$205^A35,IF(A35='Données projet'!$A$62,'Données projet'!$B$62,AI34+AH35-AQ34)))</f>
        <v>66.402017090666661</v>
      </c>
      <c r="AJ35" s="13">
        <f>AI35*VLOOKUP('Données projet'!$B$10,Paramètres!$A$1:$I$89,3,0)*VLOOKUP('Données projet'!$B$10,Paramètres!$A$1:$I$89,5,0)</f>
        <v>44.542473064419198</v>
      </c>
      <c r="AK35" s="13">
        <f t="shared" si="35"/>
        <v>13.194989815924428</v>
      </c>
      <c r="AL35" s="20">
        <f t="shared" si="4"/>
        <v>100.55941451659847</v>
      </c>
      <c r="AM35" s="59">
        <f t="shared" si="5"/>
        <v>370.33037396616817</v>
      </c>
      <c r="AN35" s="59">
        <f ca="1">AVERAGE(OFFSET($AM$3,0,0,'Données projet'!$E$10+1,1))-AVERAGE(OFFSET($H$3,0,0,'Données projet'!$E$10+1,1))</f>
        <v>377.00534440335832</v>
      </c>
      <c r="AO35" s="59">
        <f t="shared" si="36"/>
        <v>131.56029120000656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7.2</v>
      </c>
      <c r="BD35" s="12">
        <f>IF('Données projet'!$A$88&gt;35,BD34+BC35-BL34,IF(A35&lt;'Données projet'!$A$88,$BA$205^A35,IF(A35='Données projet'!$A$88,'Données projet'!$B$88,BD34+BC35-BL34)))</f>
        <v>113.4</v>
      </c>
      <c r="BE35" s="13">
        <f>BD35*VLOOKUP('Données projet'!$B$11,Paramètres!$A$1:$I$89,3,0)*VLOOKUP('Données projet'!$B$11,Paramètres!$A$1:$I$89,5,0)</f>
        <v>99.066240000000022</v>
      </c>
      <c r="BF35" s="13">
        <f t="shared" si="37"/>
        <v>26.739420789378705</v>
      </c>
      <c r="BG35" s="20">
        <f t="shared" si="7"/>
        <v>219.11152587483457</v>
      </c>
      <c r="BH35" s="59">
        <f t="shared" si="8"/>
        <v>488.88248532440429</v>
      </c>
      <c r="BI35" s="59">
        <f ca="1">AVERAGE(OFFSET($BH$3,0,0,'Données projet'!$E$11+1,1))-AVERAGE(OFFSET($H$3,0,0,'Données projet'!$E$11+1,1))</f>
        <v>314.1123649635374</v>
      </c>
      <c r="BJ35" s="59">
        <f t="shared" si="38"/>
        <v>274.92342227914889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514.73237874228721</v>
      </c>
      <c r="CD35" s="59">
        <f ca="1">AVERAGE(OFFSET($CC$3,0,0,'Données projet'!$E$12+1,1))-AVERAGE(OFFSET($H$3,0,0,'Données projet'!$E$12+1,1))</f>
        <v>309.86296291630748</v>
      </c>
      <c r="CE35" s="59">
        <f t="shared" si="40"/>
        <v>301.17633325088661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10.199999999999999</v>
      </c>
      <c r="CT35" s="12">
        <f>IF('Données projet'!$A$140&gt;35,CT34+CS35-DB34,IF(A35&lt;'Données projet'!$A$140,$CQ$205^A35,IF(A35='Données projet'!$A$140,'Données projet'!$B$140,CT34+CS35-DB34)))</f>
        <v>108.40000000000002</v>
      </c>
      <c r="CU35" s="17">
        <f>CT35*VLOOKUP('Données projet'!$B$13,Paramètres!$A$1:$I$89,3,0)*VLOOKUP('Données projet'!$B$13,Paramètres!$A$1:$I$89,5,0)</f>
        <v>93.007200000000026</v>
      </c>
      <c r="CV35" s="13">
        <f t="shared" si="41"/>
        <v>25.289096064617418</v>
      </c>
      <c r="CW35" s="20">
        <f t="shared" si="13"/>
        <v>206.03271564587536</v>
      </c>
      <c r="CX35" s="59">
        <f t="shared" si="14"/>
        <v>475.8036750954451</v>
      </c>
      <c r="CY35" s="59">
        <f ca="1">AVERAGE(OFFSET($CX$3,0,0,'Données projet'!$E$13+1,1))-AVERAGE(OFFSET($H$3,0,0,'Données projet'!$E$13+1,1))</f>
        <v>462.66388549889928</v>
      </c>
      <c r="CZ35" s="59">
        <f t="shared" si="42"/>
        <v>265.3725203415089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7.3717948699999996</v>
      </c>
      <c r="DO35" s="12">
        <f>IF('Données projet'!$A$166&gt;35,DO34+DN35-DW34,IF(A35&lt;'Données projet'!$A$166,$DL$205^A35,IF(A35='Données projet'!$A$166,'Données projet'!$B$166,DO34+DN35-DW34)))</f>
        <v>83.653846150000007</v>
      </c>
      <c r="DP35" s="17">
        <f>DO35*VLOOKUP('Données projet'!$B$14,Paramètres!$A$1:$I$89,3,0)*VLOOKUP('Données projet'!$B$14,Paramètres!$A$1:$I$89,5,0)</f>
        <v>65.249999997000003</v>
      </c>
      <c r="DQ35" s="13">
        <f t="shared" si="43"/>
        <v>18.489084563997466</v>
      </c>
      <c r="DR35" s="20">
        <f t="shared" si="16"/>
        <v>145.8455722770706</v>
      </c>
      <c r="DS35" s="59">
        <f t="shared" si="17"/>
        <v>415.61653172664035</v>
      </c>
      <c r="DT35" s="59">
        <f ca="1">AVERAGE(OFFSET($DS$3,0,0,'Données projet'!$E$14+1,1))-AVERAGE(OFFSET($H$3,0,0,'Données projet'!$E$14+1,1))</f>
        <v>206.5241977687125</v>
      </c>
      <c r="DU35" s="59">
        <f t="shared" si="44"/>
        <v>205.25001043771269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8.3885561156919959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8.3885561156919959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6.6</v>
      </c>
      <c r="EJ35" s="12">
        <f>IF('Données projet'!$A$192&gt;35,EJ34+EI35-ER34,IF(A35&lt;'Données projet'!$A$192,$EG$205^A35,IF(A35='Données projet'!$A$192,'Données projet'!$B$192,EJ34+EI35-ER34)))</f>
        <v>75.2</v>
      </c>
      <c r="EK35" s="17">
        <f>EJ35*VLOOKUP('Données projet'!$B$15,Paramètres!$A$1:$I$89,3,0)*VLOOKUP('Données projet'!$B$15,Paramètres!$A$1:$I$89,5,0)</f>
        <v>65.694720000000018</v>
      </c>
      <c r="EL35" s="13">
        <f t="shared" si="45"/>
        <v>18.600387185619521</v>
      </c>
      <c r="EM35" s="20">
        <f t="shared" si="19"/>
        <v>146.81397834828735</v>
      </c>
      <c r="EN35" s="59">
        <f t="shared" si="20"/>
        <v>416.58493779785704</v>
      </c>
      <c r="EO35" s="59">
        <f ca="1">AVERAGE(OFFSET($EN$3,0,0,'Données projet'!$E$15+1,1))-AVERAGE(OFFSET($H$3,0,0,'Données projet'!$E$15+1,1))</f>
        <v>205.83135724908942</v>
      </c>
      <c r="EP35" s="59">
        <f t="shared" si="46"/>
        <v>193.60053377311405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7.2</v>
      </c>
      <c r="FE35" s="12">
        <f>IF('Données projet'!$A$218&gt;35,FE34+FD35-FM34,IF(A35&lt;'Données projet'!$A$218,$FB$205^A35,IF(A35='Données projet'!$A$218,'Données projet'!$B$218,FE34+FD35-FM34)))</f>
        <v>131.4</v>
      </c>
      <c r="FF35" s="17">
        <f>FE35*VLOOKUP('Données projet'!$B$16,Paramètres!$A$1:$I$89,3,0)*VLOOKUP('Données projet'!$B$16,Paramètres!$A$1:$I$89,5,0)</f>
        <v>86.093280000000007</v>
      </c>
      <c r="FG35" s="13">
        <f t="shared" si="47"/>
        <v>23.620598504835936</v>
      </c>
      <c r="FH35" s="20">
        <f t="shared" si="22"/>
        <v>191.08500506258926</v>
      </c>
      <c r="FI35" s="59">
        <f t="shared" si="23"/>
        <v>460.85596451215895</v>
      </c>
      <c r="FJ35" s="59">
        <f ca="1">AVERAGE(OFFSET($FI$3,0,0,'Données projet'!$E$16+1,1))-AVERAGE(OFFSET($H$3,0,0,'Données projet'!$E$16+1,1))</f>
        <v>242.76791261317206</v>
      </c>
      <c r="FK35" s="59">
        <f t="shared" si="48"/>
        <v>244.28580264867682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8.147490842142858</v>
      </c>
      <c r="FZ35" s="12">
        <f>IF('Données projet'!$A$244&gt;35,FZ34+FY35-GH34,IF(A35&lt;'Données projet'!$A$244,$FW$205^A35,IF(A35='Données projet'!$A$244,'Données projet'!$B$244,FZ34+FY35-GH34)))</f>
        <v>104.00010989428571</v>
      </c>
      <c r="GA35" s="17">
        <f>FZ35*VLOOKUP('Données projet'!$B$17,Paramètres!$A$1:$I$89,3,0)*VLOOKUP('Données projet'!$B$17,Paramètres!$A$1:$I$89,5,0)</f>
        <v>98.966504575402283</v>
      </c>
      <c r="GB35" s="13">
        <f t="shared" si="49"/>
        <v>26.715632844729015</v>
      </c>
      <c r="GC35" s="20">
        <f t="shared" si="25"/>
        <v>218.896389340062</v>
      </c>
      <c r="GD35" s="59">
        <f t="shared" si="26"/>
        <v>488.66734878963172</v>
      </c>
      <c r="GE35" s="59">
        <f ca="1">AVERAGE(OFFSET($GD$3,0,0,'Données projet'!$E$17+1,1))-AVERAGE(OFFSET($H$3,0,0,'Données projet'!$E$17+1,1))</f>
        <v>512.71941256120977</v>
      </c>
      <c r="GF35" s="59">
        <f t="shared" si="50"/>
        <v>230.65031527019354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63.573898031700836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-5.6843418860808015E-14</v>
      </c>
      <c r="GV35" s="17">
        <f>GU35*VLOOKUP('Données projet'!$B$18,Paramètres!$A$1:$I$89,3,0)*VLOOKUP('Données projet'!$B$18,Paramètres!$A$1:$I$89,5,0)</f>
        <v>-2.5006556825246661E-14</v>
      </c>
      <c r="GW35" s="13" t="e">
        <f t="shared" si="51"/>
        <v>#NUM!</v>
      </c>
      <c r="GX35" s="20" t="e">
        <f t="shared" si="28"/>
        <v>#NUM!</v>
      </c>
      <c r="GY35" s="59" t="e">
        <f t="shared" si="29"/>
        <v>#NUM!</v>
      </c>
      <c r="GZ35" s="59">
        <f ca="1">AVERAGE(OFFSET($GY$3,0,0,'Données projet'!$E$18+1,1))-AVERAGE(OFFSET($H$3,0,0,'Données projet'!$E$18+1,1))</f>
        <v>180.68917161146683</v>
      </c>
      <c r="HA35" s="59">
        <f t="shared" si="52"/>
        <v>344.42126252322419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61.461243452388338</v>
      </c>
      <c r="HH35" s="21">
        <f>EXP(-LN(2)/25)*HH34+(1-EXP(-LN(2)/25))/(LN(2)/25)*Calculateur!HC35*Calculateur!HE35*VLOOKUP('Données projet'!$B$18,Paramètres!$A$1:$I$89,3,0)*0.475*44/12</f>
        <v>15.67089538534653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77.132138837734871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2.25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8.25</v>
      </c>
      <c r="H36" s="66">
        <f t="shared" si="1"/>
        <v>223.66666666666666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8.147490842142858</v>
      </c>
      <c r="N36" s="13">
        <f>IF('Données projet'!$A$36&gt;35,N35+M36-V35,IF(A36&lt;'Données projet'!$A$36,$K$205^A36,IF(A36='Données projet'!$A$36,'Données projet'!$B$36,N35+M36-V35)))</f>
        <v>112.14760073642857</v>
      </c>
      <c r="O36" s="13">
        <f>N36*VLOOKUP('Données projet'!$B$9,Paramètres!$A$1:$I$89,3,0)*VLOOKUP('Données projet'!$B$9,Paramètres!$A$1:$I$89,5,0)</f>
        <v>101.47114914632057</v>
      </c>
      <c r="P36" s="13">
        <f t="shared" si="33"/>
        <v>27.312180091080013</v>
      </c>
      <c r="Q36" s="20">
        <f t="shared" si="53"/>
        <v>224.29763175513935</v>
      </c>
      <c r="R36" s="59">
        <f t="shared" si="0"/>
        <v>494.477345714016</v>
      </c>
      <c r="S36" s="59">
        <f ca="1">AVERAGE(OFFSET($R$3,0,0,'Données projet'!$E$9+1,1))-AVERAGE(OFFSET($H$3,0,0,'Données projet'!$E$9+1,1))</f>
        <v>490.57849401500789</v>
      </c>
      <c r="T36" s="59">
        <f t="shared" si="34"/>
        <v>221.7570623669753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4.8292136753333335</v>
      </c>
      <c r="AI36" s="13">
        <f>IF('Données projet'!$A$62&gt;35,AI35+AH36-AQ35,IF(A36&lt;'Données projet'!$A$62,$AF$205^A36,IF(A36='Données projet'!$A$62,'Données projet'!$B$62,AI35+AH36-AQ35)))</f>
        <v>71.231230765999996</v>
      </c>
      <c r="AJ36" s="13">
        <f>AI36*VLOOKUP('Données projet'!$B$10,Paramètres!$A$1:$I$89,3,0)*VLOOKUP('Données projet'!$B$10,Paramètres!$A$1:$I$89,5,0)</f>
        <v>47.781909597832801</v>
      </c>
      <c r="AK36" s="13">
        <f t="shared" si="35"/>
        <v>14.039424170312349</v>
      </c>
      <c r="AL36" s="20">
        <f t="shared" si="4"/>
        <v>107.67215631285281</v>
      </c>
      <c r="AM36" s="59">
        <f t="shared" si="5"/>
        <v>377.85187027172947</v>
      </c>
      <c r="AN36" s="59">
        <f ca="1">AVERAGE(OFFSET($AM$3,0,0,'Données projet'!$E$10+1,1))-AVERAGE(OFFSET($H$3,0,0,'Données projet'!$E$10+1,1))</f>
        <v>377.00534440335832</v>
      </c>
      <c r="AO36" s="59">
        <f t="shared" si="36"/>
        <v>131.56029120000656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7.2</v>
      </c>
      <c r="BD36" s="12">
        <f>IF('Données projet'!$A$88&gt;35,BD35+BC36-BL35,IF(A36&lt;'Données projet'!$A$88,$BA$205^A36,IF(A36='Données projet'!$A$88,'Données projet'!$B$88,BD35+BC36-BL35)))</f>
        <v>120.60000000000001</v>
      </c>
      <c r="BE36" s="13">
        <f>BD36*VLOOKUP('Données projet'!$B$11,Paramètres!$A$1:$I$89,3,0)*VLOOKUP('Données projet'!$B$11,Paramètres!$A$1:$I$89,5,0)</f>
        <v>105.35616000000003</v>
      </c>
      <c r="BF36" s="13">
        <f t="shared" si="37"/>
        <v>28.234128165723941</v>
      </c>
      <c r="BG36" s="20">
        <f t="shared" si="7"/>
        <v>232.66975188863589</v>
      </c>
      <c r="BH36" s="59">
        <f t="shared" si="8"/>
        <v>502.84946584751253</v>
      </c>
      <c r="BI36" s="59">
        <f ca="1">AVERAGE(OFFSET($BH$3,0,0,'Données projet'!$E$11+1,1))-AVERAGE(OFFSET($H$3,0,0,'Données projet'!$E$11+1,1))</f>
        <v>314.1123649635374</v>
      </c>
      <c r="BJ36" s="59">
        <f t="shared" si="38"/>
        <v>274.92342227914889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533.61292127127967</v>
      </c>
      <c r="CD36" s="59">
        <f ca="1">AVERAGE(OFFSET($CC$3,0,0,'Données projet'!$E$12+1,1))-AVERAGE(OFFSET($H$3,0,0,'Données projet'!$E$12+1,1))</f>
        <v>309.86296291630748</v>
      </c>
      <c r="CE36" s="59">
        <f t="shared" si="40"/>
        <v>301.17633325088661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10.199999999999999</v>
      </c>
      <c r="CT36" s="12">
        <f>IF('Données projet'!$A$140&gt;35,CT35+CS36-DB35,IF(A36&lt;'Données projet'!$A$140,$CQ$205^A36,IF(A36='Données projet'!$A$140,'Données projet'!$B$140,CT35+CS36-DB35)))</f>
        <v>118.60000000000002</v>
      </c>
      <c r="CU36" s="17">
        <f>CT36*VLOOKUP('Données projet'!$B$13,Paramètres!$A$1:$I$89,3,0)*VLOOKUP('Données projet'!$B$13,Paramètres!$A$1:$I$89,5,0)</f>
        <v>101.75880000000004</v>
      </c>
      <c r="CV36" s="13">
        <f t="shared" si="41"/>
        <v>27.380581268956313</v>
      </c>
      <c r="CW36" s="20">
        <f t="shared" si="13"/>
        <v>224.91775571009896</v>
      </c>
      <c r="CX36" s="59">
        <f t="shared" si="14"/>
        <v>495.09746966897563</v>
      </c>
      <c r="CY36" s="59">
        <f ca="1">AVERAGE(OFFSET($CX$3,0,0,'Données projet'!$E$13+1,1))-AVERAGE(OFFSET($H$3,0,0,'Données projet'!$E$13+1,1))</f>
        <v>462.66388549889928</v>
      </c>
      <c r="CZ36" s="59">
        <f t="shared" si="42"/>
        <v>265.3725203415089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7.3717948699999996</v>
      </c>
      <c r="DO36" s="12">
        <f>IF('Données projet'!$A$166&gt;35,DO35+DN36-DW35,IF(A36&lt;'Données projet'!$A$166,$DL$205^A36,IF(A36='Données projet'!$A$166,'Données projet'!$B$166,DO35+DN36-DW35)))</f>
        <v>91.025641020000009</v>
      </c>
      <c r="DP36" s="17">
        <f>DO36*VLOOKUP('Données projet'!$B$14,Paramètres!$A$1:$I$89,3,0)*VLOOKUP('Données projet'!$B$14,Paramètres!$A$1:$I$89,5,0)</f>
        <v>70.999999995600007</v>
      </c>
      <c r="DQ36" s="13">
        <f t="shared" si="43"/>
        <v>19.9215874311266</v>
      </c>
      <c r="DR36" s="20">
        <f t="shared" si="16"/>
        <v>158.35509810154883</v>
      </c>
      <c r="DS36" s="59">
        <f t="shared" si="17"/>
        <v>428.53481206042551</v>
      </c>
      <c r="DT36" s="59">
        <f ca="1">AVERAGE(OFFSET($DS$3,0,0,'Données projet'!$E$14+1,1))-AVERAGE(OFFSET($H$3,0,0,'Données projet'!$E$14+1,1))</f>
        <v>206.5241977687125</v>
      </c>
      <c r="DU36" s="59">
        <f t="shared" si="44"/>
        <v>205.25001043771269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8.224061646777292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8.224061646777292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6.6</v>
      </c>
      <c r="EJ36" s="12">
        <f>IF('Données projet'!$A$192&gt;35,EJ35+EI36-ER35,IF(A36&lt;'Données projet'!$A$192,$EG$205^A36,IF(A36='Données projet'!$A$192,'Données projet'!$B$192,EJ35+EI36-ER35)))</f>
        <v>81.8</v>
      </c>
      <c r="EK36" s="17">
        <f>EJ36*VLOOKUP('Données projet'!$B$15,Paramètres!$A$1:$I$89,3,0)*VLOOKUP('Données projet'!$B$15,Paramètres!$A$1:$I$89,5,0)</f>
        <v>71.460480000000004</v>
      </c>
      <c r="EL36" s="13">
        <f t="shared" si="45"/>
        <v>20.035709203981977</v>
      </c>
      <c r="EM36" s="20">
        <f t="shared" si="19"/>
        <v>159.35586286360194</v>
      </c>
      <c r="EN36" s="59">
        <f t="shared" si="20"/>
        <v>429.53557682247862</v>
      </c>
      <c r="EO36" s="59">
        <f ca="1">AVERAGE(OFFSET($EN$3,0,0,'Données projet'!$E$15+1,1))-AVERAGE(OFFSET($H$3,0,0,'Données projet'!$E$15+1,1))</f>
        <v>205.83135724908942</v>
      </c>
      <c r="EP36" s="59">
        <f t="shared" si="46"/>
        <v>193.60053377311405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7.2</v>
      </c>
      <c r="FE36" s="12">
        <f>IF('Données projet'!$A$218&gt;35,FE35+FD36-FM35,IF(A36&lt;'Données projet'!$A$218,$FB$205^A36,IF(A36='Données projet'!$A$218,'Données projet'!$B$218,FE35+FD36-FM35)))</f>
        <v>138.6</v>
      </c>
      <c r="FF36" s="17">
        <f>FE36*VLOOKUP('Données projet'!$B$16,Paramètres!$A$1:$I$89,3,0)*VLOOKUP('Données projet'!$B$16,Paramètres!$A$1:$I$89,5,0)</f>
        <v>90.810720000000003</v>
      </c>
      <c r="FG36" s="13">
        <f t="shared" si="47"/>
        <v>24.760648970178448</v>
      </c>
      <c r="FH36" s="20">
        <f t="shared" si="22"/>
        <v>201.28680095639413</v>
      </c>
      <c r="FI36" s="59">
        <f t="shared" si="23"/>
        <v>471.46651491527081</v>
      </c>
      <c r="FJ36" s="59">
        <f ca="1">AVERAGE(OFFSET($FI$3,0,0,'Données projet'!$E$16+1,1))-AVERAGE(OFFSET($H$3,0,0,'Données projet'!$E$16+1,1))</f>
        <v>242.76791261317206</v>
      </c>
      <c r="FK36" s="59">
        <f t="shared" si="48"/>
        <v>244.28580264867682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8.147490842142858</v>
      </c>
      <c r="FZ36" s="12">
        <f>IF('Données projet'!$A$244&gt;35,FZ35+FY36-GH35,IF(A36&lt;'Données projet'!$A$244,$FW$205^A36,IF(A36='Données projet'!$A$244,'Données projet'!$B$244,FZ35+FY36-GH35)))</f>
        <v>112.14760073642857</v>
      </c>
      <c r="GA36" s="17">
        <f>FZ36*VLOOKUP('Données projet'!$B$17,Paramètres!$A$1:$I$89,3,0)*VLOOKUP('Données projet'!$B$17,Paramètres!$A$1:$I$89,5,0)</f>
        <v>106.71965686078542</v>
      </c>
      <c r="GB36" s="13">
        <f t="shared" si="49"/>
        <v>28.556753617042631</v>
      </c>
      <c r="GC36" s="20">
        <f t="shared" si="25"/>
        <v>235.60641491555052</v>
      </c>
      <c r="GD36" s="59">
        <f t="shared" si="26"/>
        <v>505.78612887442716</v>
      </c>
      <c r="GE36" s="59">
        <f ca="1">AVERAGE(OFFSET($GD$3,0,0,'Données projet'!$E$17+1,1))-AVERAGE(OFFSET($H$3,0,0,'Données projet'!$E$17+1,1))</f>
        <v>512.71941256120977</v>
      </c>
      <c r="GF36" s="59">
        <f t="shared" si="50"/>
        <v>230.65031527019354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63.685376534239097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-5.6843418860808015E-14</v>
      </c>
      <c r="GV36" s="17">
        <f>GU36*VLOOKUP('Données projet'!$B$18,Paramètres!$A$1:$I$89,3,0)*VLOOKUP('Données projet'!$B$18,Paramètres!$A$1:$I$89,5,0)</f>
        <v>-2.5006556825246661E-14</v>
      </c>
      <c r="GW36" s="13" t="e">
        <f t="shared" si="51"/>
        <v>#NUM!</v>
      </c>
      <c r="GX36" s="20" t="e">
        <f t="shared" si="28"/>
        <v>#NUM!</v>
      </c>
      <c r="GY36" s="59" t="e">
        <f t="shared" si="29"/>
        <v>#NUM!</v>
      </c>
      <c r="GZ36" s="59">
        <f ca="1">AVERAGE(OFFSET($GY$3,0,0,'Données projet'!$E$18+1,1))-AVERAGE(OFFSET($H$3,0,0,'Données projet'!$E$18+1,1))</f>
        <v>180.68917161146683</v>
      </c>
      <c r="HA36" s="59">
        <f t="shared" si="52"/>
        <v>344.42126252322419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60.256025955943912</v>
      </c>
      <c r="HH36" s="21">
        <f>EXP(-LN(2)/25)*HH35+(1-EXP(-LN(2)/25))/(LN(2)/25)*Calculateur!HC36*Calculateur!HE36*VLOOKUP('Données projet'!$B$18,Paramètres!$A$1:$I$89,3,0)*0.475*44/12</f>
        <v>15.242373926937656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75.498399882881571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2.25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8.25</v>
      </c>
      <c r="H37" s="66">
        <f t="shared" si="1"/>
        <v>223.66666666666666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8.147490842142858</v>
      </c>
      <c r="N37" s="13">
        <f>IF('Données projet'!$A$36&gt;35,N36+M37-V36,IF(A37&lt;'Données projet'!$A$36,$K$205^A37,IF(A37='Données projet'!$A$36,'Données projet'!$B$36,N36+M37-V36)))</f>
        <v>120.29509157857143</v>
      </c>
      <c r="O37" s="13">
        <f>N37*VLOOKUP('Données projet'!$B$9,Paramètres!$A$1:$I$89,3,0)*VLOOKUP('Données projet'!$B$9,Paramètres!$A$1:$I$89,5,0)</f>
        <v>108.84299886029142</v>
      </c>
      <c r="P37" s="13">
        <f t="shared" si="33"/>
        <v>29.058218549375493</v>
      </c>
      <c r="Q37" s="20">
        <f t="shared" si="53"/>
        <v>240.17795365516986</v>
      </c>
      <c r="R37" s="59">
        <f t="shared" si="0"/>
        <v>510.75933114645522</v>
      </c>
      <c r="S37" s="59">
        <f ca="1">AVERAGE(OFFSET($R$3,0,0,'Données projet'!$E$9+1,1))-AVERAGE(OFFSET($H$3,0,0,'Données projet'!$E$9+1,1))</f>
        <v>490.57849401500789</v>
      </c>
      <c r="T37" s="59">
        <f t="shared" si="34"/>
        <v>221.7570623669753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4.8292136753333335</v>
      </c>
      <c r="AI37" s="13">
        <f>IF('Données projet'!$A$62&gt;35,AI36+AH37-AQ36,IF(A37&lt;'Données projet'!$A$62,$AF$205^A37,IF(A37='Données projet'!$A$62,'Données projet'!$B$62,AI36+AH37-AQ36)))</f>
        <v>76.060444441333331</v>
      </c>
      <c r="AJ37" s="13">
        <f>AI37*VLOOKUP('Données projet'!$B$10,Paramètres!$A$1:$I$89,3,0)*VLOOKUP('Données projet'!$B$10,Paramètres!$A$1:$I$89,5,0)</f>
        <v>51.021346131246396</v>
      </c>
      <c r="AK37" s="13">
        <f t="shared" si="35"/>
        <v>14.87721553525876</v>
      </c>
      <c r="AL37" s="20">
        <f t="shared" si="4"/>
        <v>114.77332823582981</v>
      </c>
      <c r="AM37" s="59">
        <f t="shared" si="5"/>
        <v>385.35470572711517</v>
      </c>
      <c r="AN37" s="59">
        <f ca="1">AVERAGE(OFFSET($AM$3,0,0,'Données projet'!$E$10+1,1))-AVERAGE(OFFSET($H$3,0,0,'Données projet'!$E$10+1,1))</f>
        <v>377.00534440335832</v>
      </c>
      <c r="AO37" s="59">
        <f t="shared" si="36"/>
        <v>131.56029120000656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7.2</v>
      </c>
      <c r="BD37" s="12">
        <f>IF('Données projet'!$A$88&gt;35,BD36+BC37-BL36,IF(A37&lt;'Données projet'!$A$88,$BA$205^A37,IF(A37='Données projet'!$A$88,'Données projet'!$B$88,BD36+BC37-BL36)))</f>
        <v>127.80000000000001</v>
      </c>
      <c r="BE37" s="13">
        <f>BD37*VLOOKUP('Données projet'!$B$11,Paramètres!$A$1:$I$89,3,0)*VLOOKUP('Données projet'!$B$11,Paramètres!$A$1:$I$89,5,0)</f>
        <v>111.64608000000003</v>
      </c>
      <c r="BF37" s="13">
        <f t="shared" si="37"/>
        <v>29.718477955114288</v>
      </c>
      <c r="BG37" s="20">
        <f t="shared" si="7"/>
        <v>246.20993843849078</v>
      </c>
      <c r="BH37" s="59">
        <f t="shared" si="8"/>
        <v>516.79131592977615</v>
      </c>
      <c r="BI37" s="59">
        <f ca="1">AVERAGE(OFFSET($BH$3,0,0,'Données projet'!$E$11+1,1))-AVERAGE(OFFSET($H$3,0,0,'Données projet'!$E$11+1,1))</f>
        <v>314.1123649635374</v>
      </c>
      <c r="BJ37" s="59">
        <f t="shared" si="38"/>
        <v>274.92342227914889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552.45715893234342</v>
      </c>
      <c r="CD37" s="59">
        <f ca="1">AVERAGE(OFFSET($CC$3,0,0,'Données projet'!$E$12+1,1))-AVERAGE(OFFSET($H$3,0,0,'Données projet'!$E$12+1,1))</f>
        <v>309.86296291630748</v>
      </c>
      <c r="CE37" s="59">
        <f t="shared" si="40"/>
        <v>301.17633325088661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10.199999999999999</v>
      </c>
      <c r="CT37" s="12">
        <f>IF('Données projet'!$A$140&gt;35,CT36+CS37-DB36,IF(A37&lt;'Données projet'!$A$140,$CQ$205^A37,IF(A37='Données projet'!$A$140,'Données projet'!$B$140,CT36+CS37-DB36)))</f>
        <v>128.80000000000001</v>
      </c>
      <c r="CU37" s="17">
        <f>CT37*VLOOKUP('Données projet'!$B$13,Paramètres!$A$1:$I$89,3,0)*VLOOKUP('Données projet'!$B$13,Paramètres!$A$1:$I$89,5,0)</f>
        <v>110.51040000000003</v>
      </c>
      <c r="CV37" s="13">
        <f t="shared" si="41"/>
        <v>29.451206375056412</v>
      </c>
      <c r="CW37" s="20">
        <f t="shared" si="13"/>
        <v>243.76646443655662</v>
      </c>
      <c r="CX37" s="59">
        <f t="shared" si="14"/>
        <v>514.34784192784196</v>
      </c>
      <c r="CY37" s="59">
        <f ca="1">AVERAGE(OFFSET($CX$3,0,0,'Données projet'!$E$13+1,1))-AVERAGE(OFFSET($H$3,0,0,'Données projet'!$E$13+1,1))</f>
        <v>462.66388549889928</v>
      </c>
      <c r="CZ37" s="59">
        <f t="shared" si="42"/>
        <v>265.3725203415089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7.3717948699999996</v>
      </c>
      <c r="DO37" s="12">
        <f>IF('Données projet'!$A$166&gt;35,DO36+DN37-DW36,IF(A37&lt;'Données projet'!$A$166,$DL$205^A37,IF(A37='Données projet'!$A$166,'Données projet'!$B$166,DO36+DN37-DW36)))</f>
        <v>98.397435890000011</v>
      </c>
      <c r="DP37" s="17">
        <f>DO37*VLOOKUP('Données projet'!$B$14,Paramètres!$A$1:$I$89,3,0)*VLOOKUP('Données projet'!$B$14,Paramètres!$A$1:$I$89,5,0)</f>
        <v>76.74999999420001</v>
      </c>
      <c r="DQ37" s="13">
        <f t="shared" si="43"/>
        <v>21.340634369569766</v>
      </c>
      <c r="DR37" s="20">
        <f t="shared" si="16"/>
        <v>170.84118818356569</v>
      </c>
      <c r="DS37" s="59">
        <f t="shared" si="17"/>
        <v>441.42256567485106</v>
      </c>
      <c r="DT37" s="59">
        <f ca="1">AVERAGE(OFFSET($DS$3,0,0,'Données projet'!$E$14+1,1))-AVERAGE(OFFSET($H$3,0,0,'Données projet'!$E$14+1,1))</f>
        <v>206.5241977687125</v>
      </c>
      <c r="DU37" s="59">
        <f t="shared" si="44"/>
        <v>205.25001043771269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8.0627928140662863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8.0627928140662863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6.6</v>
      </c>
      <c r="EJ37" s="12">
        <f>IF('Données projet'!$A$192&gt;35,EJ36+EI37-ER36,IF(A37&lt;'Données projet'!$A$192,$EG$205^A37,IF(A37='Données projet'!$A$192,'Données projet'!$B$192,EJ36+EI37-ER36)))</f>
        <v>88.399999999999991</v>
      </c>
      <c r="EK37" s="17">
        <f>EJ37*VLOOKUP('Données projet'!$B$15,Paramètres!$A$1:$I$89,3,0)*VLOOKUP('Données projet'!$B$15,Paramètres!$A$1:$I$89,5,0)</f>
        <v>77.226240000000004</v>
      </c>
      <c r="EL37" s="13">
        <f t="shared" si="45"/>
        <v>21.457598855530147</v>
      </c>
      <c r="EM37" s="20">
        <f t="shared" si="19"/>
        <v>171.87435267338171</v>
      </c>
      <c r="EN37" s="59">
        <f t="shared" si="20"/>
        <v>442.4557301646671</v>
      </c>
      <c r="EO37" s="59">
        <f ca="1">AVERAGE(OFFSET($EN$3,0,0,'Données projet'!$E$15+1,1))-AVERAGE(OFFSET($H$3,0,0,'Données projet'!$E$15+1,1))</f>
        <v>205.83135724908942</v>
      </c>
      <c r="EP37" s="59">
        <f t="shared" si="46"/>
        <v>193.60053377311405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7.2</v>
      </c>
      <c r="FE37" s="12">
        <f>IF('Données projet'!$A$218&gt;35,FE36+FD37-FM36,IF(A37&lt;'Données projet'!$A$218,$FB$205^A37,IF(A37='Données projet'!$A$218,'Données projet'!$B$218,FE36+FD37-FM36)))</f>
        <v>145.79999999999998</v>
      </c>
      <c r="FF37" s="17">
        <f>FE37*VLOOKUP('Données projet'!$B$16,Paramètres!$A$1:$I$89,3,0)*VLOOKUP('Données projet'!$B$16,Paramètres!$A$1:$I$89,5,0)</f>
        <v>95.528159999999986</v>
      </c>
      <c r="FG37" s="13">
        <f t="shared" si="47"/>
        <v>25.893823366813653</v>
      </c>
      <c r="FH37" s="20">
        <f t="shared" si="22"/>
        <v>211.47662103053372</v>
      </c>
      <c r="FI37" s="59">
        <f t="shared" si="23"/>
        <v>482.05799852181906</v>
      </c>
      <c r="FJ37" s="59">
        <f ca="1">AVERAGE(OFFSET($FI$3,0,0,'Données projet'!$E$16+1,1))-AVERAGE(OFFSET($H$3,0,0,'Données projet'!$E$16+1,1))</f>
        <v>242.76791261317206</v>
      </c>
      <c r="FK37" s="59">
        <f t="shared" si="48"/>
        <v>244.28580264867682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8.147490842142858</v>
      </c>
      <c r="FZ37" s="12">
        <f>IF('Données projet'!$A$244&gt;35,FZ36+FY37-GH36,IF(A37&lt;'Données projet'!$A$244,$FW$205^A37,IF(A37='Données projet'!$A$244,'Données projet'!$B$244,FZ36+FY37-GH36)))</f>
        <v>120.29509157857143</v>
      </c>
      <c r="GA37" s="17">
        <f>FZ37*VLOOKUP('Données projet'!$B$17,Paramètres!$A$1:$I$89,3,0)*VLOOKUP('Données projet'!$B$17,Paramètres!$A$1:$I$89,5,0)</f>
        <v>114.47280914616857</v>
      </c>
      <c r="GB37" s="13">
        <f t="shared" si="49"/>
        <v>30.382356329574176</v>
      </c>
      <c r="GC37" s="20">
        <f t="shared" si="25"/>
        <v>252.28941320358533</v>
      </c>
      <c r="GD37" s="59">
        <f t="shared" si="26"/>
        <v>522.87079069487072</v>
      </c>
      <c r="GE37" s="59">
        <f ca="1">AVERAGE(OFFSET($GD$3,0,0,'Données projet'!$E$17+1,1))-AVERAGE(OFFSET($H$3,0,0,'Données projet'!$E$17+1,1))</f>
        <v>512.71941256120977</v>
      </c>
      <c r="GF37" s="59">
        <f t="shared" si="50"/>
        <v>230.65031527019354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63.794921133986918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-5.6843418860808015E-14</v>
      </c>
      <c r="GV37" s="17">
        <f>GU37*VLOOKUP('Données projet'!$B$18,Paramètres!$A$1:$I$89,3,0)*VLOOKUP('Données projet'!$B$18,Paramètres!$A$1:$I$89,5,0)</f>
        <v>-2.5006556825246661E-14</v>
      </c>
      <c r="GW37" s="13" t="e">
        <f t="shared" si="51"/>
        <v>#NUM!</v>
      </c>
      <c r="GX37" s="20" t="e">
        <f t="shared" si="28"/>
        <v>#NUM!</v>
      </c>
      <c r="GY37" s="59" t="e">
        <f t="shared" si="29"/>
        <v>#NUM!</v>
      </c>
      <c r="GZ37" s="59">
        <f ca="1">AVERAGE(OFFSET($GY$3,0,0,'Données projet'!$E$18+1,1))-AVERAGE(OFFSET($H$3,0,0,'Données projet'!$E$18+1,1))</f>
        <v>180.68917161146683</v>
      </c>
      <c r="HA37" s="59">
        <f t="shared" si="52"/>
        <v>344.42126252322419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59.07444203949467</v>
      </c>
      <c r="HH37" s="21">
        <f>EXP(-LN(2)/25)*HH36+(1-EXP(-LN(2)/25))/(LN(2)/25)*Calculateur!HC37*Calculateur!HE37*VLOOKUP('Données projet'!$B$18,Paramètres!$A$1:$I$89,3,0)*0.475*44/12</f>
        <v>14.825570410343937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73.900012449838613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2.25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8.25</v>
      </c>
      <c r="H38" s="66">
        <f t="shared" si="1"/>
        <v>223.66666666666666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8.147490842142858</v>
      </c>
      <c r="N38" s="13">
        <f>IF('Données projet'!$A$36&gt;35,N37+M38-V37,IF(A38&lt;'Données projet'!$A$36,$K$205^A38,IF(A38='Données projet'!$A$36,'Données projet'!$B$36,N37+M38-V37)))</f>
        <v>128.4425824207143</v>
      </c>
      <c r="O38" s="13">
        <f>N38*VLOOKUP('Données projet'!$B$9,Paramètres!$A$1:$I$89,3,0)*VLOOKUP('Données projet'!$B$9,Paramètres!$A$1:$I$89,5,0)</f>
        <v>116.21484857426229</v>
      </c>
      <c r="P38" s="13">
        <f t="shared" si="33"/>
        <v>30.790534847842082</v>
      </c>
      <c r="Q38" s="20">
        <f t="shared" si="53"/>
        <v>256.03437612683177</v>
      </c>
      <c r="R38" s="59">
        <f t="shared" si="0"/>
        <v>527.0104491862237</v>
      </c>
      <c r="S38" s="59">
        <f ca="1">AVERAGE(OFFSET($R$3,0,0,'Données projet'!$E$9+1,1))-AVERAGE(OFFSET($H$3,0,0,'Données projet'!$E$9+1,1))</f>
        <v>490.57849401500789</v>
      </c>
      <c r="T38" s="59">
        <f t="shared" si="34"/>
        <v>221.7570623669753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4.8292136753333335</v>
      </c>
      <c r="AI38" s="13">
        <f>IF('Données projet'!$A$62&gt;35,AI37+AH38-AQ37,IF(A38&lt;'Données projet'!$A$62,$AF$205^A38,IF(A38='Données projet'!$A$62,'Données projet'!$B$62,AI37+AH38-AQ37)))</f>
        <v>80.889658116666666</v>
      </c>
      <c r="AJ38" s="13">
        <f>AI38*VLOOKUP('Données projet'!$B$10,Paramètres!$A$1:$I$89,3,0)*VLOOKUP('Données projet'!$B$10,Paramètres!$A$1:$I$89,5,0)</f>
        <v>54.260782664659999</v>
      </c>
      <c r="AK38" s="13">
        <f t="shared" si="35"/>
        <v>15.708833696071387</v>
      </c>
      <c r="AL38" s="20">
        <f t="shared" si="4"/>
        <v>121.86374849494048</v>
      </c>
      <c r="AM38" s="59">
        <f t="shared" si="5"/>
        <v>392.83982155433233</v>
      </c>
      <c r="AN38" s="59">
        <f ca="1">AVERAGE(OFFSET($AM$3,0,0,'Données projet'!$E$10+1,1))-AVERAGE(OFFSET($H$3,0,0,'Données projet'!$E$10+1,1))</f>
        <v>377.00534440335832</v>
      </c>
      <c r="AO38" s="59">
        <f t="shared" si="36"/>
        <v>131.56029120000656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135</v>
      </c>
      <c r="BB38" s="12">
        <f>VLOOKUP(A38,'Données projet'!$A$87:$I$107,9,0)</f>
        <v>7.2</v>
      </c>
      <c r="BC38" s="12">
        <f t="array" ref="BC38">INDEX(BB:BB,MIN(IF(ISNUMBER(BB38:BB234),ROW(BB38:BB234),"")))</f>
        <v>7.2</v>
      </c>
      <c r="BD38" s="12">
        <f>IF('Données projet'!$A$88&gt;35,BD37+BC38-BL37,IF(A38&lt;'Données projet'!$A$88,$BA$205^A38,IF(A38='Données projet'!$A$88,'Données projet'!$B$88,BD37+BC38-BL37)))</f>
        <v>135</v>
      </c>
      <c r="BE38" s="13">
        <f>BD38*VLOOKUP('Données projet'!$B$11,Paramètres!$A$1:$I$89,3,0)*VLOOKUP('Données projet'!$B$11,Paramètres!$A$1:$I$89,5,0)</f>
        <v>117.93600000000002</v>
      </c>
      <c r="BF38" s="13">
        <f t="shared" si="37"/>
        <v>31.1931201812605</v>
      </c>
      <c r="BG38" s="20">
        <f t="shared" si="7"/>
        <v>259.73321764902875</v>
      </c>
      <c r="BH38" s="59">
        <f t="shared" si="8"/>
        <v>530.70929070842067</v>
      </c>
      <c r="BI38" s="59">
        <f ca="1">AVERAGE(OFFSET($BH$3,0,0,'Données projet'!$E$11+1,1))-AVERAGE(OFFSET($H$3,0,0,'Données projet'!$E$11+1,1))</f>
        <v>314.1123649635374</v>
      </c>
      <c r="BJ38" s="59">
        <f t="shared" si="38"/>
        <v>274.92342227914889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20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8.3053547426158723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8.3053547426158723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571.26739469343761</v>
      </c>
      <c r="CD38" s="59">
        <f ca="1">AVERAGE(OFFSET($CC$3,0,0,'Données projet'!$E$12+1,1))-AVERAGE(OFFSET($H$3,0,0,'Données projet'!$E$12+1,1))</f>
        <v>309.86296291630748</v>
      </c>
      <c r="CE38" s="59">
        <f t="shared" si="40"/>
        <v>301.17633325088661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13.051961551913202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13.051961551913202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139</v>
      </c>
      <c r="CR38" s="12">
        <f>VLOOKUP(A38,'Données projet'!$A$139:$I$159,9,0)</f>
        <v>10.199999999999999</v>
      </c>
      <c r="CS38" s="12">
        <f t="array" ref="CS38">INDEX(CR:CR,MIN(IF(ISNUMBER(CR38:CR234),ROW(CR38:CR234),"")))</f>
        <v>10.199999999999999</v>
      </c>
      <c r="CT38" s="12">
        <f>IF('Données projet'!$A$140&gt;35,CT37+CS38-DB37,IF(A38&lt;'Données projet'!$A$140,$CQ$205^A38,IF(A38='Données projet'!$A$140,'Données projet'!$B$140,CT37+CS38-DB37)))</f>
        <v>139</v>
      </c>
      <c r="CU38" s="17">
        <f>CT38*VLOOKUP('Données projet'!$B$13,Paramètres!$A$1:$I$89,3,0)*VLOOKUP('Données projet'!$B$13,Paramètres!$A$1:$I$89,5,0)</f>
        <v>119.26200000000001</v>
      </c>
      <c r="CV38" s="13">
        <f t="shared" si="41"/>
        <v>31.502811162802828</v>
      </c>
      <c r="CW38" s="20">
        <f t="shared" si="13"/>
        <v>262.58204610854824</v>
      </c>
      <c r="CX38" s="59">
        <f t="shared" si="14"/>
        <v>533.55811916794005</v>
      </c>
      <c r="CY38" s="59">
        <f ca="1">AVERAGE(OFFSET($CX$3,0,0,'Données projet'!$E$13+1,1))-AVERAGE(OFFSET($H$3,0,0,'Données projet'!$E$13+1,1))</f>
        <v>462.66388549889928</v>
      </c>
      <c r="CZ38" s="59">
        <f t="shared" si="42"/>
        <v>265.3725203415089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0.53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14.075644810886788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14.075644810886788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7.3717948699999996</v>
      </c>
      <c r="DO38" s="12">
        <f>IF('Données projet'!$A$166&gt;35,DO37+DN38-DW37,IF(A38&lt;'Données projet'!$A$166,$DL$205^A38,IF(A38='Données projet'!$A$166,'Données projet'!$B$166,DO37+DN38-DW37)))</f>
        <v>105.76923076000001</v>
      </c>
      <c r="DP38" s="17">
        <f>DO38*VLOOKUP('Données projet'!$B$14,Paramètres!$A$1:$I$89,3,0)*VLOOKUP('Données projet'!$B$14,Paramètres!$A$1:$I$89,5,0)</f>
        <v>82.499999992800014</v>
      </c>
      <c r="DQ38" s="13">
        <f t="shared" si="43"/>
        <v>22.747348107942088</v>
      </c>
      <c r="DR38" s="20">
        <f t="shared" si="16"/>
        <v>183.30579794212579</v>
      </c>
      <c r="DS38" s="59">
        <f t="shared" si="17"/>
        <v>454.28187100151763</v>
      </c>
      <c r="DT38" s="59">
        <f ca="1">AVERAGE(OFFSET($DS$3,0,0,'Données projet'!$E$14+1,1))-AVERAGE(OFFSET($H$3,0,0,'Données projet'!$E$14+1,1))</f>
        <v>206.5241977687125</v>
      </c>
      <c r="DU38" s="59">
        <f t="shared" si="44"/>
        <v>205.25001043771269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7.9046863648004688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7.9046863648004688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95</v>
      </c>
      <c r="EH38" s="12">
        <f>VLOOKUP(A38,'Données projet'!$A$191:$I$211,9,0)</f>
        <v>6.6</v>
      </c>
      <c r="EI38" s="12">
        <f t="array" ref="EI38">INDEX(EH:EH,MIN(IF(ISNUMBER(EH38:EH234),ROW(EH38:EH234),"")))</f>
        <v>6.6</v>
      </c>
      <c r="EJ38" s="12">
        <f>IF('Données projet'!$A$192&gt;35,EJ37+EI38-ER37,IF(A38&lt;'Données projet'!$A$192,$EG$205^A38,IF(A38='Données projet'!$A$192,'Données projet'!$B$192,EJ37+EI38-ER37)))</f>
        <v>94.999999999999986</v>
      </c>
      <c r="EK38" s="17">
        <f>EJ38*VLOOKUP('Données projet'!$B$15,Paramètres!$A$1:$I$89,3,0)*VLOOKUP('Données projet'!$B$15,Paramètres!$A$1:$I$89,5,0)</f>
        <v>82.99199999999999</v>
      </c>
      <c r="EL38" s="13">
        <f t="shared" si="45"/>
        <v>22.867173045817303</v>
      </c>
      <c r="EM38" s="20">
        <f t="shared" si="19"/>
        <v>184.37139305479846</v>
      </c>
      <c r="EN38" s="59">
        <f t="shared" si="20"/>
        <v>455.3474661141903</v>
      </c>
      <c r="EO38" s="59">
        <f ca="1">AVERAGE(OFFSET($EN$3,0,0,'Données projet'!$E$15+1,1))-AVERAGE(OFFSET($H$3,0,0,'Données projet'!$E$15+1,1))</f>
        <v>205.83135724908942</v>
      </c>
      <c r="EP38" s="59">
        <f t="shared" si="46"/>
        <v>193.60053377311405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14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7.1657828128150909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7.1657828128150909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153</v>
      </c>
      <c r="FC38" s="12">
        <f>VLOOKUP(A38,'Données projet'!$A$217:$I$237,9,0)</f>
        <v>7.2</v>
      </c>
      <c r="FD38" s="12">
        <f t="array" ref="FD38">INDEX(FC:FC,MIN(IF(ISNUMBER(FC38:FC234),ROW(FC38:FC234),"")))</f>
        <v>7.2</v>
      </c>
      <c r="FE38" s="12">
        <f>IF('Données projet'!$A$218&gt;35,FE37+FD38-FM37,IF(A38&lt;'Données projet'!$A$218,$FB$205^A38,IF(A38='Données projet'!$A$218,'Données projet'!$B$218,FE37+FD38-FM37)))</f>
        <v>152.99999999999997</v>
      </c>
      <c r="FF38" s="17">
        <f>FE38*VLOOKUP('Données projet'!$B$16,Paramètres!$A$1:$I$89,3,0)*VLOOKUP('Données projet'!$B$16,Paramètres!$A$1:$I$89,5,0)</f>
        <v>100.2456</v>
      </c>
      <c r="FG38" s="13">
        <f t="shared" si="47"/>
        <v>27.020500005754936</v>
      </c>
      <c r="FH38" s="20">
        <f t="shared" si="22"/>
        <v>221.65512417668984</v>
      </c>
      <c r="FI38" s="59">
        <f t="shared" si="23"/>
        <v>492.63119723608168</v>
      </c>
      <c r="FJ38" s="59">
        <f ca="1">AVERAGE(OFFSET($FI$3,0,0,'Données projet'!$E$16+1,1))-AVERAGE(OFFSET($H$3,0,0,'Données projet'!$E$16+1,1))</f>
        <v>242.76791261317206</v>
      </c>
      <c r="FK38" s="59">
        <f t="shared" si="48"/>
        <v>244.28580264867682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21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6.5404668598099995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6.5404668598099995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8.147490842142858</v>
      </c>
      <c r="FZ38" s="12">
        <f>IF('Données projet'!$A$244&gt;35,FZ37+FY38-GH37,IF(A38&lt;'Données projet'!$A$244,$FW$205^A38,IF(A38='Données projet'!$A$244,'Données projet'!$B$244,FZ37+FY38-GH37)))</f>
        <v>128.4425824207143</v>
      </c>
      <c r="GA38" s="17">
        <f>FZ38*VLOOKUP('Données projet'!$B$17,Paramètres!$A$1:$I$89,3,0)*VLOOKUP('Données projet'!$B$17,Paramètres!$A$1:$I$89,5,0)</f>
        <v>122.22596143155172</v>
      </c>
      <c r="GB38" s="13">
        <f t="shared" si="49"/>
        <v>32.19361158481663</v>
      </c>
      <c r="GC38" s="20">
        <f t="shared" si="25"/>
        <v>268.94742300350816</v>
      </c>
      <c r="GD38" s="59">
        <f t="shared" si="26"/>
        <v>539.92349606290009</v>
      </c>
      <c r="GE38" s="59">
        <f ca="1">AVERAGE(OFFSET($GD$3,0,0,'Données projet'!$E$17+1,1))-AVERAGE(OFFSET($H$3,0,0,'Données projet'!$E$17+1,1))</f>
        <v>512.71941256120977</v>
      </c>
      <c r="GF38" s="59">
        <f t="shared" si="50"/>
        <v>230.65031527019354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63.902565379834144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-5.6843418860808015E-14</v>
      </c>
      <c r="GV38" s="17">
        <f>GU38*VLOOKUP('Données projet'!$B$18,Paramètres!$A$1:$I$89,3,0)*VLOOKUP('Données projet'!$B$18,Paramètres!$A$1:$I$89,5,0)</f>
        <v>-2.5006556825246661E-14</v>
      </c>
      <c r="GW38" s="13" t="e">
        <f t="shared" si="51"/>
        <v>#NUM!</v>
      </c>
      <c r="GX38" s="20" t="e">
        <f t="shared" si="28"/>
        <v>#NUM!</v>
      </c>
      <c r="GY38" s="59" t="e">
        <f t="shared" si="29"/>
        <v>#NUM!</v>
      </c>
      <c r="GZ38" s="59">
        <f ca="1">AVERAGE(OFFSET($GY$3,0,0,'Données projet'!$E$18+1,1))-AVERAGE(OFFSET($H$3,0,0,'Données projet'!$E$18+1,1))</f>
        <v>180.68917161146683</v>
      </c>
      <c r="HA38" s="59">
        <f t="shared" si="52"/>
        <v>344.42126252322419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57.916028262951976</v>
      </c>
      <c r="HH38" s="21">
        <f>EXP(-LN(2)/25)*HH37+(1-EXP(-LN(2)/25))/(LN(2)/25)*Calculateur!HC38*Calculateur!HE38*VLOOKUP('Données projet'!$B$18,Paramètres!$A$1:$I$89,3,0)*0.475*44/12</f>
        <v>14.420164407830219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72.336192670782197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2.25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8.25</v>
      </c>
      <c r="H39" s="66">
        <f t="shared" si="1"/>
        <v>223.66666666666666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8.147490842142858</v>
      </c>
      <c r="N39" s="13">
        <f>IF('Données projet'!$A$36&gt;35,N38+M39-V38,IF(A39&lt;'Données projet'!$A$36,$K$205^A39,IF(A39='Données projet'!$A$36,'Données projet'!$B$36,N38+M39-V38)))</f>
        <v>136.59007326285717</v>
      </c>
      <c r="O39" s="13">
        <f>N39*VLOOKUP('Données projet'!$B$9,Paramètres!$A$1:$I$89,3,0)*VLOOKUP('Données projet'!$B$9,Paramètres!$A$1:$I$89,5,0)</f>
        <v>123.58669828823317</v>
      </c>
      <c r="P39" s="13">
        <f t="shared" si="33"/>
        <v>32.510098504712253</v>
      </c>
      <c r="Q39" s="20">
        <f t="shared" si="53"/>
        <v>271.86858774771321</v>
      </c>
      <c r="R39" s="59">
        <f t="shared" si="0"/>
        <v>543.23250928951211</v>
      </c>
      <c r="S39" s="59">
        <f ca="1">AVERAGE(OFFSET($R$3,0,0,'Données projet'!$E$9+1,1))-AVERAGE(OFFSET($H$3,0,0,'Données projet'!$E$9+1,1))</f>
        <v>490.57849401500789</v>
      </c>
      <c r="T39" s="59">
        <f t="shared" si="34"/>
        <v>221.7570623669753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4.8292136753333335</v>
      </c>
      <c r="AI39" s="13">
        <f>IF('Données projet'!$A$62&gt;35,AI38+AH39-AQ38,IF(A39&lt;'Données projet'!$A$62,$AF$205^A39,IF(A39='Données projet'!$A$62,'Données projet'!$B$62,AI38+AH39-AQ38)))</f>
        <v>85.718871792000002</v>
      </c>
      <c r="AJ39" s="13">
        <f>AI39*VLOOKUP('Données projet'!$B$10,Paramètres!$A$1:$I$89,3,0)*VLOOKUP('Données projet'!$B$10,Paramètres!$A$1:$I$89,5,0)</f>
        <v>57.500219198073601</v>
      </c>
      <c r="AK39" s="13">
        <f t="shared" si="35"/>
        <v>16.534689175446577</v>
      </c>
      <c r="AL39" s="20">
        <f t="shared" si="4"/>
        <v>128.94413208388099</v>
      </c>
      <c r="AM39" s="59">
        <f t="shared" si="5"/>
        <v>400.3080536256798</v>
      </c>
      <c r="AN39" s="59">
        <f ca="1">AVERAGE(OFFSET($AM$3,0,0,'Données projet'!$E$10+1,1))-AVERAGE(OFFSET($H$3,0,0,'Données projet'!$E$10+1,1))</f>
        <v>377.00534440335832</v>
      </c>
      <c r="AO39" s="59">
        <f t="shared" si="36"/>
        <v>131.56029120000656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</v>
      </c>
      <c r="BD39" s="12">
        <f>IF('Données projet'!$A$88&gt;35,BD38+BC39-BL38,IF(A39&lt;'Données projet'!$A$88,$BA$205^A39,IF(A39='Données projet'!$A$88,'Données projet'!$B$88,BD38+BC39-BL38)))</f>
        <v>122</v>
      </c>
      <c r="BE39" s="13">
        <f>BD39*VLOOKUP('Données projet'!$B$11,Paramètres!$A$1:$I$89,3,0)*VLOOKUP('Données projet'!$B$11,Paramètres!$A$1:$I$89,5,0)</f>
        <v>106.57920000000001</v>
      </c>
      <c r="BF39" s="13">
        <f t="shared" si="37"/>
        <v>28.523541515222938</v>
      </c>
      <c r="BG39" s="20">
        <f t="shared" si="7"/>
        <v>235.30394147234665</v>
      </c>
      <c r="BH39" s="59">
        <f t="shared" si="8"/>
        <v>506.6678630141455</v>
      </c>
      <c r="BI39" s="59">
        <f ca="1">AVERAGE(OFFSET($BH$3,0,0,'Données projet'!$E$11+1,1))-AVERAGE(OFFSET($H$3,0,0,'Données projet'!$E$11+1,1))</f>
        <v>314.1123649635374</v>
      </c>
      <c r="BJ39" s="59">
        <f t="shared" si="38"/>
        <v>274.92342227914889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8.1424918018793644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8.1424918018793644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540.26453648161896</v>
      </c>
      <c r="CD39" s="59">
        <f ca="1">AVERAGE(OFFSET($CC$3,0,0,'Données projet'!$E$12+1,1))-AVERAGE(OFFSET($H$3,0,0,'Données projet'!$E$12+1,1))</f>
        <v>309.86296291630748</v>
      </c>
      <c r="CE39" s="59">
        <f t="shared" si="40"/>
        <v>301.17633325088661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12.796020546790656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12.796020546790656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10.4</v>
      </c>
      <c r="CT39" s="12">
        <f>IF('Données projet'!$A$140&gt;35,CT38+CS39-DB38,IF(A39&lt;'Données projet'!$A$140,$CQ$205^A39,IF(A39='Données projet'!$A$140,'Données projet'!$B$140,CT38+CS39-DB38)))</f>
        <v>121.4</v>
      </c>
      <c r="CU39" s="17">
        <f>CT39*VLOOKUP('Données projet'!$B$13,Paramètres!$A$1:$I$89,3,0)*VLOOKUP('Données projet'!$B$13,Paramètres!$A$1:$I$89,5,0)</f>
        <v>104.16120000000002</v>
      </c>
      <c r="CV39" s="13">
        <f t="shared" si="41"/>
        <v>27.95098158074293</v>
      </c>
      <c r="CW39" s="20">
        <f t="shared" si="13"/>
        <v>230.09538291979393</v>
      </c>
      <c r="CX39" s="59">
        <f t="shared" si="14"/>
        <v>501.45930446159275</v>
      </c>
      <c r="CY39" s="59">
        <f ca="1">AVERAGE(OFFSET($CX$3,0,0,'Données projet'!$E$13+1,1))-AVERAGE(OFFSET($H$3,0,0,'Données projet'!$E$13+1,1))</f>
        <v>462.66388549889928</v>
      </c>
      <c r="CZ39" s="59">
        <f t="shared" si="42"/>
        <v>265.3725203415089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13.799630001440905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13.799630001440905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7.3717948699999996</v>
      </c>
      <c r="DO39" s="12">
        <f>IF('Données projet'!$A$166&gt;35,DO38+DN39-DW38,IF(A39&lt;'Données projet'!$A$166,$DL$205^A39,IF(A39='Données projet'!$A$166,'Données projet'!$B$166,DO38+DN39-DW38)))</f>
        <v>113.14102563000002</v>
      </c>
      <c r="DP39" s="17">
        <f>DO39*VLOOKUP('Données projet'!$B$14,Paramètres!$A$1:$I$89,3,0)*VLOOKUP('Données projet'!$B$14,Paramètres!$A$1:$I$89,5,0)</f>
        <v>88.249999991400017</v>
      </c>
      <c r="DQ39" s="13">
        <f t="shared" si="43"/>
        <v>24.14268601084925</v>
      </c>
      <c r="DR39" s="20">
        <f t="shared" si="16"/>
        <v>195.75059478725078</v>
      </c>
      <c r="DS39" s="59">
        <f t="shared" si="17"/>
        <v>467.11451632904959</v>
      </c>
      <c r="DT39" s="59">
        <f ca="1">AVERAGE(OFFSET($DS$3,0,0,'Données projet'!$E$14+1,1))-AVERAGE(OFFSET($H$3,0,0,'Données projet'!$E$14+1,1))</f>
        <v>206.5241977687125</v>
      </c>
      <c r="DU39" s="59">
        <f t="shared" si="44"/>
        <v>205.25001043771269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7.7496802865693422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7.7496802865693422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5.6</v>
      </c>
      <c r="EJ39" s="12">
        <f>IF('Données projet'!$A$192&gt;35,EJ38+EI39-ER38,IF(A39&lt;'Données projet'!$A$192,$EG$205^A39,IF(A39='Données projet'!$A$192,'Données projet'!$B$192,EJ38+EI39-ER38)))</f>
        <v>86.59999999999998</v>
      </c>
      <c r="EK39" s="17">
        <f>EJ39*VLOOKUP('Données projet'!$B$15,Paramètres!$A$1:$I$89,3,0)*VLOOKUP('Données projet'!$B$15,Paramètres!$A$1:$I$89,5,0)</f>
        <v>75.653759999999991</v>
      </c>
      <c r="EL39" s="13">
        <f t="shared" si="45"/>
        <v>21.071075829664714</v>
      </c>
      <c r="EM39" s="20">
        <f t="shared" si="19"/>
        <v>168.46242240333265</v>
      </c>
      <c r="EN39" s="59">
        <f t="shared" si="20"/>
        <v>439.8263439451315</v>
      </c>
      <c r="EO39" s="59">
        <f ca="1">AVERAGE(OFFSET($EN$3,0,0,'Données projet'!$E$15+1,1))-AVERAGE(OFFSET($H$3,0,0,'Données projet'!$E$15+1,1))</f>
        <v>205.83135724908942</v>
      </c>
      <c r="EP39" s="59">
        <f t="shared" si="46"/>
        <v>193.60053377311405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7.0252661825517322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7.0252661825517322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7</v>
      </c>
      <c r="FE39" s="12">
        <f>IF('Données projet'!$A$218&gt;35,FE38+FD39-FM38,IF(A39&lt;'Données projet'!$A$218,$FB$205^A39,IF(A39='Données projet'!$A$218,'Données projet'!$B$218,FE38+FD39-FM38)))</f>
        <v>138.99999999999997</v>
      </c>
      <c r="FF39" s="17">
        <f>FE39*VLOOKUP('Données projet'!$B$16,Paramètres!$A$1:$I$89,3,0)*VLOOKUP('Données projet'!$B$16,Paramètres!$A$1:$I$89,5,0)</f>
        <v>91.072799999999987</v>
      </c>
      <c r="FG39" s="13">
        <f t="shared" si="47"/>
        <v>24.823779817332358</v>
      </c>
      <c r="FH39" s="20">
        <f t="shared" si="22"/>
        <v>201.85320984852046</v>
      </c>
      <c r="FI39" s="59">
        <f t="shared" si="23"/>
        <v>473.21713139031931</v>
      </c>
      <c r="FJ39" s="59">
        <f ca="1">AVERAGE(OFFSET($FI$3,0,0,'Données projet'!$E$16+1,1))-AVERAGE(OFFSET($H$3,0,0,'Données projet'!$E$16+1,1))</f>
        <v>242.76791261317206</v>
      </c>
      <c r="FK39" s="59">
        <f t="shared" si="48"/>
        <v>244.28580264867682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6.4122122939800006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6.4122122939800006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8.147490842142858</v>
      </c>
      <c r="FZ39" s="12">
        <f>IF('Données projet'!$A$244&gt;35,FZ38+FY39-GH38,IF(A39&lt;'Données projet'!$A$244,$FW$205^A39,IF(A39='Données projet'!$A$244,'Données projet'!$B$244,FZ38+FY39-GH38)))</f>
        <v>136.59007326285717</v>
      </c>
      <c r="GA39" s="17">
        <f>FZ39*VLOOKUP('Données projet'!$B$17,Paramètres!$A$1:$I$89,3,0)*VLOOKUP('Données projet'!$B$17,Paramètres!$A$1:$I$89,5,0)</f>
        <v>129.9791137169349</v>
      </c>
      <c r="GB39" s="13">
        <f t="shared" si="49"/>
        <v>33.991533080439005</v>
      </c>
      <c r="GC39" s="20">
        <f t="shared" si="25"/>
        <v>285.58220983875952</v>
      </c>
      <c r="GD39" s="59">
        <f t="shared" si="26"/>
        <v>556.94613138055843</v>
      </c>
      <c r="GE39" s="59">
        <f ca="1">AVERAGE(OFFSET($GD$3,0,0,'Données projet'!$E$17+1,1))-AVERAGE(OFFSET($H$3,0,0,'Données projet'!$E$17+1,1))</f>
        <v>512.71941256120977</v>
      </c>
      <c r="GF39" s="59">
        <f t="shared" si="50"/>
        <v>230.65031527019354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64.008342238672412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-5.6843418860808015E-14</v>
      </c>
      <c r="GV39" s="17">
        <f>GU39*VLOOKUP('Données projet'!$B$18,Paramètres!$A$1:$I$89,3,0)*VLOOKUP('Données projet'!$B$18,Paramètres!$A$1:$I$89,5,0)</f>
        <v>-2.5006556825246661E-14</v>
      </c>
      <c r="GW39" s="13" t="e">
        <f t="shared" si="51"/>
        <v>#NUM!</v>
      </c>
      <c r="GX39" s="20" t="e">
        <f t="shared" si="28"/>
        <v>#NUM!</v>
      </c>
      <c r="GY39" s="59" t="e">
        <f t="shared" si="29"/>
        <v>#NUM!</v>
      </c>
      <c r="GZ39" s="59">
        <f ca="1">AVERAGE(OFFSET($GY$3,0,0,'Données projet'!$E$18+1,1))-AVERAGE(OFFSET($H$3,0,0,'Données projet'!$E$18+1,1))</f>
        <v>180.68917161146683</v>
      </c>
      <c r="HA39" s="59">
        <f t="shared" si="52"/>
        <v>344.42126252322419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56.780330274004648</v>
      </c>
      <c r="HH39" s="21">
        <f>EXP(-LN(2)/25)*HH38+(1-EXP(-LN(2)/25))/(LN(2)/25)*Calculateur!HC39*Calculateur!HE39*VLOOKUP('Données projet'!$B$18,Paramètres!$A$1:$I$89,3,0)*0.475*44/12</f>
        <v>14.025844253774613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70.806174527779262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2.25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8.25</v>
      </c>
      <c r="H40" s="66">
        <f t="shared" si="1"/>
        <v>223.66666666666666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8.147490842142858</v>
      </c>
      <c r="N40" s="13">
        <f>IF('Données projet'!$A$36&gt;35,N39+M40-V39,IF(A40&lt;'Données projet'!$A$36,$K$205^A40,IF(A40='Données projet'!$A$36,'Données projet'!$B$36,N39+M40-V39)))</f>
        <v>144.73756410500005</v>
      </c>
      <c r="O40" s="13">
        <f>N40*VLOOKUP('Données projet'!$B$9,Paramètres!$A$1:$I$89,3,0)*VLOOKUP('Données projet'!$B$9,Paramètres!$A$1:$I$89,5,0)</f>
        <v>130.95854800220403</v>
      </c>
      <c r="P40" s="13">
        <f t="shared" si="33"/>
        <v>34.217756841790369</v>
      </c>
      <c r="Q40" s="20">
        <f t="shared" si="53"/>
        <v>287.68206426995692</v>
      </c>
      <c r="R40" s="59">
        <f t="shared" si="0"/>
        <v>559.42710599009229</v>
      </c>
      <c r="S40" s="59">
        <f ca="1">AVERAGE(OFFSET($R$3,0,0,'Données projet'!$E$9+1,1))-AVERAGE(OFFSET($H$3,0,0,'Données projet'!$E$9+1,1))</f>
        <v>490.57849401500789</v>
      </c>
      <c r="T40" s="59">
        <f t="shared" si="34"/>
        <v>221.7570623669753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4.8292136753333335</v>
      </c>
      <c r="AI40" s="13">
        <f>IF('Données projet'!$A$62&gt;35,AI39+AH40-AQ39,IF(A40&lt;'Données projet'!$A$62,$AF$205^A40,IF(A40='Données projet'!$A$62,'Données projet'!$B$62,AI39+AH40-AQ39)))</f>
        <v>90.548085467333337</v>
      </c>
      <c r="AJ40" s="13">
        <f>AI40*VLOOKUP('Données projet'!$B$10,Paramètres!$A$1:$I$89,3,0)*VLOOKUP('Données projet'!$B$10,Paramètres!$A$1:$I$89,5,0)</f>
        <v>60.739655731487204</v>
      </c>
      <c r="AK40" s="13">
        <f t="shared" si="35"/>
        <v>17.355143627621363</v>
      </c>
      <c r="AL40" s="20">
        <f t="shared" si="4"/>
        <v>136.01510888378073</v>
      </c>
      <c r="AM40" s="59">
        <f t="shared" si="5"/>
        <v>407.76015060391609</v>
      </c>
      <c r="AN40" s="59">
        <f ca="1">AVERAGE(OFFSET($AM$3,0,0,'Données projet'!$E$10+1,1))-AVERAGE(OFFSET($H$3,0,0,'Données projet'!$E$10+1,1))</f>
        <v>377.00534440335832</v>
      </c>
      <c r="AO40" s="59">
        <f t="shared" si="36"/>
        <v>131.56029120000656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</v>
      </c>
      <c r="BD40" s="12">
        <f>IF('Données projet'!$A$88&gt;35,BD39+BC40-BL39,IF(A40&lt;'Données projet'!$A$88,$BA$205^A40,IF(A40='Données projet'!$A$88,'Données projet'!$B$88,BD39+BC40-BL39)))</f>
        <v>129</v>
      </c>
      <c r="BE40" s="13">
        <f>BD40*VLOOKUP('Données projet'!$B$11,Paramètres!$A$1:$I$89,3,0)*VLOOKUP('Données projet'!$B$11,Paramètres!$A$1:$I$89,5,0)</f>
        <v>112.69440000000002</v>
      </c>
      <c r="BF40" s="13">
        <f t="shared" si="37"/>
        <v>29.964909381330632</v>
      </c>
      <c r="BG40" s="20">
        <f t="shared" si="7"/>
        <v>248.46496383915087</v>
      </c>
      <c r="BH40" s="59">
        <f t="shared" si="8"/>
        <v>520.21000555928617</v>
      </c>
      <c r="BI40" s="59">
        <f ca="1">AVERAGE(OFFSET($BH$3,0,0,'Données projet'!$E$11+1,1))-AVERAGE(OFFSET($H$3,0,0,'Données projet'!$E$11+1,1))</f>
        <v>314.1123649635374</v>
      </c>
      <c r="BJ40" s="59">
        <f t="shared" si="38"/>
        <v>274.92342227914889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7.9828225040741154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7.9828225040741154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557.03308806828636</v>
      </c>
      <c r="CD40" s="59">
        <f ca="1">AVERAGE(OFFSET($CC$3,0,0,'Données projet'!$E$12+1,1))-AVERAGE(OFFSET($H$3,0,0,'Données projet'!$E$12+1,1))</f>
        <v>309.86296291630748</v>
      </c>
      <c r="CE40" s="59">
        <f t="shared" si="40"/>
        <v>301.17633325088661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12.545098388669965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12.545098388669965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10.4</v>
      </c>
      <c r="CT40" s="12">
        <f>IF('Données projet'!$A$140&gt;35,CT39+CS40-DB39,IF(A40&lt;'Données projet'!$A$140,$CQ$205^A40,IF(A40='Données projet'!$A$140,'Données projet'!$B$140,CT39+CS40-DB39)))</f>
        <v>131.80000000000001</v>
      </c>
      <c r="CU40" s="17">
        <f>CT40*VLOOKUP('Données projet'!$B$13,Paramètres!$A$1:$I$89,3,0)*VLOOKUP('Données projet'!$B$13,Paramètres!$A$1:$I$89,5,0)</f>
        <v>113.08440000000002</v>
      </c>
      <c r="CV40" s="13">
        <f t="shared" si="41"/>
        <v>30.05651952806824</v>
      </c>
      <c r="CW40" s="20">
        <f t="shared" si="13"/>
        <v>249.3037681780522</v>
      </c>
      <c r="CX40" s="59">
        <f t="shared" si="14"/>
        <v>521.04880989818753</v>
      </c>
      <c r="CY40" s="59">
        <f ca="1">AVERAGE(OFFSET($CX$3,0,0,'Données projet'!$E$13+1,1))-AVERAGE(OFFSET($H$3,0,0,'Données projet'!$E$13+1,1))</f>
        <v>462.66388549889928</v>
      </c>
      <c r="CZ40" s="59">
        <f t="shared" si="42"/>
        <v>265.3725203415089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13.529027674055845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13.529027674055845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120.5128205</v>
      </c>
      <c r="DM40" s="12">
        <f>VLOOKUP(A40,'Données projet'!$A$165:$I$185,9,0)</f>
        <v>7.3717948699999996</v>
      </c>
      <c r="DN40" s="12">
        <f t="array" ref="DN40">INDEX(DM:DM,MIN(IF(ISNUMBER(DM40:DM236),ROW(DM40:DM236),"")))</f>
        <v>7.3717948699999996</v>
      </c>
      <c r="DO40" s="12">
        <f>IF('Données projet'!$A$166&gt;35,DO39+DN40-DW39,IF(A40&lt;'Données projet'!$A$166,$DL$205^A40,IF(A40='Données projet'!$A$166,'Données projet'!$B$166,DO39+DN40-DW39)))</f>
        <v>120.51282050000002</v>
      </c>
      <c r="DP40" s="17">
        <f>DO40*VLOOKUP('Données projet'!$B$14,Paramètres!$A$1:$I$89,3,0)*VLOOKUP('Données projet'!$B$14,Paramètres!$A$1:$I$89,5,0)</f>
        <v>93.99999999000002</v>
      </c>
      <c r="DQ40" s="13">
        <f t="shared" si="43"/>
        <v>25.527473631949714</v>
      </c>
      <c r="DR40" s="20">
        <f t="shared" si="16"/>
        <v>208.1770165582291</v>
      </c>
      <c r="DS40" s="59">
        <f t="shared" si="17"/>
        <v>479.92205827836449</v>
      </c>
      <c r="DT40" s="59">
        <f ca="1">AVERAGE(OFFSET($DS$3,0,0,'Données projet'!$E$14+1,1))-AVERAGE(OFFSET($H$3,0,0,'Données projet'!$E$14+1,1))</f>
        <v>206.5241977687125</v>
      </c>
      <c r="DU40" s="59">
        <f t="shared" si="44"/>
        <v>205.25001043771269</v>
      </c>
      <c r="DV40" s="15">
        <f>IF(ISNA(VLOOKUP(A40,'Données projet'!$A$165:$I$185,3,0)),0,VLOOKUP(A40,'Données projet'!$A$165:$I$185,3,0))</f>
        <v>5</v>
      </c>
      <c r="DW40" s="15">
        <f>IF(ISNA(VLOOKUP(A40,'Données projet'!$A$165:$I$185,4,0)),0,VLOOKUP(A40,'Données projet'!$A$165:$I$185,4,0))</f>
        <v>23.07692308</v>
      </c>
      <c r="DX40" s="16">
        <f>IF(ISNA(VLOOKUP(A40,'Données projet'!$A$165:$I$185,5,0)),0%,VLOOKUP(A40,'Données projet'!$A$165:$I$185,5,0)*VLOOKUP('Données projet'!$B$14,Paramètres!$A$1:$I$89,7,0))</f>
        <v>0.43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16.154054521713835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16.154054521713835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5.6</v>
      </c>
      <c r="EJ40" s="12">
        <f>IF('Données projet'!$A$192&gt;35,EJ39+EI40-ER39,IF(A40&lt;'Données projet'!$A$192,$EG$205^A40,IF(A40='Données projet'!$A$192,'Données projet'!$B$192,EJ39+EI40-ER39)))</f>
        <v>92.199999999999974</v>
      </c>
      <c r="EK40" s="17">
        <f>EJ40*VLOOKUP('Données projet'!$B$15,Paramètres!$A$1:$I$89,3,0)*VLOOKUP('Données projet'!$B$15,Paramètres!$A$1:$I$89,5,0)</f>
        <v>80.545919999999995</v>
      </c>
      <c r="EL40" s="13">
        <f t="shared" si="45"/>
        <v>22.270611528274312</v>
      </c>
      <c r="EM40" s="20">
        <f t="shared" si="19"/>
        <v>179.07212574507776</v>
      </c>
      <c r="EN40" s="59">
        <f t="shared" si="20"/>
        <v>450.81716746521312</v>
      </c>
      <c r="EO40" s="59">
        <f ca="1">AVERAGE(OFFSET($EN$3,0,0,'Données projet'!$E$15+1,1))-AVERAGE(OFFSET($H$3,0,0,'Données projet'!$E$15+1,1))</f>
        <v>205.83135724908942</v>
      </c>
      <c r="EP40" s="59">
        <f t="shared" si="46"/>
        <v>193.60053377311405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6.8875049977011562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6.8875049977011562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7</v>
      </c>
      <c r="FE40" s="12">
        <f>IF('Données projet'!$A$218&gt;35,FE39+FD40-FM39,IF(A40&lt;'Données projet'!$A$218,$FB$205^A40,IF(A40='Données projet'!$A$218,'Données projet'!$B$218,FE39+FD40-FM39)))</f>
        <v>145.99999999999997</v>
      </c>
      <c r="FF40" s="17">
        <f>FE40*VLOOKUP('Données projet'!$B$16,Paramètres!$A$1:$I$89,3,0)*VLOOKUP('Données projet'!$B$16,Paramètres!$A$1:$I$89,5,0)</f>
        <v>95.659199999999984</v>
      </c>
      <c r="FG40" s="13">
        <f t="shared" si="47"/>
        <v>25.92520602338745</v>
      </c>
      <c r="FH40" s="20">
        <f t="shared" si="22"/>
        <v>211.75950715739978</v>
      </c>
      <c r="FI40" s="59">
        <f t="shared" si="23"/>
        <v>483.50454887753517</v>
      </c>
      <c r="FJ40" s="59">
        <f ca="1">AVERAGE(OFFSET($FI$3,0,0,'Données projet'!$E$16+1,1))-AVERAGE(OFFSET($H$3,0,0,'Données projet'!$E$16+1,1))</f>
        <v>242.76791261317206</v>
      </c>
      <c r="FK40" s="59">
        <f t="shared" si="48"/>
        <v>244.28580264867682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6.2864727219583667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6.2864727219583667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8.147490842142858</v>
      </c>
      <c r="FZ40" s="12">
        <f>IF('Données projet'!$A$244&gt;35,FZ39+FY40-GH39,IF(A40&lt;'Données projet'!$A$244,$FW$205^A40,IF(A40='Données projet'!$A$244,'Données projet'!$B$244,FZ39+FY40-GH39)))</f>
        <v>144.73756410500005</v>
      </c>
      <c r="GA40" s="17">
        <f>FZ40*VLOOKUP('Données projet'!$B$17,Paramètres!$A$1:$I$89,3,0)*VLOOKUP('Données projet'!$B$17,Paramètres!$A$1:$I$89,5,0)</f>
        <v>137.73226600231806</v>
      </c>
      <c r="GB40" s="13">
        <f t="shared" si="49"/>
        <v>35.777006749381087</v>
      </c>
      <c r="GC40" s="20">
        <f t="shared" si="25"/>
        <v>302.19531670920935</v>
      </c>
      <c r="GD40" s="59">
        <f t="shared" si="26"/>
        <v>573.94035842934477</v>
      </c>
      <c r="GE40" s="59">
        <f ca="1">AVERAGE(OFFSET($GD$3,0,0,'Données projet'!$E$17+1,1))-AVERAGE(OFFSET($H$3,0,0,'Données projet'!$E$17+1,1))</f>
        <v>512.71941256120977</v>
      </c>
      <c r="GF40" s="59">
        <f t="shared" si="50"/>
        <v>230.65031527019354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64.112284105491455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-5.6843418860808015E-14</v>
      </c>
      <c r="GV40" s="17">
        <f>GU40*VLOOKUP('Données projet'!$B$18,Paramètres!$A$1:$I$89,3,0)*VLOOKUP('Données projet'!$B$18,Paramètres!$A$1:$I$89,5,0)</f>
        <v>-2.5006556825246661E-14</v>
      </c>
      <c r="GW40" s="13" t="e">
        <f t="shared" si="51"/>
        <v>#NUM!</v>
      </c>
      <c r="GX40" s="20" t="e">
        <f t="shared" si="28"/>
        <v>#NUM!</v>
      </c>
      <c r="GY40" s="59" t="e">
        <f t="shared" si="29"/>
        <v>#NUM!</v>
      </c>
      <c r="GZ40" s="59">
        <f ca="1">AVERAGE(OFFSET($GY$3,0,0,'Données projet'!$E$18+1,1))-AVERAGE(OFFSET($H$3,0,0,'Données projet'!$E$18+1,1))</f>
        <v>180.68917161146683</v>
      </c>
      <c r="HA40" s="59">
        <f t="shared" si="52"/>
        <v>344.42126252322419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55.666902629913203</v>
      </c>
      <c r="HH40" s="21">
        <f>EXP(-LN(2)/25)*HH39+(1-EXP(-LN(2)/25))/(LN(2)/25)*Calculateur!HC40*Calculateur!HE40*VLOOKUP('Données projet'!$B$18,Paramètres!$A$1:$I$89,3,0)*0.475*44/12</f>
        <v>13.642306805068053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69.309209434981256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2.25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8.25</v>
      </c>
      <c r="H41" s="66">
        <f t="shared" si="1"/>
        <v>223.66666666666666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8.147490842142858</v>
      </c>
      <c r="N41" s="13">
        <f>IF('Données projet'!$A$36&gt;35,N40+M41-V40,IF(A41&lt;'Données projet'!$A$36,$K$205^A41,IF(A41='Données projet'!$A$36,'Données projet'!$B$36,N40+M41-V40)))</f>
        <v>152.88505494714292</v>
      </c>
      <c r="O41" s="13">
        <f>N41*VLOOKUP('Données projet'!$B$9,Paramètres!$A$1:$I$89,3,0)*VLOOKUP('Données projet'!$B$9,Paramètres!$A$1:$I$89,5,0)</f>
        <v>138.3303977161749</v>
      </c>
      <c r="P41" s="13">
        <f t="shared" si="33"/>
        <v>35.91425639900077</v>
      </c>
      <c r="Q41" s="20">
        <f t="shared" si="53"/>
        <v>303.47610591726431</v>
      </c>
      <c r="R41" s="59">
        <f t="shared" si="0"/>
        <v>575.59565623269907</v>
      </c>
      <c r="S41" s="59">
        <f ca="1">AVERAGE(OFFSET($R$3,0,0,'Données projet'!$E$9+1,1))-AVERAGE(OFFSET($H$3,0,0,'Données projet'!$E$9+1,1))</f>
        <v>490.57849401500789</v>
      </c>
      <c r="T41" s="59">
        <f t="shared" si="34"/>
        <v>221.7570623669753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4.8292136753333335</v>
      </c>
      <c r="AI41" s="13">
        <f>IF('Données projet'!$A$62&gt;35,AI40+AH41-AQ40,IF(A41&lt;'Données projet'!$A$62,$AF$205^A41,IF(A41='Données projet'!$A$62,'Données projet'!$B$62,AI40+AH41-AQ40)))</f>
        <v>95.377299142666672</v>
      </c>
      <c r="AJ41" s="13">
        <f>AI41*VLOOKUP('Données projet'!$B$10,Paramètres!$A$1:$I$89,3,0)*VLOOKUP('Données projet'!$B$10,Paramètres!$A$1:$I$89,5,0)</f>
        <v>63.979092264900807</v>
      </c>
      <c r="AK41" s="13">
        <f t="shared" si="35"/>
        <v>18.170517951785797</v>
      </c>
      <c r="AL41" s="20">
        <f t="shared" si="4"/>
        <v>143.07723779406248</v>
      </c>
      <c r="AM41" s="59">
        <f t="shared" si="5"/>
        <v>415.19678810949722</v>
      </c>
      <c r="AN41" s="59">
        <f ca="1">AVERAGE(OFFSET($AM$3,0,0,'Données projet'!$E$10+1,1))-AVERAGE(OFFSET($H$3,0,0,'Données projet'!$E$10+1,1))</f>
        <v>377.00534440335832</v>
      </c>
      <c r="AO41" s="59">
        <f t="shared" si="36"/>
        <v>131.56029120000656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</v>
      </c>
      <c r="BD41" s="12">
        <f>IF('Données projet'!$A$88&gt;35,BD40+BC41-BL40,IF(A41&lt;'Données projet'!$A$88,$BA$205^A41,IF(A41='Données projet'!$A$88,'Données projet'!$B$88,BD40+BC41-BL40)))</f>
        <v>136</v>
      </c>
      <c r="BE41" s="13">
        <f>BD41*VLOOKUP('Données projet'!$B$11,Paramètres!$A$1:$I$89,3,0)*VLOOKUP('Données projet'!$B$11,Paramètres!$A$1:$I$89,5,0)</f>
        <v>118.80960000000002</v>
      </c>
      <c r="BF41" s="13">
        <f t="shared" si="37"/>
        <v>31.39719715333722</v>
      </c>
      <c r="BG41" s="20">
        <f t="shared" si="7"/>
        <v>261.61017170872901</v>
      </c>
      <c r="BH41" s="59">
        <f t="shared" si="8"/>
        <v>533.72972202416372</v>
      </c>
      <c r="BI41" s="59">
        <f ca="1">AVERAGE(OFFSET($BH$3,0,0,'Données projet'!$E$11+1,1))-AVERAGE(OFFSET($H$3,0,0,'Données projet'!$E$11+1,1))</f>
        <v>314.1123649635374</v>
      </c>
      <c r="BJ41" s="59">
        <f t="shared" si="38"/>
        <v>274.92342227914889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7.8262842238101715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7.8262842238101715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573.77396422919526</v>
      </c>
      <c r="CD41" s="59">
        <f ca="1">AVERAGE(OFFSET($CC$3,0,0,'Données projet'!$E$12+1,1))-AVERAGE(OFFSET($H$3,0,0,'Données projet'!$E$12+1,1))</f>
        <v>309.86296291630748</v>
      </c>
      <c r="CE41" s="59">
        <f t="shared" si="40"/>
        <v>301.17633325088661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12.299096661022617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12.299096661022617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10.4</v>
      </c>
      <c r="CT41" s="12">
        <f>IF('Données projet'!$A$140&gt;35,CT40+CS41-DB40,IF(A41&lt;'Données projet'!$A$140,$CQ$205^A41,IF(A41='Données projet'!$A$140,'Données projet'!$B$140,CT40+CS41-DB40)))</f>
        <v>142.20000000000002</v>
      </c>
      <c r="CU41" s="17">
        <f>CT41*VLOOKUP('Données projet'!$B$13,Paramètres!$A$1:$I$89,3,0)*VLOOKUP('Données projet'!$B$13,Paramètres!$A$1:$I$89,5,0)</f>
        <v>122.00760000000004</v>
      </c>
      <c r="CV41" s="13">
        <f t="shared" si="41"/>
        <v>32.142785920703616</v>
      </c>
      <c r="CW41" s="20">
        <f t="shared" si="13"/>
        <v>268.47858881189217</v>
      </c>
      <c r="CX41" s="59">
        <f t="shared" si="14"/>
        <v>540.59813912732693</v>
      </c>
      <c r="CY41" s="59">
        <f ca="1">AVERAGE(OFFSET($CX$3,0,0,'Données projet'!$E$13+1,1))-AVERAGE(OFFSET($H$3,0,0,'Données projet'!$E$13+1,1))</f>
        <v>462.66388549889928</v>
      </c>
      <c r="CZ41" s="59">
        <f t="shared" si="42"/>
        <v>265.3725203415089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13.263731693259684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13.263731693259684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7.1428571399999976</v>
      </c>
      <c r="DO41" s="12">
        <f>IF('Données projet'!$A$166&gt;35,DO40+DN41-DW40,IF(A41&lt;'Données projet'!$A$166,$DL$205^A41,IF(A41='Données projet'!$A$166,'Données projet'!$B$166,DO40+DN41-DW40)))</f>
        <v>104.57875456000002</v>
      </c>
      <c r="DP41" s="17">
        <f>DO41*VLOOKUP('Données projet'!$B$14,Paramètres!$A$1:$I$89,3,0)*VLOOKUP('Données projet'!$B$14,Paramètres!$A$1:$I$89,5,0)</f>
        <v>81.571428556800015</v>
      </c>
      <c r="DQ41" s="13">
        <f t="shared" si="43"/>
        <v>22.52097050943059</v>
      </c>
      <c r="DR41" s="20">
        <f t="shared" si="16"/>
        <v>181.29426170701831</v>
      </c>
      <c r="DS41" s="59">
        <f t="shared" si="17"/>
        <v>453.41381202245304</v>
      </c>
      <c r="DT41" s="59">
        <f ca="1">AVERAGE(OFFSET($DS$3,0,0,'Données projet'!$E$14+1,1))-AVERAGE(OFFSET($H$3,0,0,'Données projet'!$E$14+1,1))</f>
        <v>206.5241977687125</v>
      </c>
      <c r="DU41" s="59">
        <f t="shared" si="44"/>
        <v>205.25001043771269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15.837283365543382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15.837283365543382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5.6</v>
      </c>
      <c r="EJ41" s="12">
        <f>IF('Données projet'!$A$192&gt;35,EJ40+EI41-ER40,IF(A41&lt;'Données projet'!$A$192,$EG$205^A41,IF(A41='Données projet'!$A$192,'Données projet'!$B$192,EJ40+EI41-ER40)))</f>
        <v>97.799999999999969</v>
      </c>
      <c r="EK41" s="17">
        <f>EJ41*VLOOKUP('Données projet'!$B$15,Paramètres!$A$1:$I$89,3,0)*VLOOKUP('Données projet'!$B$15,Paramètres!$A$1:$I$89,5,0)</f>
        <v>85.438079999999985</v>
      </c>
      <c r="EL41" s="13">
        <f t="shared" si="45"/>
        <v>23.46169111191827</v>
      </c>
      <c r="EM41" s="20">
        <f t="shared" si="19"/>
        <v>189.66710135325764</v>
      </c>
      <c r="EN41" s="59">
        <f t="shared" si="20"/>
        <v>461.7866516686924</v>
      </c>
      <c r="EO41" s="59">
        <f ca="1">AVERAGE(OFFSET($EN$3,0,0,'Données projet'!$E$15+1,1))-AVERAGE(OFFSET($H$3,0,0,'Données projet'!$E$15+1,1))</f>
        <v>205.83135724908942</v>
      </c>
      <c r="EP41" s="59">
        <f t="shared" si="46"/>
        <v>193.60053377311405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6.752445225659474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6.752445225659474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7</v>
      </c>
      <c r="FE41" s="12">
        <f>IF('Données projet'!$A$218&gt;35,FE40+FD41-FM40,IF(A41&lt;'Données projet'!$A$218,$FB$205^A41,IF(A41='Données projet'!$A$218,'Données projet'!$B$218,FE40+FD41-FM40)))</f>
        <v>152.99999999999997</v>
      </c>
      <c r="FF41" s="17">
        <f>FE41*VLOOKUP('Données projet'!$B$16,Paramètres!$A$1:$I$89,3,0)*VLOOKUP('Données projet'!$B$16,Paramètres!$A$1:$I$89,5,0)</f>
        <v>100.2456</v>
      </c>
      <c r="FG41" s="13">
        <f t="shared" si="47"/>
        <v>27.020500005754936</v>
      </c>
      <c r="FH41" s="20">
        <f t="shared" si="22"/>
        <v>221.65512417668984</v>
      </c>
      <c r="FI41" s="59">
        <f t="shared" si="23"/>
        <v>493.77467449212463</v>
      </c>
      <c r="FJ41" s="59">
        <f ca="1">AVERAGE(OFFSET($FI$3,0,0,'Données projet'!$E$16+1,1))-AVERAGE(OFFSET($H$3,0,0,'Données projet'!$E$16+1,1))</f>
        <v>242.76791261317206</v>
      </c>
      <c r="FK41" s="59">
        <f t="shared" si="48"/>
        <v>244.28580264867682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6.1631988262505111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6.1631988262505111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8.147490842142858</v>
      </c>
      <c r="FZ41" s="12">
        <f>IF('Données projet'!$A$244&gt;35,FZ40+FY41-GH40,IF(A41&lt;'Données projet'!$A$244,$FW$205^A41,IF(A41='Données projet'!$A$244,'Données projet'!$B$244,FZ40+FY41-GH40)))</f>
        <v>152.88505494714292</v>
      </c>
      <c r="GA41" s="17">
        <f>FZ41*VLOOKUP('Données projet'!$B$17,Paramètres!$A$1:$I$89,3,0)*VLOOKUP('Données projet'!$B$17,Paramètres!$A$1:$I$89,5,0)</f>
        <v>145.48541828770121</v>
      </c>
      <c r="GB41" s="13">
        <f t="shared" si="49"/>
        <v>37.55081315022943</v>
      </c>
      <c r="GC41" s="20">
        <f t="shared" si="25"/>
        <v>318.78810308772921</v>
      </c>
      <c r="GD41" s="59">
        <f t="shared" si="26"/>
        <v>590.90765340316398</v>
      </c>
      <c r="GE41" s="59">
        <f ca="1">AVERAGE(OFFSET($GD$3,0,0,'Données projet'!$E$17+1,1))-AVERAGE(OFFSET($H$3,0,0,'Données projet'!$E$17+1,1))</f>
        <v>512.71941256120977</v>
      </c>
      <c r="GF41" s="59">
        <f t="shared" si="50"/>
        <v>230.65031527019354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64.214422813300388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-5.6843418860808015E-14</v>
      </c>
      <c r="GV41" s="17">
        <f>GU41*VLOOKUP('Données projet'!$B$18,Paramètres!$A$1:$I$89,3,0)*VLOOKUP('Données projet'!$B$18,Paramètres!$A$1:$I$89,5,0)</f>
        <v>-2.5006556825246661E-14</v>
      </c>
      <c r="GW41" s="13" t="e">
        <f t="shared" si="51"/>
        <v>#NUM!</v>
      </c>
      <c r="GX41" s="20" t="e">
        <f t="shared" si="28"/>
        <v>#NUM!</v>
      </c>
      <c r="GY41" s="59" t="e">
        <f t="shared" si="29"/>
        <v>#NUM!</v>
      </c>
      <c r="GZ41" s="59">
        <f ca="1">AVERAGE(OFFSET($GY$3,0,0,'Données projet'!$E$18+1,1))-AVERAGE(OFFSET($H$3,0,0,'Données projet'!$E$18+1,1))</f>
        <v>180.68917161146683</v>
      </c>
      <c r="HA41" s="59">
        <f t="shared" si="52"/>
        <v>344.42126252322419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54.57530862279858</v>
      </c>
      <c r="HH41" s="21">
        <f>EXP(-LN(2)/25)*HH40+(1-EXP(-LN(2)/25))/(LN(2)/25)*Calculateur!HC41*Calculateur!HE41*VLOOKUP('Données projet'!$B$18,Paramètres!$A$1:$I$89,3,0)*0.475*44/12</f>
        <v>13.269257208065731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67.844565830864312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2.25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8.25</v>
      </c>
      <c r="H42" s="66">
        <f t="shared" si="1"/>
        <v>223.66666666666666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8.147490842142858</v>
      </c>
      <c r="N42" s="13">
        <f>IF('Données projet'!$A$36&gt;35,N41+M42-V41,IF(A42&lt;'Données projet'!$A$36,$K$205^A42,IF(A42='Données projet'!$A$36,'Données projet'!$B$36,N41+M42-V41)))</f>
        <v>161.03254578928579</v>
      </c>
      <c r="O42" s="13">
        <f>N42*VLOOKUP('Données projet'!$B$9,Paramètres!$A$1:$I$89,3,0)*VLOOKUP('Données projet'!$B$9,Paramètres!$A$1:$I$89,5,0)</f>
        <v>145.70224743014577</v>
      </c>
      <c r="P42" s="13">
        <f t="shared" si="33"/>
        <v>37.600259653710509</v>
      </c>
      <c r="Q42" s="20">
        <f t="shared" si="53"/>
        <v>319.25186650438303</v>
      </c>
      <c r="R42" s="59">
        <f t="shared" si="0"/>
        <v>591.73942852826463</v>
      </c>
      <c r="S42" s="59">
        <f ca="1">AVERAGE(OFFSET($R$3,0,0,'Données projet'!$E$9+1,1))-AVERAGE(OFFSET($H$3,0,0,'Données projet'!$E$9+1,1))</f>
        <v>490.57849401500789</v>
      </c>
      <c r="T42" s="59">
        <f t="shared" si="34"/>
        <v>221.7570623669753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4.8292136753333335</v>
      </c>
      <c r="AI42" s="13">
        <f>IF('Données projet'!$A$62&gt;35,AI41+AH42-AQ41,IF(A42&lt;'Données projet'!$A$62,$AF$205^A42,IF(A42='Données projet'!$A$62,'Données projet'!$B$62,AI41+AH42-AQ41)))</f>
        <v>100.20651281800001</v>
      </c>
      <c r="AJ42" s="13">
        <f>AI42*VLOOKUP('Données projet'!$B$10,Paramètres!$A$1:$I$89,3,0)*VLOOKUP('Données projet'!$B$10,Paramètres!$A$1:$I$89,5,0)</f>
        <v>67.218528798314409</v>
      </c>
      <c r="AK42" s="13">
        <f t="shared" si="35"/>
        <v>18.981098715539929</v>
      </c>
      <c r="AL42" s="20">
        <f t="shared" si="4"/>
        <v>150.13101791996297</v>
      </c>
      <c r="AM42" s="59">
        <f t="shared" si="5"/>
        <v>422.61857994384457</v>
      </c>
      <c r="AN42" s="59">
        <f ca="1">AVERAGE(OFFSET($AM$3,0,0,'Données projet'!$E$10+1,1))-AVERAGE(OFFSET($H$3,0,0,'Données projet'!$E$10+1,1))</f>
        <v>377.00534440335832</v>
      </c>
      <c r="AO42" s="59">
        <f t="shared" si="36"/>
        <v>131.56029120000656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</v>
      </c>
      <c r="BD42" s="12">
        <f>IF('Données projet'!$A$88&gt;35,BD41+BC42-BL41,IF(A42&lt;'Données projet'!$A$88,$BA$205^A42,IF(A42='Données projet'!$A$88,'Données projet'!$B$88,BD41+BC42-BL41)))</f>
        <v>143</v>
      </c>
      <c r="BE42" s="13">
        <f>BD42*VLOOKUP('Données projet'!$B$11,Paramètres!$A$1:$I$89,3,0)*VLOOKUP('Données projet'!$B$11,Paramètres!$A$1:$I$89,5,0)</f>
        <v>124.92480000000002</v>
      </c>
      <c r="BF42" s="13">
        <f t="shared" si="37"/>
        <v>32.820925500842712</v>
      </c>
      <c r="BG42" s="20">
        <f t="shared" si="7"/>
        <v>274.74047191396772</v>
      </c>
      <c r="BH42" s="59">
        <f t="shared" si="8"/>
        <v>547.22803393784932</v>
      </c>
      <c r="BI42" s="59">
        <f ca="1">AVERAGE(OFFSET($BH$3,0,0,'Données projet'!$E$11+1,1))-AVERAGE(OFFSET($H$3,0,0,'Données projet'!$E$11+1,1))</f>
        <v>314.1123649635374</v>
      </c>
      <c r="BJ42" s="59">
        <f t="shared" si="38"/>
        <v>274.92342227914889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7.6728155637432804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7.6728155637432804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590.48858324926061</v>
      </c>
      <c r="CD42" s="59">
        <f ca="1">AVERAGE(OFFSET($CC$3,0,0,'Données projet'!$E$12+1,1))-AVERAGE(OFFSET($H$3,0,0,'Données projet'!$E$12+1,1))</f>
        <v>309.86296291630748</v>
      </c>
      <c r="CE42" s="59">
        <f t="shared" si="40"/>
        <v>301.17633325088661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12.057918877208195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12.057918877208195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10.4</v>
      </c>
      <c r="CT42" s="12">
        <f>IF('Données projet'!$A$140&gt;35,CT41+CS42-DB41,IF(A42&lt;'Données projet'!$A$140,$CQ$205^A42,IF(A42='Données projet'!$A$140,'Données projet'!$B$140,CT41+CS42-DB41)))</f>
        <v>152.60000000000002</v>
      </c>
      <c r="CU42" s="17">
        <f>CT42*VLOOKUP('Données projet'!$B$13,Paramètres!$A$1:$I$89,3,0)*VLOOKUP('Données projet'!$B$13,Paramètres!$A$1:$I$89,5,0)</f>
        <v>130.93080000000003</v>
      </c>
      <c r="CV42" s="13">
        <f t="shared" si="41"/>
        <v>34.211350494649842</v>
      </c>
      <c r="CW42" s="20">
        <f t="shared" si="13"/>
        <v>287.62257877818189</v>
      </c>
      <c r="CX42" s="59">
        <f t="shared" si="14"/>
        <v>560.11014080206348</v>
      </c>
      <c r="CY42" s="59">
        <f ca="1">AVERAGE(OFFSET($CX$3,0,0,'Données projet'!$E$13+1,1))-AVERAGE(OFFSET($H$3,0,0,'Données projet'!$E$13+1,1))</f>
        <v>462.66388549889928</v>
      </c>
      <c r="CZ42" s="59">
        <f t="shared" si="42"/>
        <v>265.3725203415089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13.003638004832366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13.003638004832366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7.1428571399999976</v>
      </c>
      <c r="DO42" s="12">
        <f>IF('Données projet'!$A$166&gt;35,DO41+DN42-DW41,IF(A42&lt;'Données projet'!$A$166,$DL$205^A42,IF(A42='Données projet'!$A$166,'Données projet'!$B$166,DO41+DN42-DW41)))</f>
        <v>111.72161170000003</v>
      </c>
      <c r="DP42" s="17">
        <f>DO42*VLOOKUP('Données projet'!$B$14,Paramètres!$A$1:$I$89,3,0)*VLOOKUP('Données projet'!$B$14,Paramètres!$A$1:$I$89,5,0)</f>
        <v>87.142857126000024</v>
      </c>
      <c r="DQ42" s="13">
        <f t="shared" si="43"/>
        <v>23.874862487799231</v>
      </c>
      <c r="DR42" s="20">
        <f t="shared" si="16"/>
        <v>193.35586166070036</v>
      </c>
      <c r="DS42" s="59">
        <f t="shared" si="17"/>
        <v>465.84342368458192</v>
      </c>
      <c r="DT42" s="59">
        <f ca="1">AVERAGE(OFFSET($DS$3,0,0,'Données projet'!$E$14+1,1))-AVERAGE(OFFSET($H$3,0,0,'Données projet'!$E$14+1,1))</f>
        <v>206.5241977687125</v>
      </c>
      <c r="DU42" s="59">
        <f t="shared" si="44"/>
        <v>205.25001043771269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15.526723898534105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15.526723898534105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5.6</v>
      </c>
      <c r="EJ42" s="12">
        <f>IF('Données projet'!$A$192&gt;35,EJ41+EI42-ER41,IF(A42&lt;'Données projet'!$A$192,$EG$205^A42,IF(A42='Données projet'!$A$192,'Données projet'!$B$192,EJ41+EI42-ER41)))</f>
        <v>103.39999999999996</v>
      </c>
      <c r="EK42" s="17">
        <f>EJ42*VLOOKUP('Données projet'!$B$15,Paramètres!$A$1:$I$89,3,0)*VLOOKUP('Données projet'!$B$15,Paramètres!$A$1:$I$89,5,0)</f>
        <v>90.330239999999975</v>
      </c>
      <c r="EL42" s="13">
        <f t="shared" si="45"/>
        <v>24.644853944123636</v>
      </c>
      <c r="EM42" s="20">
        <f t="shared" si="19"/>
        <v>200.24828861934861</v>
      </c>
      <c r="EN42" s="59">
        <f t="shared" si="20"/>
        <v>472.73585064323021</v>
      </c>
      <c r="EO42" s="59">
        <f ca="1">AVERAGE(OFFSET($EN$3,0,0,'Données projet'!$E$15+1,1))-AVERAGE(OFFSET($H$3,0,0,'Données projet'!$E$15+1,1))</f>
        <v>205.83135724908942</v>
      </c>
      <c r="EP42" s="59">
        <f t="shared" si="46"/>
        <v>193.60053377311405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6.6200338933692029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6.6200338933692029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7</v>
      </c>
      <c r="FE42" s="12">
        <f>IF('Données projet'!$A$218&gt;35,FE41+FD42-FM41,IF(A42&lt;'Données projet'!$A$218,$FB$205^A42,IF(A42='Données projet'!$A$218,'Données projet'!$B$218,FE41+FD42-FM41)))</f>
        <v>159.99999999999997</v>
      </c>
      <c r="FF42" s="17">
        <f>FE42*VLOOKUP('Données projet'!$B$16,Paramètres!$A$1:$I$89,3,0)*VLOOKUP('Données projet'!$B$16,Paramètres!$A$1:$I$89,5,0)</f>
        <v>104.83199999999998</v>
      </c>
      <c r="FG42" s="13">
        <f t="shared" si="47"/>
        <v>28.109974371137692</v>
      </c>
      <c r="FH42" s="20">
        <f t="shared" si="22"/>
        <v>231.54060536306474</v>
      </c>
      <c r="FI42" s="59">
        <f t="shared" si="23"/>
        <v>504.02816738694634</v>
      </c>
      <c r="FJ42" s="59">
        <f ca="1">AVERAGE(OFFSET($FI$3,0,0,'Données projet'!$E$16+1,1))-AVERAGE(OFFSET($H$3,0,0,'Données projet'!$E$16+1,1))</f>
        <v>242.76791261317206</v>
      </c>
      <c r="FK42" s="59">
        <f t="shared" si="48"/>
        <v>244.28580264867682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6.0423422564478342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6.0423422564478342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8.147490842142858</v>
      </c>
      <c r="FZ42" s="12">
        <f>IF('Données projet'!$A$244&gt;35,FZ41+FY42-GH41,IF(A42&lt;'Données projet'!$A$244,$FW$205^A42,IF(A42='Données projet'!$A$244,'Données projet'!$B$244,FZ41+FY42-GH41)))</f>
        <v>161.03254578928579</v>
      </c>
      <c r="GA42" s="17">
        <f>FZ42*VLOOKUP('Données projet'!$B$17,Paramètres!$A$1:$I$89,3,0)*VLOOKUP('Données projet'!$B$17,Paramètres!$A$1:$I$89,5,0)</f>
        <v>153.23857057308436</v>
      </c>
      <c r="GB42" s="13">
        <f t="shared" si="49"/>
        <v>39.313644948413213</v>
      </c>
      <c r="GC42" s="20">
        <f t="shared" si="25"/>
        <v>335.3617753666083</v>
      </c>
      <c r="GD42" s="59">
        <f t="shared" si="26"/>
        <v>607.84933739048984</v>
      </c>
      <c r="GE42" s="59">
        <f ca="1">AVERAGE(OFFSET($GD$3,0,0,'Données projet'!$E$17+1,1))-AVERAGE(OFFSET($H$3,0,0,'Données projet'!$E$17+1,1))</f>
        <v>512.71941256120977</v>
      </c>
      <c r="GF42" s="59">
        <f t="shared" si="50"/>
        <v>230.65031527019354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64.314789642876789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-5.6843418860808015E-14</v>
      </c>
      <c r="GV42" s="17">
        <f>GU42*VLOOKUP('Données projet'!$B$18,Paramètres!$A$1:$I$89,3,0)*VLOOKUP('Données projet'!$B$18,Paramètres!$A$1:$I$89,5,0)</f>
        <v>-2.5006556825246661E-14</v>
      </c>
      <c r="GW42" s="13" t="e">
        <f t="shared" si="51"/>
        <v>#NUM!</v>
      </c>
      <c r="GX42" s="20" t="e">
        <f t="shared" si="28"/>
        <v>#NUM!</v>
      </c>
      <c r="GY42" s="59" t="e">
        <f t="shared" si="29"/>
        <v>#NUM!</v>
      </c>
      <c r="GZ42" s="59">
        <f ca="1">AVERAGE(OFFSET($GY$3,0,0,'Données projet'!$E$18+1,1))-AVERAGE(OFFSET($H$3,0,0,'Données projet'!$E$18+1,1))</f>
        <v>180.68917161146683</v>
      </c>
      <c r="HA42" s="59">
        <f t="shared" si="52"/>
        <v>344.42126252322419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53.505120108356877</v>
      </c>
      <c r="HH42" s="21">
        <f>EXP(-LN(2)/25)*HH41+(1-EXP(-LN(2)/25))/(LN(2)/25)*Calculateur!HC42*Calculateur!HE42*VLOOKUP('Données projet'!$B$18,Paramètres!$A$1:$I$89,3,0)*0.475*44/12</f>
        <v>12.906408671911265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66.411528780268142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2.25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8.25</v>
      </c>
      <c r="H43" s="66">
        <f t="shared" si="1"/>
        <v>223.66666666666666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8.147490842142858</v>
      </c>
      <c r="N43" s="13">
        <f>IF('Données projet'!$A$36&gt;35,N42+M43-V42,IF(A43&lt;'Données projet'!$A$36,$K$205^A43,IF(A43='Données projet'!$A$36,'Données projet'!$B$36,N42+M43-V42)))</f>
        <v>169.18003663142866</v>
      </c>
      <c r="O43" s="13">
        <f>N43*VLOOKUP('Données projet'!$B$9,Paramètres!$A$1:$I$89,3,0)*VLOOKUP('Données projet'!$B$9,Paramètres!$A$1:$I$89,5,0)</f>
        <v>153.07409714411665</v>
      </c>
      <c r="P43" s="13">
        <f t="shared" si="33"/>
        <v>39.27635826013762</v>
      </c>
      <c r="Q43" s="20">
        <f t="shared" si="53"/>
        <v>335.01037649574283</v>
      </c>
      <c r="R43" s="59">
        <f t="shared" si="0"/>
        <v>607.85956604768057</v>
      </c>
      <c r="S43" s="59">
        <f ca="1">AVERAGE(OFFSET($R$3,0,0,'Données projet'!$E$9+1,1))-AVERAGE(OFFSET($H$3,0,0,'Données projet'!$E$9+1,1))</f>
        <v>490.57849401500789</v>
      </c>
      <c r="T43" s="59">
        <f t="shared" si="34"/>
        <v>221.7570623669753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4.8292136753333335</v>
      </c>
      <c r="AI43" s="13">
        <f>IF('Données projet'!$A$62&gt;35,AI42+AH43-AQ42,IF(A43&lt;'Données projet'!$A$62,$AF$205^A43,IF(A43='Données projet'!$A$62,'Données projet'!$B$62,AI42+AH43-AQ42)))</f>
        <v>105.03572649333334</v>
      </c>
      <c r="AJ43" s="13">
        <f>AI43*VLOOKUP('Données projet'!$B$10,Paramètres!$A$1:$I$89,3,0)*VLOOKUP('Données projet'!$B$10,Paramètres!$A$1:$I$89,5,0)</f>
        <v>70.457965331728005</v>
      </c>
      <c r="AK43" s="13">
        <f t="shared" si="35"/>
        <v>19.787143304990373</v>
      </c>
      <c r="AL43" s="20">
        <f t="shared" si="4"/>
        <v>157.17689754228451</v>
      </c>
      <c r="AM43" s="59">
        <f t="shared" si="5"/>
        <v>430.02608709422219</v>
      </c>
      <c r="AN43" s="59">
        <f ca="1">AVERAGE(OFFSET($AM$3,0,0,'Données projet'!$E$10+1,1))-AVERAGE(OFFSET($H$3,0,0,'Données projet'!$E$10+1,1))</f>
        <v>377.00534440335832</v>
      </c>
      <c r="AO43" s="59">
        <f t="shared" si="36"/>
        <v>131.56029120000656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150</v>
      </c>
      <c r="BB43" s="12">
        <f>VLOOKUP(A43,'Données projet'!$A$87:$I$107,9,0)</f>
        <v>7</v>
      </c>
      <c r="BC43" s="12">
        <f t="array" ref="BC43">INDEX(BB:BB,MIN(IF(ISNUMBER(BB43:BB239),ROW(BB43:BB239),"")))</f>
        <v>7</v>
      </c>
      <c r="BD43" s="12">
        <f>IF('Données projet'!$A$88&gt;35,BD42+BC43-BL42,IF(A43&lt;'Données projet'!$A$88,$BA$205^A43,IF(A43='Données projet'!$A$88,'Données projet'!$B$88,BD42+BC43-BL42)))</f>
        <v>150</v>
      </c>
      <c r="BE43" s="13">
        <f>BD43*VLOOKUP('Données projet'!$B$11,Paramètres!$A$1:$I$89,3,0)*VLOOKUP('Données projet'!$B$11,Paramètres!$A$1:$I$89,5,0)</f>
        <v>131.04000000000002</v>
      </c>
      <c r="BF43" s="13">
        <f t="shared" si="37"/>
        <v>34.236561238949918</v>
      </c>
      <c r="BG43" s="20">
        <f t="shared" si="7"/>
        <v>287.85667749117118</v>
      </c>
      <c r="BH43" s="59">
        <f t="shared" si="8"/>
        <v>560.70586704310881</v>
      </c>
      <c r="BI43" s="59">
        <f ca="1">AVERAGE(OFFSET($BH$3,0,0,'Données projet'!$E$11+1,1))-AVERAGE(OFFSET($H$3,0,0,'Données projet'!$E$11+1,1))</f>
        <v>314.1123649635374</v>
      </c>
      <c r="BJ43" s="59">
        <f t="shared" si="38"/>
        <v>274.92342227914889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20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15.827711073109533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15.827711073109533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607.17821645366666</v>
      </c>
      <c r="CD43" s="59">
        <f ca="1">AVERAGE(OFFSET($CC$3,0,0,'Données projet'!$E$12+1,1))-AVERAGE(OFFSET($H$3,0,0,'Données projet'!$E$12+1,1))</f>
        <v>309.86296291630748</v>
      </c>
      <c r="CE43" s="59">
        <f t="shared" si="40"/>
        <v>301.17633325088661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24.873431994543651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24.873431994543651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163</v>
      </c>
      <c r="CR43" s="12">
        <f>VLOOKUP(A43,'Données projet'!$A$139:$I$159,9,0)</f>
        <v>10.4</v>
      </c>
      <c r="CS43" s="12">
        <f t="array" ref="CS43">INDEX(CR:CR,MIN(IF(ISNUMBER(CR43:CR239),ROW(CR43:CR239),"")))</f>
        <v>10.4</v>
      </c>
      <c r="CT43" s="12">
        <f>IF('Données projet'!$A$140&gt;35,CT42+CS43-DB42,IF(A43&lt;'Données projet'!$A$140,$CQ$205^A43,IF(A43='Données projet'!$A$140,'Données projet'!$B$140,CT42+CS43-DB42)))</f>
        <v>163.00000000000003</v>
      </c>
      <c r="CU43" s="17">
        <f>CT43*VLOOKUP('Données projet'!$B$13,Paramètres!$A$1:$I$89,3,0)*VLOOKUP('Données projet'!$B$13,Paramètres!$A$1:$I$89,5,0)</f>
        <v>139.85400000000004</v>
      </c>
      <c r="CV43" s="13">
        <f t="shared" si="41"/>
        <v>36.263556914404674</v>
      </c>
      <c r="CW43" s="20">
        <f t="shared" si="13"/>
        <v>306.73807829258823</v>
      </c>
      <c r="CX43" s="59">
        <f t="shared" si="14"/>
        <v>579.58726784452597</v>
      </c>
      <c r="CY43" s="59">
        <f ca="1">AVERAGE(OFFSET($CX$3,0,0,'Données projet'!$E$13+1,1))-AVERAGE(OFFSET($H$3,0,0,'Données projet'!$E$13+1,1))</f>
        <v>462.66388549889928</v>
      </c>
      <c r="CZ43" s="59">
        <f t="shared" si="42"/>
        <v>265.3725203415089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0.53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26.82428940588041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26.82428940588041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7.1428571399999976</v>
      </c>
      <c r="DO43" s="12">
        <f>IF('Données projet'!$A$166&gt;35,DO42+DN43-DW42,IF(A43&lt;'Données projet'!$A$166,$DL$205^A43,IF(A43='Données projet'!$A$166,'Données projet'!$B$166,DO42+DN43-DW42)))</f>
        <v>118.86446884000003</v>
      </c>
      <c r="DP43" s="17">
        <f>DO43*VLOOKUP('Données projet'!$B$14,Paramètres!$A$1:$I$89,3,0)*VLOOKUP('Données projet'!$B$14,Paramètres!$A$1:$I$89,5,0)</f>
        <v>92.714285695200033</v>
      </c>
      <c r="DQ43" s="13">
        <f t="shared" si="43"/>
        <v>25.21870902264989</v>
      </c>
      <c r="DR43" s="20">
        <f t="shared" si="16"/>
        <v>205.39996580025527</v>
      </c>
      <c r="DS43" s="59">
        <f t="shared" si="17"/>
        <v>478.24915535219293</v>
      </c>
      <c r="DT43" s="59">
        <f ca="1">AVERAGE(OFFSET($DS$3,0,0,'Données projet'!$E$14+1,1))-AVERAGE(OFFSET($H$3,0,0,'Données projet'!$E$14+1,1))</f>
        <v>206.5241977687125</v>
      </c>
      <c r="DU43" s="59">
        <f t="shared" si="44"/>
        <v>205.25001043771269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15.222254313250307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15.222254313250307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109</v>
      </c>
      <c r="EH43" s="12">
        <f>VLOOKUP(A43,'Données projet'!$A$191:$I$211,9,0)</f>
        <v>5.6</v>
      </c>
      <c r="EI43" s="12">
        <f t="array" ref="EI43">INDEX(EH:EH,MIN(IF(ISNUMBER(EH43:EH239),ROW(EH43:EH239),"")))</f>
        <v>5.6</v>
      </c>
      <c r="EJ43" s="12">
        <f>IF('Données projet'!$A$192&gt;35,EJ42+EI43-ER42,IF(A43&lt;'Données projet'!$A$192,$EG$205^A43,IF(A43='Données projet'!$A$192,'Données projet'!$B$192,EJ42+EI43-ER42)))</f>
        <v>108.99999999999996</v>
      </c>
      <c r="EK43" s="17">
        <f>EJ43*VLOOKUP('Données projet'!$B$15,Paramètres!$A$1:$I$89,3,0)*VLOOKUP('Données projet'!$B$15,Paramètres!$A$1:$I$89,5,0)</f>
        <v>95.222399999999979</v>
      </c>
      <c r="EL43" s="13">
        <f t="shared" si="45"/>
        <v>25.820577666484969</v>
      </c>
      <c r="EM43" s="20">
        <f t="shared" si="19"/>
        <v>210.81651943579459</v>
      </c>
      <c r="EN43" s="59">
        <f t="shared" si="20"/>
        <v>483.66570898773227</v>
      </c>
      <c r="EO43" s="59">
        <f ca="1">AVERAGE(OFFSET($EN$3,0,0,'Données projet'!$E$15+1,1))-AVERAGE(OFFSET($H$3,0,0,'Données projet'!$E$15+1,1))</f>
        <v>205.83135724908942</v>
      </c>
      <c r="EP43" s="59">
        <f t="shared" si="46"/>
        <v>193.60053377311405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14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13.656001879357298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13.656001879357298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167</v>
      </c>
      <c r="FC43" s="12">
        <f>VLOOKUP(A43,'Données projet'!$A$217:$I$237,9,0)</f>
        <v>7</v>
      </c>
      <c r="FD43" s="12">
        <f t="array" ref="FD43">INDEX(FC:FC,MIN(IF(ISNUMBER(FC43:FC239),ROW(FC43:FC239),"")))</f>
        <v>7</v>
      </c>
      <c r="FE43" s="12">
        <f>IF('Données projet'!$A$218&gt;35,FE42+FD43-FM42,IF(A43&lt;'Données projet'!$A$218,$FB$205^A43,IF(A43='Données projet'!$A$218,'Données projet'!$B$218,FE42+FD43-FM42)))</f>
        <v>166.99999999999997</v>
      </c>
      <c r="FF43" s="17">
        <f>FE43*VLOOKUP('Données projet'!$B$16,Paramètres!$A$1:$I$89,3,0)*VLOOKUP('Données projet'!$B$16,Paramètres!$A$1:$I$89,5,0)</f>
        <v>109.41839999999998</v>
      </c>
      <c r="FG43" s="13">
        <f t="shared" si="47"/>
        <v>29.193912826430967</v>
      </c>
      <c r="FH43" s="20">
        <f t="shared" si="22"/>
        <v>241.41644483936719</v>
      </c>
      <c r="FI43" s="59">
        <f t="shared" si="23"/>
        <v>514.26563439130484</v>
      </c>
      <c r="FJ43" s="59">
        <f ca="1">AVERAGE(OFFSET($FI$3,0,0,'Données projet'!$E$16+1,1))-AVERAGE(OFFSET($H$3,0,0,'Données projet'!$E$16+1,1))</f>
        <v>242.76791261317206</v>
      </c>
      <c r="FK43" s="59">
        <f t="shared" si="48"/>
        <v>244.28580264867682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22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12.775773272921855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12.775773272921855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8.147490842142858</v>
      </c>
      <c r="FZ43" s="12">
        <f>IF('Données projet'!$A$244&gt;35,FZ42+FY43-GH42,IF(A43&lt;'Données projet'!$A$244,$FW$205^A43,IF(A43='Données projet'!$A$244,'Données projet'!$B$244,FZ42+FY43-GH42)))</f>
        <v>169.18003663142866</v>
      </c>
      <c r="GA43" s="17">
        <f>FZ43*VLOOKUP('Données projet'!$B$17,Paramètres!$A$1:$I$89,3,0)*VLOOKUP('Données projet'!$B$17,Paramètres!$A$1:$I$89,5,0)</f>
        <v>160.99172285846751</v>
      </c>
      <c r="GB43" s="13">
        <f t="shared" si="49"/>
        <v>41.06612075891212</v>
      </c>
      <c r="GC43" s="20">
        <f t="shared" si="25"/>
        <v>351.91741096693619</v>
      </c>
      <c r="GD43" s="59">
        <f t="shared" si="26"/>
        <v>624.76660051887393</v>
      </c>
      <c r="GE43" s="59">
        <f ca="1">AVERAGE(OFFSET($GD$3,0,0,'Données projet'!$E$17+1,1))-AVERAGE(OFFSET($H$3,0,0,'Données projet'!$E$17+1,1))</f>
        <v>512.71941256120977</v>
      </c>
      <c r="GF43" s="59">
        <f t="shared" si="50"/>
        <v>230.65031527019354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64.413415332346645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-5.6843418860808015E-14</v>
      </c>
      <c r="GV43" s="17">
        <f>GU43*VLOOKUP('Données projet'!$B$18,Paramètres!$A$1:$I$89,3,0)*VLOOKUP('Données projet'!$B$18,Paramètres!$A$1:$I$89,5,0)</f>
        <v>-2.5006556825246661E-14</v>
      </c>
      <c r="GW43" s="13" t="e">
        <f t="shared" si="51"/>
        <v>#NUM!</v>
      </c>
      <c r="GX43" s="20" t="e">
        <f t="shared" si="28"/>
        <v>#NUM!</v>
      </c>
      <c r="GY43" s="59" t="e">
        <f t="shared" si="29"/>
        <v>#NUM!</v>
      </c>
      <c r="GZ43" s="59">
        <f ca="1">AVERAGE(OFFSET($GY$3,0,0,'Données projet'!$E$18+1,1))-AVERAGE(OFFSET($H$3,0,0,'Données projet'!$E$18+1,1))</f>
        <v>180.68917161146683</v>
      </c>
      <c r="HA43" s="59">
        <f t="shared" si="52"/>
        <v>344.42126252322419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52.455917337932839</v>
      </c>
      <c r="HH43" s="21">
        <f>EXP(-LN(2)/25)*HH42+(1-EXP(-LN(2)/25))/(LN(2)/25)*Calculateur!HC43*Calculateur!HE43*VLOOKUP('Données projet'!$B$18,Paramètres!$A$1:$I$89,3,0)*0.475*44/12</f>
        <v>12.553482248059318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65.009399585992156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2.25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8.25</v>
      </c>
      <c r="H44" s="66">
        <f t="shared" si="1"/>
        <v>223.66666666666666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8.147490842142858</v>
      </c>
      <c r="N44" s="13">
        <f>IF('Données projet'!$A$36&gt;35,N43+M44-V43,IF(A44&lt;'Données projet'!$A$36,$K$205^A44,IF(A44='Données projet'!$A$36,'Données projet'!$B$36,N43+M44-V43)))</f>
        <v>177.32752747357154</v>
      </c>
      <c r="O44" s="13">
        <f>N44*VLOOKUP('Données projet'!$B$9,Paramètres!$A$1:$I$89,3,0)*VLOOKUP('Données projet'!$B$9,Paramètres!$A$1:$I$89,5,0)</f>
        <v>160.44594685808752</v>
      </c>
      <c r="P44" s="13">
        <f t="shared" si="33"/>
        <v>40.943083666081961</v>
      </c>
      <c r="Q44" s="20">
        <f t="shared" si="53"/>
        <v>350.75256149626176</v>
      </c>
      <c r="R44" s="59">
        <f t="shared" si="0"/>
        <v>623.95710514712187</v>
      </c>
      <c r="S44" s="59">
        <f ca="1">AVERAGE(OFFSET($R$3,0,0,'Données projet'!$E$9+1,1))-AVERAGE(OFFSET($H$3,0,0,'Données projet'!$E$9+1,1))</f>
        <v>490.57849401500789</v>
      </c>
      <c r="T44" s="59">
        <f t="shared" si="34"/>
        <v>221.7570623669753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4.8292136753333335</v>
      </c>
      <c r="AI44" s="13">
        <f>IF('Données projet'!$A$62&gt;35,AI43+AH44-AQ43,IF(A44&lt;'Données projet'!$A$62,$AF$205^A44,IF(A44='Données projet'!$A$62,'Données projet'!$B$62,AI43+AH44-AQ43)))</f>
        <v>109.86494016866668</v>
      </c>
      <c r="AJ44" s="13">
        <f>AI44*VLOOKUP('Données projet'!$B$10,Paramètres!$A$1:$I$89,3,0)*VLOOKUP('Données projet'!$B$10,Paramètres!$A$1:$I$89,5,0)</f>
        <v>73.697401865141615</v>
      </c>
      <c r="AK44" s="13">
        <f t="shared" si="35"/>
        <v>20.588884100918129</v>
      </c>
      <c r="AL44" s="20">
        <f t="shared" si="4"/>
        <v>164.21528139088738</v>
      </c>
      <c r="AM44" s="59">
        <f t="shared" si="5"/>
        <v>437.41982504174746</v>
      </c>
      <c r="AN44" s="59">
        <f ca="1">AVERAGE(OFFSET($AM$3,0,0,'Données projet'!$E$10+1,1))-AVERAGE(OFFSET($H$3,0,0,'Données projet'!$E$10+1,1))</f>
        <v>377.00534440335832</v>
      </c>
      <c r="AO44" s="59">
        <f t="shared" si="36"/>
        <v>131.56029120000656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6.4</v>
      </c>
      <c r="BD44" s="12">
        <f>IF('Données projet'!$A$88&gt;35,BD43+BC44-BL43,IF(A44&lt;'Données projet'!$A$88,$BA$205^A44,IF(A44='Données projet'!$A$88,'Données projet'!$B$88,BD43+BC44-BL43)))</f>
        <v>136.4</v>
      </c>
      <c r="BE44" s="13">
        <f>BD44*VLOOKUP('Données projet'!$B$11,Paramètres!$A$1:$I$89,3,0)*VLOOKUP('Données projet'!$B$11,Paramètres!$A$1:$I$89,5,0)</f>
        <v>119.15904000000003</v>
      </c>
      <c r="BF44" s="13">
        <f t="shared" si="37"/>
        <v>31.478778976043767</v>
      </c>
      <c r="BG44" s="20">
        <f t="shared" si="7"/>
        <v>262.36086804994295</v>
      </c>
      <c r="BH44" s="59">
        <f t="shared" si="8"/>
        <v>535.565411700803</v>
      </c>
      <c r="BI44" s="59">
        <f ca="1">AVERAGE(OFFSET($BH$3,0,0,'Données projet'!$E$11+1,1))-AVERAGE(OFFSET($H$3,0,0,'Données projet'!$E$11+1,1))</f>
        <v>314.1123649635374</v>
      </c>
      <c r="BJ44" s="59">
        <f t="shared" si="38"/>
        <v>274.92342227914889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15.517339312916361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15.517339312916361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573.83665125064886</v>
      </c>
      <c r="CD44" s="59">
        <f ca="1">AVERAGE(OFFSET($CC$3,0,0,'Données projet'!$E$12+1,1))-AVERAGE(OFFSET($H$3,0,0,'Données projet'!$E$12+1,1))</f>
        <v>309.86296291630748</v>
      </c>
      <c r="CE44" s="59">
        <f t="shared" si="40"/>
        <v>301.17633325088661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24.385679164426126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24.385679164426126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</v>
      </c>
      <c r="CT44" s="12">
        <f>IF('Données projet'!$A$140&gt;35,CT43+CS44-DB43,IF(A44&lt;'Données projet'!$A$140,$CQ$205^A44,IF(A44='Données projet'!$A$140,'Données projet'!$B$140,CT43+CS44-DB43)))</f>
        <v>146.00000000000003</v>
      </c>
      <c r="CU44" s="17">
        <f>CT44*VLOOKUP('Données projet'!$B$13,Paramètres!$A$1:$I$89,3,0)*VLOOKUP('Données projet'!$B$13,Paramètres!$A$1:$I$89,5,0)</f>
        <v>125.26800000000004</v>
      </c>
      <c r="CV44" s="13">
        <f t="shared" si="41"/>
        <v>32.9005846700787</v>
      </c>
      <c r="CW44" s="20">
        <f t="shared" si="13"/>
        <v>275.47695163372049</v>
      </c>
      <c r="CX44" s="59">
        <f t="shared" si="14"/>
        <v>548.68149528458059</v>
      </c>
      <c r="CY44" s="59">
        <f ca="1">AVERAGE(OFFSET($CX$3,0,0,'Données projet'!$E$13+1,1))-AVERAGE(OFFSET($H$3,0,0,'Données projet'!$E$13+1,1))</f>
        <v>462.66388549889928</v>
      </c>
      <c r="CZ44" s="59">
        <f t="shared" si="42"/>
        <v>265.3725203415089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26.2982814518321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26.2982814518321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7.1428571399999976</v>
      </c>
      <c r="DO44" s="12">
        <f>IF('Données projet'!$A$166&gt;35,DO43+DN44-DW43,IF(A44&lt;'Données projet'!$A$166,$DL$205^A44,IF(A44='Données projet'!$A$166,'Données projet'!$B$166,DO43+DN44-DW43)))</f>
        <v>126.00732598000003</v>
      </c>
      <c r="DP44" s="17">
        <f>DO44*VLOOKUP('Données projet'!$B$14,Paramètres!$A$1:$I$89,3,0)*VLOOKUP('Données projet'!$B$14,Paramètres!$A$1:$I$89,5,0)</f>
        <v>98.285714264400028</v>
      </c>
      <c r="DQ44" s="13">
        <f t="shared" si="43"/>
        <v>26.553182516553772</v>
      </c>
      <c r="DR44" s="20">
        <f t="shared" si="16"/>
        <v>217.42774522682785</v>
      </c>
      <c r="DS44" s="59">
        <f t="shared" si="17"/>
        <v>490.63228887768798</v>
      </c>
      <c r="DT44" s="59">
        <f ca="1">AVERAGE(OFFSET($DS$3,0,0,'Données projet'!$E$14+1,1))-AVERAGE(OFFSET($H$3,0,0,'Données projet'!$E$14+1,1))</f>
        <v>206.5241977687125</v>
      </c>
      <c r="DU44" s="59">
        <f t="shared" si="44"/>
        <v>205.25001043771269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14.923755190825815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14.923755190825815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</v>
      </c>
      <c r="EJ44" s="12">
        <f>IF('Données projet'!$A$192&gt;35,EJ43+EI44-ER43,IF(A44&lt;'Données projet'!$A$192,$EG$205^A44,IF(A44='Données projet'!$A$192,'Données projet'!$B$192,EJ43+EI44-ER43)))</f>
        <v>99.999999999999957</v>
      </c>
      <c r="EK44" s="17">
        <f>EJ44*VLOOKUP('Données projet'!$B$15,Paramètres!$A$1:$I$89,3,0)*VLOOKUP('Données projet'!$B$15,Paramètres!$A$1:$I$89,5,0)</f>
        <v>87.359999999999971</v>
      </c>
      <c r="EL44" s="13">
        <f t="shared" si="45"/>
        <v>23.927421530185931</v>
      </c>
      <c r="EM44" s="20">
        <f t="shared" si="19"/>
        <v>193.8255924984071</v>
      </c>
      <c r="EN44" s="59">
        <f t="shared" si="20"/>
        <v>467.03013614926721</v>
      </c>
      <c r="EO44" s="59">
        <f ca="1">AVERAGE(OFFSET($EN$3,0,0,'Données projet'!$E$15+1,1))-AVERAGE(OFFSET($H$3,0,0,'Données projet'!$E$15+1,1))</f>
        <v>205.83135724908942</v>
      </c>
      <c r="EP44" s="59">
        <f t="shared" si="46"/>
        <v>193.60053377311405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13.388216011841793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13.388216011841793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6.4</v>
      </c>
      <c r="FE44" s="12">
        <f>IF('Données projet'!$A$218&gt;35,FE43+FD44-FM43,IF(A44&lt;'Données projet'!$A$218,$FB$205^A44,IF(A44='Données projet'!$A$218,'Données projet'!$B$218,FE43+FD44-FM43)))</f>
        <v>151.39999999999998</v>
      </c>
      <c r="FF44" s="17">
        <f>FE44*VLOOKUP('Données projet'!$B$16,Paramètres!$A$1:$I$89,3,0)*VLOOKUP('Données projet'!$B$16,Paramètres!$A$1:$I$89,5,0)</f>
        <v>99.197279999999978</v>
      </c>
      <c r="FG44" s="13">
        <f t="shared" si="47"/>
        <v>26.770670966897111</v>
      </c>
      <c r="FH44" s="20">
        <f t="shared" si="22"/>
        <v>219.39418126734574</v>
      </c>
      <c r="FI44" s="59">
        <f t="shared" si="23"/>
        <v>492.59872491820585</v>
      </c>
      <c r="FJ44" s="59">
        <f ca="1">AVERAGE(OFFSET($FI$3,0,0,'Données projet'!$E$16+1,1))-AVERAGE(OFFSET($H$3,0,0,'Données projet'!$E$16+1,1))</f>
        <v>242.76791261317206</v>
      </c>
      <c r="FK44" s="59">
        <f t="shared" si="48"/>
        <v>244.28580264867682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12.525248151492113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12.525248151492113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8.147490842142858</v>
      </c>
      <c r="FZ44" s="12">
        <f>IF('Données projet'!$A$244&gt;35,FZ43+FY44-GH43,IF(A44&lt;'Données projet'!$A$244,$FW$205^A44,IF(A44='Données projet'!$A$244,'Données projet'!$B$244,FZ43+FY44-GH43)))</f>
        <v>177.32752747357154</v>
      </c>
      <c r="GA44" s="17">
        <f>FZ44*VLOOKUP('Données projet'!$B$17,Paramètres!$A$1:$I$89,3,0)*VLOOKUP('Données projet'!$B$17,Paramètres!$A$1:$I$89,5,0)</f>
        <v>168.74487514385066</v>
      </c>
      <c r="GB44" s="13">
        <f t="shared" si="49"/>
        <v>42.808796246774861</v>
      </c>
      <c r="GC44" s="20">
        <f t="shared" si="25"/>
        <v>368.45597767200616</v>
      </c>
      <c r="GD44" s="59">
        <f t="shared" si="26"/>
        <v>641.66052132286632</v>
      </c>
      <c r="GE44" s="59">
        <f ca="1">AVERAGE(OFFSET($GD$3,0,0,'Données projet'!$E$17+1,1))-AVERAGE(OFFSET($H$3,0,0,'Données projet'!$E$17+1,1))</f>
        <v>512.71941256120977</v>
      </c>
      <c r="GF44" s="59">
        <f t="shared" si="50"/>
        <v>230.65031527019354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64.510330086598202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-5.6843418860808015E-14</v>
      </c>
      <c r="GV44" s="17">
        <f>GU44*VLOOKUP('Données projet'!$B$18,Paramètres!$A$1:$I$89,3,0)*VLOOKUP('Données projet'!$B$18,Paramètres!$A$1:$I$89,5,0)</f>
        <v>-2.5006556825246661E-14</v>
      </c>
      <c r="GW44" s="13" t="e">
        <f t="shared" si="51"/>
        <v>#NUM!</v>
      </c>
      <c r="GX44" s="20" t="e">
        <f t="shared" si="28"/>
        <v>#NUM!</v>
      </c>
      <c r="GY44" s="59" t="e">
        <f t="shared" si="29"/>
        <v>#NUM!</v>
      </c>
      <c r="GZ44" s="59">
        <f ca="1">AVERAGE(OFFSET($GY$3,0,0,'Données projet'!$E$18+1,1))-AVERAGE(OFFSET($H$3,0,0,'Données projet'!$E$18+1,1))</f>
        <v>180.68917161146683</v>
      </c>
      <c r="HA44" s="59">
        <f t="shared" si="52"/>
        <v>344.42126252322419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51.427288793886312</v>
      </c>
      <c r="HH44" s="21">
        <f>EXP(-LN(2)/25)*HH43+(1-EXP(-LN(2)/25))/(LN(2)/25)*Calculateur!HC44*Calculateur!HE44*VLOOKUP('Données projet'!$B$18,Paramètres!$A$1:$I$89,3,0)*0.475*44/12</f>
        <v>12.210206615827195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63.637495409713509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2.25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8.25</v>
      </c>
      <c r="H45" s="66">
        <f t="shared" si="1"/>
        <v>223.66666666666666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8.147490842142858</v>
      </c>
      <c r="N45" s="13">
        <f>IF('Données projet'!$A$36&gt;35,N44+M45-V44,IF(A45&lt;'Données projet'!$A$36,$K$205^A45,IF(A45='Données projet'!$A$36,'Données projet'!$B$36,N44+M45-V44)))</f>
        <v>185.47501831571441</v>
      </c>
      <c r="O45" s="13">
        <f>N45*VLOOKUP('Données projet'!$B$9,Paramètres!$A$1:$I$89,3,0)*VLOOKUP('Données projet'!$B$9,Paramètres!$A$1:$I$89,5,0)</f>
        <v>167.8177965720584</v>
      </c>
      <c r="P45" s="13">
        <f t="shared" si="33"/>
        <v>42.600915723287685</v>
      </c>
      <c r="Q45" s="20">
        <f t="shared" si="53"/>
        <v>366.47925724772773</v>
      </c>
      <c r="R45" s="59">
        <f t="shared" si="0"/>
        <v>640.03299039834667</v>
      </c>
      <c r="S45" s="59">
        <f ca="1">AVERAGE(OFFSET($R$3,0,0,'Données projet'!$E$9+1,1))-AVERAGE(OFFSET($H$3,0,0,'Données projet'!$E$9+1,1))</f>
        <v>490.57849401500789</v>
      </c>
      <c r="T45" s="59">
        <f t="shared" si="34"/>
        <v>221.7570623669753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4.8292136753333335</v>
      </c>
      <c r="AI45" s="13">
        <f>IF('Données projet'!$A$62&gt;35,AI44+AH45-AQ44,IF(A45&lt;'Données projet'!$A$62,$AF$205^A45,IF(A45='Données projet'!$A$62,'Données projet'!$B$62,AI44+AH45-AQ44)))</f>
        <v>114.69415384400001</v>
      </c>
      <c r="AJ45" s="13">
        <f>AI45*VLOOKUP('Données projet'!$B$10,Paramètres!$A$1:$I$89,3,0)*VLOOKUP('Données projet'!$B$10,Paramètres!$A$1:$I$89,5,0)</f>
        <v>76.93683839855521</v>
      </c>
      <c r="AK45" s="13">
        <f t="shared" si="35"/>
        <v>21.386531899949958</v>
      </c>
      <c r="AL45" s="20">
        <f t="shared" si="4"/>
        <v>171.24653660322983</v>
      </c>
      <c r="AM45" s="59">
        <f t="shared" si="5"/>
        <v>444.80026975384874</v>
      </c>
      <c r="AN45" s="59">
        <f ca="1">AVERAGE(OFFSET($AM$3,0,0,'Données projet'!$E$10+1,1))-AVERAGE(OFFSET($H$3,0,0,'Données projet'!$E$10+1,1))</f>
        <v>377.00534440335832</v>
      </c>
      <c r="AO45" s="59">
        <f t="shared" si="36"/>
        <v>131.56029120000656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6.4</v>
      </c>
      <c r="BD45" s="12">
        <f>IF('Données projet'!$A$88&gt;35,BD44+BC45-BL44,IF(A45&lt;'Données projet'!$A$88,$BA$205^A45,IF(A45='Données projet'!$A$88,'Données projet'!$B$88,BD44+BC45-BL44)))</f>
        <v>142.80000000000001</v>
      </c>
      <c r="BE45" s="13">
        <f>BD45*VLOOKUP('Données projet'!$B$11,Paramètres!$A$1:$I$89,3,0)*VLOOKUP('Données projet'!$B$11,Paramètres!$A$1:$I$89,5,0)</f>
        <v>124.75008000000003</v>
      </c>
      <c r="BF45" s="13">
        <f t="shared" si="37"/>
        <v>32.780361960132396</v>
      </c>
      <c r="BG45" s="20">
        <f t="shared" si="7"/>
        <v>274.36551974723062</v>
      </c>
      <c r="BH45" s="59">
        <f t="shared" si="8"/>
        <v>547.91925289784956</v>
      </c>
      <c r="BI45" s="59">
        <f ca="1">AVERAGE(OFFSET($BH$3,0,0,'Données projet'!$E$11+1,1))-AVERAGE(OFFSET($H$3,0,0,'Données projet'!$E$11+1,1))</f>
        <v>314.1123649635374</v>
      </c>
      <c r="BJ45" s="59">
        <f t="shared" si="38"/>
        <v>274.92342227914889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15.213053753632495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15.213053753632495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588.1507817046388</v>
      </c>
      <c r="CD45" s="59">
        <f ca="1">AVERAGE(OFFSET($CC$3,0,0,'Données projet'!$E$12+1,1))-AVERAGE(OFFSET($H$3,0,0,'Données projet'!$E$12+1,1))</f>
        <v>309.86296291630748</v>
      </c>
      <c r="CE45" s="59">
        <f t="shared" si="40"/>
        <v>301.17633325088661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23.907490869807354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23.907490869807354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</v>
      </c>
      <c r="CT45" s="12">
        <f>IF('Données projet'!$A$140&gt;35,CT44+CS45-DB44,IF(A45&lt;'Données projet'!$A$140,$CQ$205^A45,IF(A45='Données projet'!$A$140,'Données projet'!$B$140,CT44+CS45-DB44)))</f>
        <v>157.00000000000003</v>
      </c>
      <c r="CU45" s="17">
        <f>CT45*VLOOKUP('Données projet'!$B$13,Paramètres!$A$1:$I$89,3,0)*VLOOKUP('Données projet'!$B$13,Paramètres!$A$1:$I$89,5,0)</f>
        <v>134.70600000000005</v>
      </c>
      <c r="CV45" s="13">
        <f t="shared" si="41"/>
        <v>35.081517028838505</v>
      </c>
      <c r="CW45" s="20">
        <f t="shared" si="13"/>
        <v>295.71325882522711</v>
      </c>
      <c r="CX45" s="59">
        <f t="shared" si="14"/>
        <v>569.26699197584605</v>
      </c>
      <c r="CY45" s="59">
        <f ca="1">AVERAGE(OFFSET($CX$3,0,0,'Données projet'!$E$13+1,1))-AVERAGE(OFFSET($H$3,0,0,'Données projet'!$E$13+1,1))</f>
        <v>462.66388549889928</v>
      </c>
      <c r="CZ45" s="59">
        <f t="shared" si="42"/>
        <v>265.3725203415089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25.782588192929502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25.782588192929502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7.1428571399999976</v>
      </c>
      <c r="DO45" s="12">
        <f>IF('Données projet'!$A$166&gt;35,DO44+DN45-DW44,IF(A45&lt;'Données projet'!$A$166,$DL$205^A45,IF(A45='Données projet'!$A$166,'Données projet'!$B$166,DO44+DN45-DW44)))</f>
        <v>133.15018312000004</v>
      </c>
      <c r="DP45" s="17">
        <f>DO45*VLOOKUP('Données projet'!$B$14,Paramètres!$A$1:$I$89,3,0)*VLOOKUP('Données projet'!$B$14,Paramètres!$A$1:$I$89,5,0)</f>
        <v>103.85714283360004</v>
      </c>
      <c r="DQ45" s="13">
        <f t="shared" si="43"/>
        <v>27.878874834715116</v>
      </c>
      <c r="DR45" s="20">
        <f t="shared" si="16"/>
        <v>229.44023077231554</v>
      </c>
      <c r="DS45" s="59">
        <f t="shared" si="17"/>
        <v>502.99396392293448</v>
      </c>
      <c r="DT45" s="59">
        <f ca="1">AVERAGE(OFFSET($DS$3,0,0,'Données projet'!$E$14+1,1))-AVERAGE(OFFSET($H$3,0,0,'Données projet'!$E$14+1,1))</f>
        <v>206.5241977687125</v>
      </c>
      <c r="DU45" s="59">
        <f t="shared" si="44"/>
        <v>205.25001043771269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14.631109454125582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14.631109454125582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</v>
      </c>
      <c r="EJ45" s="12">
        <f>IF('Données projet'!$A$192&gt;35,EJ44+EI45-ER44,IF(A45&lt;'Données projet'!$A$192,$EG$205^A45,IF(A45='Données projet'!$A$192,'Données projet'!$B$192,EJ44+EI45-ER44)))</f>
        <v>104.99999999999996</v>
      </c>
      <c r="EK45" s="17">
        <f>EJ45*VLOOKUP('Données projet'!$B$15,Paramètres!$A$1:$I$89,3,0)*VLOOKUP('Données projet'!$B$15,Paramètres!$A$1:$I$89,5,0)</f>
        <v>91.72799999999998</v>
      </c>
      <c r="EL45" s="13">
        <f t="shared" si="45"/>
        <v>24.981514582386563</v>
      </c>
      <c r="EM45" s="20">
        <f t="shared" si="19"/>
        <v>203.26907123098988</v>
      </c>
      <c r="EN45" s="59">
        <f t="shared" si="20"/>
        <v>476.82280438160882</v>
      </c>
      <c r="EO45" s="59">
        <f ca="1">AVERAGE(OFFSET($EN$3,0,0,'Données projet'!$E$15+1,1))-AVERAGE(OFFSET($H$3,0,0,'Données projet'!$E$15+1,1))</f>
        <v>205.83135724908942</v>
      </c>
      <c r="EP45" s="59">
        <f t="shared" si="46"/>
        <v>193.60053377311405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13.125681261855016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13.125681261855016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6.4</v>
      </c>
      <c r="FE45" s="12">
        <f>IF('Données projet'!$A$218&gt;35,FE44+FD45-FM44,IF(A45&lt;'Données projet'!$A$218,$FB$205^A45,IF(A45='Données projet'!$A$218,'Données projet'!$B$218,FE44+FD45-FM44)))</f>
        <v>157.79999999999998</v>
      </c>
      <c r="FF45" s="17">
        <f>FE45*VLOOKUP('Données projet'!$B$16,Paramètres!$A$1:$I$89,3,0)*VLOOKUP('Données projet'!$B$16,Paramètres!$A$1:$I$89,5,0)</f>
        <v>103.39055999999999</v>
      </c>
      <c r="FG45" s="13">
        <f t="shared" si="47"/>
        <v>27.768177525719913</v>
      </c>
      <c r="FH45" s="20">
        <f t="shared" si="22"/>
        <v>228.43480119062883</v>
      </c>
      <c r="FI45" s="59">
        <f t="shared" si="23"/>
        <v>501.98853434124777</v>
      </c>
      <c r="FJ45" s="59">
        <f ca="1">AVERAGE(OFFSET($FI$3,0,0,'Données projet'!$E$16+1,1))-AVERAGE(OFFSET($H$3,0,0,'Données projet'!$E$16+1,1))</f>
        <v>242.76791261317206</v>
      </c>
      <c r="FK45" s="59">
        <f t="shared" si="48"/>
        <v>244.28580264867682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12.279635674888372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12.279635674888372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8.147490842142858</v>
      </c>
      <c r="FZ45" s="12">
        <f>IF('Données projet'!$A$244&gt;35,FZ44+FY45-GH44,IF(A45&lt;'Données projet'!$A$244,$FW$205^A45,IF(A45='Données projet'!$A$244,'Données projet'!$B$244,FZ44+FY45-GH44)))</f>
        <v>185.47501831571441</v>
      </c>
      <c r="GA45" s="17">
        <f>FZ45*VLOOKUP('Données projet'!$B$17,Paramètres!$A$1:$I$89,3,0)*VLOOKUP('Données projet'!$B$17,Paramètres!$A$1:$I$89,5,0)</f>
        <v>176.49802742923384</v>
      </c>
      <c r="GB45" s="13">
        <f t="shared" si="49"/>
        <v>44.542173129842517</v>
      </c>
      <c r="GC45" s="20">
        <f t="shared" si="25"/>
        <v>384.97834930705795</v>
      </c>
      <c r="GD45" s="59">
        <f t="shared" si="26"/>
        <v>658.53208245767689</v>
      </c>
      <c r="GE45" s="59">
        <f ca="1">AVERAGE(OFFSET($GD$3,0,0,'Données projet'!$E$17+1,1))-AVERAGE(OFFSET($H$3,0,0,'Données projet'!$E$17+1,1))</f>
        <v>512.71941256120977</v>
      </c>
      <c r="GF45" s="59">
        <f t="shared" si="50"/>
        <v>230.65031527019354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64.60556358653244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-5.6843418860808015E-14</v>
      </c>
      <c r="GV45" s="17">
        <f>GU45*VLOOKUP('Données projet'!$B$18,Paramètres!$A$1:$I$89,3,0)*VLOOKUP('Données projet'!$B$18,Paramètres!$A$1:$I$89,5,0)</f>
        <v>-2.5006556825246661E-14</v>
      </c>
      <c r="GW45" s="13" t="e">
        <f t="shared" si="51"/>
        <v>#NUM!</v>
      </c>
      <c r="GX45" s="20" t="e">
        <f t="shared" si="28"/>
        <v>#NUM!</v>
      </c>
      <c r="GY45" s="59" t="e">
        <f t="shared" si="29"/>
        <v>#NUM!</v>
      </c>
      <c r="GZ45" s="59">
        <f ca="1">AVERAGE(OFFSET($GY$3,0,0,'Données projet'!$E$18+1,1))-AVERAGE(OFFSET($H$3,0,0,'Données projet'!$E$18+1,1))</f>
        <v>180.68917161146683</v>
      </c>
      <c r="HA45" s="59">
        <f t="shared" si="52"/>
        <v>344.42126252322419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50.418831028187078</v>
      </c>
      <c r="HH45" s="21">
        <f>EXP(-LN(2)/25)*HH44+(1-EXP(-LN(2)/25))/(LN(2)/25)*Calculateur!HC45*Calculateur!HE45*VLOOKUP('Données projet'!$B$18,Paramètres!$A$1:$I$89,3,0)*0.475*44/12</f>
        <v>11.876317873810541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62.295148901997621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2.25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8.25</v>
      </c>
      <c r="H46" s="66">
        <f t="shared" si="1"/>
        <v>223.66666666666666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8.147490842142858</v>
      </c>
      <c r="N46" s="13">
        <f>IF('Données projet'!$A$36&gt;35,N45+M46-V45,IF(A46&lt;'Données projet'!$A$36,$K$205^A46,IF(A46='Données projet'!$A$36,'Données projet'!$B$36,N45+M46-V45)))</f>
        <v>193.62250915785728</v>
      </c>
      <c r="O46" s="13">
        <f>N46*VLOOKUP('Données projet'!$B$9,Paramètres!$A$1:$I$89,3,0)*VLOOKUP('Données projet'!$B$9,Paramètres!$A$1:$I$89,5,0)</f>
        <v>175.18964628602927</v>
      </c>
      <c r="P46" s="13">
        <f t="shared" si="33"/>
        <v>44.250289742165812</v>
      </c>
      <c r="Q46" s="20">
        <f t="shared" si="53"/>
        <v>382.19122191577304</v>
      </c>
      <c r="R46" s="59">
        <f t="shared" si="0"/>
        <v>656.08808690900082</v>
      </c>
      <c r="S46" s="59">
        <f ca="1">AVERAGE(OFFSET($R$3,0,0,'Données projet'!$E$9+1,1))-AVERAGE(OFFSET($H$3,0,0,'Données projet'!$E$9+1,1))</f>
        <v>490.57849401500789</v>
      </c>
      <c r="T46" s="59">
        <f t="shared" si="34"/>
        <v>221.7570623669753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4.8292136753333335</v>
      </c>
      <c r="AI46" s="13">
        <f>IF('Données projet'!$A$62&gt;35,AI45+AH46-AQ45,IF(A46&lt;'Données projet'!$A$62,$AF$205^A46,IF(A46='Données projet'!$A$62,'Données projet'!$B$62,AI45+AH46-AQ45)))</f>
        <v>119.52336751933335</v>
      </c>
      <c r="AJ46" s="13">
        <f>AI46*VLOOKUP('Données projet'!$B$10,Paramètres!$A$1:$I$89,3,0)*VLOOKUP('Données projet'!$B$10,Paramètres!$A$1:$I$89,5,0)</f>
        <v>80.176274931968806</v>
      </c>
      <c r="AK46" s="13">
        <f t="shared" si="35"/>
        <v>22.180278743293076</v>
      </c>
      <c r="AL46" s="20">
        <f t="shared" si="4"/>
        <v>178.2709976510811</v>
      </c>
      <c r="AM46" s="59">
        <f t="shared" si="5"/>
        <v>452.16786264430891</v>
      </c>
      <c r="AN46" s="59">
        <f ca="1">AVERAGE(OFFSET($AM$3,0,0,'Données projet'!$E$10+1,1))-AVERAGE(OFFSET($H$3,0,0,'Données projet'!$E$10+1,1))</f>
        <v>377.00534440335832</v>
      </c>
      <c r="AO46" s="59">
        <f t="shared" si="36"/>
        <v>131.56029120000656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6.4</v>
      </c>
      <c r="BD46" s="12">
        <f>IF('Données projet'!$A$88&gt;35,BD45+BC46-BL45,IF(A46&lt;'Données projet'!$A$88,$BA$205^A46,IF(A46='Données projet'!$A$88,'Données projet'!$B$88,BD45+BC46-BL45)))</f>
        <v>149.20000000000002</v>
      </c>
      <c r="BE46" s="13">
        <f>BD46*VLOOKUP('Données projet'!$B$11,Paramètres!$A$1:$I$89,3,0)*VLOOKUP('Données projet'!$B$11,Paramètres!$A$1:$I$89,5,0)</f>
        <v>130.34112000000005</v>
      </c>
      <c r="BF46" s="13">
        <f t="shared" si="37"/>
        <v>34.075170122989917</v>
      </c>
      <c r="BG46" s="20">
        <f t="shared" si="7"/>
        <v>286.35837196420749</v>
      </c>
      <c r="BH46" s="59">
        <f t="shared" si="8"/>
        <v>560.25523695743527</v>
      </c>
      <c r="BI46" s="59">
        <f ca="1">AVERAGE(OFFSET($BH$3,0,0,'Données projet'!$E$11+1,1))-AVERAGE(OFFSET($H$3,0,0,'Données projet'!$E$11+1,1))</f>
        <v>314.1123649635374</v>
      </c>
      <c r="BJ46" s="59">
        <f t="shared" si="38"/>
        <v>274.92342227914889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14.914735048570321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14.914735048570321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602.44511655786209</v>
      </c>
      <c r="CD46" s="59">
        <f ca="1">AVERAGE(OFFSET($CC$3,0,0,'Données projet'!$E$12+1,1))-AVERAGE(OFFSET($H$3,0,0,'Données projet'!$E$12+1,1))</f>
        <v>309.86296291630748</v>
      </c>
      <c r="CE46" s="59">
        <f t="shared" si="40"/>
        <v>301.17633325088661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23.438679555979999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23.438679555979999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</v>
      </c>
      <c r="CT46" s="12">
        <f>IF('Données projet'!$A$140&gt;35,CT45+CS46-DB45,IF(A46&lt;'Données projet'!$A$140,$CQ$205^A46,IF(A46='Données projet'!$A$140,'Données projet'!$B$140,CT45+CS46-DB45)))</f>
        <v>168.00000000000003</v>
      </c>
      <c r="CU46" s="17">
        <f>CT46*VLOOKUP('Données projet'!$B$13,Paramètres!$A$1:$I$89,3,0)*VLOOKUP('Données projet'!$B$13,Paramètres!$A$1:$I$89,5,0)</f>
        <v>144.14400000000003</v>
      </c>
      <c r="CV46" s="13">
        <f t="shared" si="41"/>
        <v>37.244720006976252</v>
      </c>
      <c r="CW46" s="20">
        <f t="shared" si="13"/>
        <v>315.9186873454837</v>
      </c>
      <c r="CX46" s="59">
        <f t="shared" si="14"/>
        <v>589.81555233871154</v>
      </c>
      <c r="CY46" s="59">
        <f ca="1">AVERAGE(OFFSET($CX$3,0,0,'Données projet'!$E$13+1,1))-AVERAGE(OFFSET($H$3,0,0,'Données projet'!$E$13+1,1))</f>
        <v>462.66388549889928</v>
      </c>
      <c r="CZ46" s="59">
        <f t="shared" si="42"/>
        <v>265.3725203415089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25.277007364292157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25.277007364292157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7.1428571399999976</v>
      </c>
      <c r="DO46" s="12">
        <f>IF('Données projet'!$A$166&gt;35,DO45+DN46-DW45,IF(A46&lt;'Données projet'!$A$166,$DL$205^A46,IF(A46='Données projet'!$A$166,'Données projet'!$B$166,DO45+DN46-DW45)))</f>
        <v>140.29304026000003</v>
      </c>
      <c r="DP46" s="17">
        <f>DO46*VLOOKUP('Données projet'!$B$14,Paramètres!$A$1:$I$89,3,0)*VLOOKUP('Données projet'!$B$14,Paramètres!$A$1:$I$89,5,0)</f>
        <v>109.42857140280003</v>
      </c>
      <c r="DQ46" s="13">
        <f t="shared" si="43"/>
        <v>29.196310754535943</v>
      </c>
      <c r="DR46" s="20">
        <f t="shared" si="16"/>
        <v>241.43833642402683</v>
      </c>
      <c r="DS46" s="59">
        <f t="shared" si="17"/>
        <v>515.33520141725467</v>
      </c>
      <c r="DT46" s="59">
        <f ca="1">AVERAGE(OFFSET($DS$3,0,0,'Données projet'!$E$14+1,1))-AVERAGE(OFFSET($H$3,0,0,'Données projet'!$E$14+1,1))</f>
        <v>206.5241977687125</v>
      </c>
      <c r="DU46" s="59">
        <f t="shared" si="44"/>
        <v>205.25001043771269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14.344202321825765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14.344202321825765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</v>
      </c>
      <c r="EJ46" s="12">
        <f>IF('Données projet'!$A$192&gt;35,EJ45+EI46-ER45,IF(A46&lt;'Données projet'!$A$192,$EG$205^A46,IF(A46='Données projet'!$A$192,'Données projet'!$B$192,EJ45+EI46-ER45)))</f>
        <v>109.99999999999996</v>
      </c>
      <c r="EK46" s="17">
        <f>EJ46*VLOOKUP('Données projet'!$B$15,Paramètres!$A$1:$I$89,3,0)*VLOOKUP('Données projet'!$B$15,Paramètres!$A$1:$I$89,5,0)</f>
        <v>96.095999999999975</v>
      </c>
      <c r="EL46" s="13">
        <f t="shared" si="45"/>
        <v>26.029778784173352</v>
      </c>
      <c r="EM46" s="20">
        <f t="shared" si="19"/>
        <v>212.70239804910184</v>
      </c>
      <c r="EN46" s="59">
        <f t="shared" si="20"/>
        <v>486.59926304232965</v>
      </c>
      <c r="EO46" s="59">
        <f ca="1">AVERAGE(OFFSET($EN$3,0,0,'Données projet'!$E$15+1,1))-AVERAGE(OFFSET($H$3,0,0,'Données projet'!$E$15+1,1))</f>
        <v>205.83135724908942</v>
      </c>
      <c r="EP46" s="59">
        <f t="shared" si="46"/>
        <v>193.60053377311405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12.868294658185095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12.868294658185095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6.4</v>
      </c>
      <c r="FE46" s="12">
        <f>IF('Données projet'!$A$218&gt;35,FE45+FD46-FM45,IF(A46&lt;'Données projet'!$A$218,$FB$205^A46,IF(A46='Données projet'!$A$218,'Données projet'!$B$218,FE45+FD46-FM45)))</f>
        <v>164.2</v>
      </c>
      <c r="FF46" s="17">
        <f>FE46*VLOOKUP('Données projet'!$B$16,Paramètres!$A$1:$I$89,3,0)*VLOOKUP('Données projet'!$B$16,Paramètres!$A$1:$I$89,5,0)</f>
        <v>107.58384</v>
      </c>
      <c r="FG46" s="13">
        <f t="shared" si="47"/>
        <v>28.760984680893039</v>
      </c>
      <c r="FH46" s="20">
        <f t="shared" si="22"/>
        <v>237.46723631922202</v>
      </c>
      <c r="FI46" s="59">
        <f t="shared" si="23"/>
        <v>511.3641013124498</v>
      </c>
      <c r="FJ46" s="59">
        <f ca="1">AVERAGE(OFFSET($FI$3,0,0,'Données projet'!$E$16+1,1))-AVERAGE(OFFSET($H$3,0,0,'Données projet'!$E$16+1,1))</f>
        <v>242.76791261317206</v>
      </c>
      <c r="FK46" s="59">
        <f t="shared" si="48"/>
        <v>244.28580264867682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12.038839509142012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12.038839509142012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8.147490842142858</v>
      </c>
      <c r="FZ46" s="12">
        <f>IF('Données projet'!$A$244&gt;35,FZ45+FY46-GH45,IF(A46&lt;'Données projet'!$A$244,$FW$205^A46,IF(A46='Données projet'!$A$244,'Données projet'!$B$244,FZ45+FY46-GH45)))</f>
        <v>193.62250915785728</v>
      </c>
      <c r="GA46" s="17">
        <f>FZ46*VLOOKUP('Données projet'!$B$17,Paramètres!$A$1:$I$89,3,0)*VLOOKUP('Données projet'!$B$17,Paramètres!$A$1:$I$89,5,0)</f>
        <v>184.251179714617</v>
      </c>
      <c r="GB46" s="13">
        <f t="shared" si="49"/>
        <v>46.266706554943788</v>
      </c>
      <c r="GC46" s="20">
        <f t="shared" si="25"/>
        <v>401.48531858615166</v>
      </c>
      <c r="GD46" s="59">
        <f t="shared" si="26"/>
        <v>675.38218357937944</v>
      </c>
      <c r="GE46" s="59">
        <f ca="1">AVERAGE(OFFSET($GD$3,0,0,'Données projet'!$E$17+1,1))-AVERAGE(OFFSET($H$3,0,0,'Données projet'!$E$17+1,1))</f>
        <v>512.71941256120977</v>
      </c>
      <c r="GF46" s="59">
        <f t="shared" si="50"/>
        <v>230.65031527019354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64.699144998153031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-5.6843418860808015E-14</v>
      </c>
      <c r="GV46" s="17">
        <f>GU46*VLOOKUP('Données projet'!$B$18,Paramètres!$A$1:$I$89,3,0)*VLOOKUP('Données projet'!$B$18,Paramètres!$A$1:$I$89,5,0)</f>
        <v>-2.5006556825246661E-14</v>
      </c>
      <c r="GW46" s="13" t="e">
        <f t="shared" si="51"/>
        <v>#NUM!</v>
      </c>
      <c r="GX46" s="20" t="e">
        <f t="shared" si="28"/>
        <v>#NUM!</v>
      </c>
      <c r="GY46" s="59" t="e">
        <f t="shared" si="29"/>
        <v>#NUM!</v>
      </c>
      <c r="GZ46" s="59">
        <f ca="1">AVERAGE(OFFSET($GY$3,0,0,'Données projet'!$E$18+1,1))-AVERAGE(OFFSET($H$3,0,0,'Données projet'!$E$18+1,1))</f>
        <v>180.68917161146683</v>
      </c>
      <c r="HA46" s="59">
        <f t="shared" si="52"/>
        <v>344.42126252322419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49.430148504174703</v>
      </c>
      <c r="HH46" s="21">
        <f>EXP(-LN(2)/25)*HH45+(1-EXP(-LN(2)/25))/(LN(2)/25)*Calculateur!HC46*Calculateur!HE46*VLOOKUP('Données projet'!$B$18,Paramètres!$A$1:$I$89,3,0)*0.475*44/12</f>
        <v>11.551559337002779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60.981707841177482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2.25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8.25</v>
      </c>
      <c r="H47" s="66">
        <f t="shared" si="1"/>
        <v>223.66666666666666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201.77</v>
      </c>
      <c r="L47" s="12">
        <f>VLOOKUP(A47,'Données projet'!$A$35:$I$55,9,0)</f>
        <v>8.147490842142858</v>
      </c>
      <c r="M47" s="12">
        <f t="array" ref="M47">INDEX(L:L,MIN(IF(ISNUMBER(L47:L243),ROW(L47:L243),"")))</f>
        <v>8.147490842142858</v>
      </c>
      <c r="N47" s="13">
        <f>IF('Données projet'!$A$36&gt;35,N46+M47-V46,IF(A47&lt;'Données projet'!$A$36,$K$205^A47,IF(A47='Données projet'!$A$36,'Données projet'!$B$36,N46+M47-V46)))</f>
        <v>201.77000000000015</v>
      </c>
      <c r="O47" s="13">
        <f>N47*VLOOKUP('Données projet'!$B$9,Paramètres!$A$1:$I$89,3,0)*VLOOKUP('Données projet'!$B$9,Paramètres!$A$1:$I$89,5,0)</f>
        <v>182.56149600000015</v>
      </c>
      <c r="P47" s="13">
        <f t="shared" si="33"/>
        <v>45.891602325617114</v>
      </c>
      <c r="Q47" s="20">
        <f t="shared" si="53"/>
        <v>397.88914625045004</v>
      </c>
      <c r="R47" s="59">
        <f t="shared" si="0"/>
        <v>672.12319051594523</v>
      </c>
      <c r="S47" s="59">
        <f ca="1">AVERAGE(OFFSET($R$3,0,0,'Données projet'!$E$9+1,1))-AVERAGE(OFFSET($H$3,0,0,'Données projet'!$E$9+1,1))</f>
        <v>490.57849401500789</v>
      </c>
      <c r="T47" s="59">
        <f t="shared" si="34"/>
        <v>221.7570623669753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74.010000000000005</v>
      </c>
      <c r="W47" s="16">
        <f>IF(ISNA(VLOOKUP(A47,'Données projet'!$A$35:$I$55,5,0)),0%,VLOOKUP(A47,'Données projet'!$A$35:$I$55,5,0)*VLOOKUP('Données projet'!$B$9,Paramètres!$A$1:$I$89,7,0))</f>
        <v>0.43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31.831606840230396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31.831606840230396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4.8292136753333335</v>
      </c>
      <c r="AI47" s="13">
        <f>IF('Données projet'!$A$62&gt;35,AI46+AH47-AQ46,IF(A47&lt;'Données projet'!$A$62,$AF$205^A47,IF(A47='Données projet'!$A$62,'Données projet'!$B$62,AI46+AH47-AQ46)))</f>
        <v>124.35258119466668</v>
      </c>
      <c r="AJ47" s="13">
        <f>AI47*VLOOKUP('Données projet'!$B$10,Paramètres!$A$1:$I$89,3,0)*VLOOKUP('Données projet'!$B$10,Paramètres!$A$1:$I$89,5,0)</f>
        <v>83.415711465382415</v>
      </c>
      <c r="AK47" s="13">
        <f t="shared" si="35"/>
        <v>22.970300275430052</v>
      </c>
      <c r="AL47" s="20">
        <f t="shared" si="4"/>
        <v>185.28897044858169</v>
      </c>
      <c r="AM47" s="59">
        <f t="shared" si="5"/>
        <v>459.52301471407691</v>
      </c>
      <c r="AN47" s="59">
        <f ca="1">AVERAGE(OFFSET($AM$3,0,0,'Données projet'!$E$10+1,1))-AVERAGE(OFFSET($H$3,0,0,'Données projet'!$E$10+1,1))</f>
        <v>377.00534440335832</v>
      </c>
      <c r="AO47" s="59">
        <f t="shared" si="36"/>
        <v>131.56029120000656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6.4</v>
      </c>
      <c r="BD47" s="12">
        <f>IF('Données projet'!$A$88&gt;35,BD46+BC47-BL46,IF(A47&lt;'Données projet'!$A$88,$BA$205^A47,IF(A47='Données projet'!$A$88,'Données projet'!$B$88,BD46+BC47-BL46)))</f>
        <v>155.60000000000002</v>
      </c>
      <c r="BE47" s="13">
        <f>BD47*VLOOKUP('Données projet'!$B$11,Paramètres!$A$1:$I$89,3,0)*VLOOKUP('Données projet'!$B$11,Paramètres!$A$1:$I$89,5,0)</f>
        <v>135.93216000000004</v>
      </c>
      <c r="BF47" s="13">
        <f t="shared" si="37"/>
        <v>35.36352729450968</v>
      </c>
      <c r="BG47" s="20">
        <f t="shared" si="7"/>
        <v>298.33998870460442</v>
      </c>
      <c r="BH47" s="59">
        <f t="shared" si="8"/>
        <v>572.57403297009955</v>
      </c>
      <c r="BI47" s="59">
        <f ca="1">AVERAGE(OFFSET($BH$3,0,0,'Données projet'!$E$11+1,1))-AVERAGE(OFFSET($H$3,0,0,'Données projet'!$E$11+1,1))</f>
        <v>314.1123649635374</v>
      </c>
      <c r="BJ47" s="59">
        <f t="shared" si="38"/>
        <v>274.92342227914889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14.622266191357975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14.622266191357975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616.72042646851537</v>
      </c>
      <c r="CD47" s="59">
        <f ca="1">AVERAGE(OFFSET($CC$3,0,0,'Données projet'!$E$12+1,1))-AVERAGE(OFFSET($H$3,0,0,'Données projet'!$E$12+1,1))</f>
        <v>309.86296291630748</v>
      </c>
      <c r="CE47" s="59">
        <f t="shared" si="40"/>
        <v>301.17633325088661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22.979061346070129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22.979061346070129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</v>
      </c>
      <c r="CT47" s="12">
        <f>IF('Données projet'!$A$140&gt;35,CT46+CS47-DB46,IF(A47&lt;'Données projet'!$A$140,$CQ$205^A47,IF(A47='Données projet'!$A$140,'Données projet'!$B$140,CT46+CS47-DB46)))</f>
        <v>179.00000000000003</v>
      </c>
      <c r="CU47" s="17">
        <f>CT47*VLOOKUP('Données projet'!$B$13,Paramètres!$A$1:$I$89,3,0)*VLOOKUP('Données projet'!$B$13,Paramètres!$A$1:$I$89,5,0)</f>
        <v>153.58200000000002</v>
      </c>
      <c r="CV47" s="13">
        <f t="shared" si="41"/>
        <v>39.391486561628568</v>
      </c>
      <c r="CW47" s="20">
        <f t="shared" si="13"/>
        <v>336.09548909483647</v>
      </c>
      <c r="CX47" s="59">
        <f t="shared" si="14"/>
        <v>610.32953336033165</v>
      </c>
      <c r="CY47" s="59">
        <f ca="1">AVERAGE(OFFSET($CX$3,0,0,'Données projet'!$E$13+1,1))-AVERAGE(OFFSET($H$3,0,0,'Données projet'!$E$13+1,1))</f>
        <v>462.66388549889928</v>
      </c>
      <c r="CZ47" s="59">
        <f t="shared" si="42"/>
        <v>265.3725203415089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24.781340667330532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24.781340667330532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147.43589739999999</v>
      </c>
      <c r="DM47" s="12">
        <f>VLOOKUP(A47,'Données projet'!$A$165:$I$185,9,0)</f>
        <v>7.1428571399999976</v>
      </c>
      <c r="DN47" s="12">
        <f t="array" ref="DN47">INDEX(DM:DM,MIN(IF(ISNUMBER(DM47:DM243),ROW(DM47:DM243),"")))</f>
        <v>7.1428571399999976</v>
      </c>
      <c r="DO47" s="12">
        <f>IF('Données projet'!$A$166&gt;35,DO46+DN47-DW46,IF(A47&lt;'Données projet'!$A$166,$DL$205^A47,IF(A47='Données projet'!$A$166,'Données projet'!$B$166,DO46+DN47-DW46)))</f>
        <v>147.43589740000002</v>
      </c>
      <c r="DP47" s="17">
        <f>DO47*VLOOKUP('Données projet'!$B$14,Paramètres!$A$1:$I$89,3,0)*VLOOKUP('Données projet'!$B$14,Paramètres!$A$1:$I$89,5,0)</f>
        <v>114.99999997200001</v>
      </c>
      <c r="DQ47" s="13">
        <f t="shared" si="43"/>
        <v>30.505958598166192</v>
      </c>
      <c r="DR47" s="20">
        <f t="shared" si="16"/>
        <v>253.42287784303949</v>
      </c>
      <c r="DS47" s="59">
        <f t="shared" si="17"/>
        <v>527.65692210853467</v>
      </c>
      <c r="DT47" s="59">
        <f ca="1">AVERAGE(OFFSET($DS$3,0,0,'Données projet'!$E$14+1,1))-AVERAGE(OFFSET($H$3,0,0,'Données projet'!$E$14+1,1))</f>
        <v>206.5241977687125</v>
      </c>
      <c r="DU47" s="59">
        <f t="shared" si="44"/>
        <v>205.25001043771269</v>
      </c>
      <c r="DV47" s="15">
        <f>IF(ISNA(VLOOKUP(A47,'Données projet'!$A$165:$I$185,3,0)),0,VLOOKUP(A47,'Données projet'!$A$165:$I$185,3,0))</f>
        <v>6</v>
      </c>
      <c r="DW47" s="15">
        <f>IF(ISNA(VLOOKUP(A47,'Données projet'!$A$165:$I$185,4,0)),0,VLOOKUP(A47,'Données projet'!$A$165:$I$185,4,0))</f>
        <v>27.564102559999998</v>
      </c>
      <c r="DX47" s="16">
        <f>IF(ISNA(VLOOKUP(A47,'Données projet'!$A$165:$I$185,5,0)),0%,VLOOKUP(A47,'Données projet'!$A$165:$I$185,5,0)*VLOOKUP('Données projet'!$B$14,Paramètres!$A$1:$I$89,7,0))</f>
        <v>0.43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24.282994920655273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24.282994920655273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5</v>
      </c>
      <c r="EJ47" s="12">
        <f>IF('Données projet'!$A$192&gt;35,EJ46+EI47-ER46,IF(A47&lt;'Données projet'!$A$192,$EG$205^A47,IF(A47='Données projet'!$A$192,'Données projet'!$B$192,EJ46+EI47-ER46)))</f>
        <v>114.99999999999996</v>
      </c>
      <c r="EK47" s="17">
        <f>EJ47*VLOOKUP('Données projet'!$B$15,Paramètres!$A$1:$I$89,3,0)*VLOOKUP('Données projet'!$B$15,Paramètres!$A$1:$I$89,5,0)</f>
        <v>100.46399999999997</v>
      </c>
      <c r="EL47" s="13">
        <f t="shared" si="45"/>
        <v>27.072509349827456</v>
      </c>
      <c r="EM47" s="20">
        <f t="shared" si="19"/>
        <v>222.12608711761609</v>
      </c>
      <c r="EN47" s="59">
        <f t="shared" si="20"/>
        <v>496.36013138311125</v>
      </c>
      <c r="EO47" s="59">
        <f ca="1">AVERAGE(OFFSET($EN$3,0,0,'Données projet'!$E$15+1,1))-AVERAGE(OFFSET($H$3,0,0,'Données projet'!$E$15+1,1))</f>
        <v>205.83135724908942</v>
      </c>
      <c r="EP47" s="59">
        <f t="shared" si="46"/>
        <v>193.60053377311405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12.615955248822813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12.615955248822813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6.4</v>
      </c>
      <c r="FE47" s="12">
        <f>IF('Données projet'!$A$218&gt;35,FE46+FD47-FM46,IF(A47&lt;'Données projet'!$A$218,$FB$205^A47,IF(A47='Données projet'!$A$218,'Données projet'!$B$218,FE46+FD47-FM46)))</f>
        <v>170.6</v>
      </c>
      <c r="FF47" s="17">
        <f>FE47*VLOOKUP('Données projet'!$B$16,Paramètres!$A$1:$I$89,3,0)*VLOOKUP('Données projet'!$B$16,Paramètres!$A$1:$I$89,5,0)</f>
        <v>111.77712000000001</v>
      </c>
      <c r="FG47" s="13">
        <f t="shared" si="47"/>
        <v>29.749296563258223</v>
      </c>
      <c r="FH47" s="20">
        <f t="shared" si="22"/>
        <v>246.49184218100808</v>
      </c>
      <c r="FI47" s="59">
        <f t="shared" si="23"/>
        <v>520.7258864465033</v>
      </c>
      <c r="FJ47" s="59">
        <f ca="1">AVERAGE(OFFSET($FI$3,0,0,'Données projet'!$E$16+1,1))-AVERAGE(OFFSET($H$3,0,0,'Données projet'!$E$16+1,1))</f>
        <v>242.76791261317206</v>
      </c>
      <c r="FK47" s="59">
        <f t="shared" si="48"/>
        <v>244.28580264867682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11.80276520933478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11.80276520933478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>
        <f>VLOOKUP(A47,'Données projet'!$A$243:$I$263,2,0)</f>
        <v>201.77</v>
      </c>
      <c r="FX47" s="12">
        <f>VLOOKUP(A47,'Données projet'!$A$243:$I$263,9,0)</f>
        <v>8.147490842142858</v>
      </c>
      <c r="FY47" s="12">
        <f t="array" ref="FY47">INDEX(FX:FX,MIN(IF(ISNUMBER(FX47:FX243),ROW(FX47:FX243),"")))</f>
        <v>8.147490842142858</v>
      </c>
      <c r="FZ47" s="12">
        <f>IF('Données projet'!$A$244&gt;35,FZ46+FY47-GH46,IF(A47&lt;'Données projet'!$A$244,$FW$205^A47,IF(A47='Données projet'!$A$244,'Données projet'!$B$244,FZ46+FY47-GH46)))</f>
        <v>201.77000000000015</v>
      </c>
      <c r="GA47" s="17">
        <f>FZ47*VLOOKUP('Données projet'!$B$17,Paramètres!$A$1:$I$89,3,0)*VLOOKUP('Données projet'!$B$17,Paramètres!$A$1:$I$89,5,0)</f>
        <v>192.00433200000015</v>
      </c>
      <c r="GB47" s="13">
        <f t="shared" si="49"/>
        <v>47.982811197556309</v>
      </c>
      <c r="GC47" s="20">
        <f t="shared" si="25"/>
        <v>417.97760773574419</v>
      </c>
      <c r="GD47" s="59">
        <f t="shared" si="26"/>
        <v>692.21165200123937</v>
      </c>
      <c r="GE47" s="59">
        <f ca="1">AVERAGE(OFFSET($GD$3,0,0,'Données projet'!$E$17+1,1))-AVERAGE(OFFSET($H$3,0,0,'Données projet'!$E$17+1,1))</f>
        <v>512.71941256120977</v>
      </c>
      <c r="GF47" s="59">
        <f t="shared" si="50"/>
        <v>230.65031527019354</v>
      </c>
      <c r="GG47" s="15">
        <f>IF(ISNA(VLOOKUP(A47,'Données projet'!$A$243:$I$263,3,0)),0,VLOOKUP(A47,'Données projet'!$A$243:$I$263,3,0))</f>
        <v>1</v>
      </c>
      <c r="GH47" s="15">
        <f>IF(ISNA(VLOOKUP(A47,'Données projet'!$A$243:$I$263,4,0)),0,VLOOKUP(A47,'Données projet'!$A$243:$I$263,4,0))</f>
        <v>74.010000000000005</v>
      </c>
      <c r="GI47" s="16">
        <f>IF(ISNA(VLOOKUP(A47,'Données projet'!$A$243:$I$263,5,0)),0%,VLOOKUP(A47,'Données projet'!$A$243:$I$263,5,0)*VLOOKUP('Données projet'!$B$17,Paramètres!$A$1:$I$89,7,0))</f>
        <v>0.43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33.478069263000926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33.478069263000926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64.791102981498682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-5.6843418860808015E-14</v>
      </c>
      <c r="GV47" s="17">
        <f>GU47*VLOOKUP('Données projet'!$B$18,Paramètres!$A$1:$I$89,3,0)*VLOOKUP('Données projet'!$B$18,Paramètres!$A$1:$I$89,5,0)</f>
        <v>-2.5006556825246661E-14</v>
      </c>
      <c r="GW47" s="13" t="e">
        <f t="shared" si="51"/>
        <v>#NUM!</v>
      </c>
      <c r="GX47" s="20" t="e">
        <f t="shared" si="28"/>
        <v>#NUM!</v>
      </c>
      <c r="GY47" s="59" t="e">
        <f t="shared" si="29"/>
        <v>#NUM!</v>
      </c>
      <c r="GZ47" s="59">
        <f ca="1">AVERAGE(OFFSET($GY$3,0,0,'Données projet'!$E$18+1,1))-AVERAGE(OFFSET($H$3,0,0,'Données projet'!$E$18+1,1))</f>
        <v>180.68917161146683</v>
      </c>
      <c r="HA47" s="59">
        <f t="shared" si="52"/>
        <v>344.42126252322419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48.46085344142142</v>
      </c>
      <c r="HH47" s="21">
        <f>EXP(-LN(2)/25)*HH46+(1-EXP(-LN(2)/25))/(LN(2)/25)*Calculateur!HC47*Calculateur!HE47*VLOOKUP('Données projet'!$B$18,Paramètres!$A$1:$I$89,3,0)*0.475*44/12</f>
        <v>11.235681339462333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59.696534780883752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2.25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8.25</v>
      </c>
      <c r="H48" s="66">
        <f t="shared" si="1"/>
        <v>223.66666666666666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9.2985714285714263</v>
      </c>
      <c r="N48" s="13">
        <f>IF('Données projet'!$A$36&gt;35,N47+M48-V47,IF(A48&lt;'Données projet'!$A$36,$K$205^A48,IF(A48='Données projet'!$A$36,'Données projet'!$B$36,N47+M48-V47)))</f>
        <v>137.05857142857155</v>
      </c>
      <c r="O48" s="13">
        <f>N48*VLOOKUP('Données projet'!$B$9,Paramètres!$A$1:$I$89,3,0)*VLOOKUP('Données projet'!$B$9,Paramètres!$A$1:$I$89,5,0)</f>
        <v>124.01059542857155</v>
      </c>
      <c r="P48" s="13">
        <f t="shared" si="33"/>
        <v>32.60860756039709</v>
      </c>
      <c r="Q48" s="20">
        <f t="shared" si="53"/>
        <v>272.77844520578708</v>
      </c>
      <c r="R48" s="59">
        <f t="shared" si="0"/>
        <v>547.34381943699577</v>
      </c>
      <c r="S48" s="59">
        <f ca="1">AVERAGE(OFFSET($R$3,0,0,'Données projet'!$E$9+1,1))-AVERAGE(OFFSET($H$3,0,0,'Données projet'!$E$9+1,1))</f>
        <v>490.57849401500789</v>
      </c>
      <c r="T48" s="59">
        <f t="shared" si="34"/>
        <v>221.7570623669753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31.207408445456544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31.207408445456544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4.8292136753333335</v>
      </c>
      <c r="AI48" s="13">
        <f>IF('Données projet'!$A$62&gt;35,AI47+AH48-AQ47,IF(A48&lt;'Données projet'!$A$62,$AF$205^A48,IF(A48='Données projet'!$A$62,'Données projet'!$B$62,AI47+AH48-AQ47)))</f>
        <v>129.18179487</v>
      </c>
      <c r="AJ48" s="13">
        <f>AI48*VLOOKUP('Données projet'!$B$10,Paramètres!$A$1:$I$89,3,0)*VLOOKUP('Données projet'!$B$10,Paramètres!$A$1:$I$89,5,0)</f>
        <v>86.655147998795997</v>
      </c>
      <c r="AK48" s="13">
        <f t="shared" si="35"/>
        <v>23.756757726107963</v>
      </c>
      <c r="AL48" s="20">
        <f t="shared" si="4"/>
        <v>192.30073580420773</v>
      </c>
      <c r="AM48" s="59">
        <f t="shared" si="5"/>
        <v>466.86611003541634</v>
      </c>
      <c r="AN48" s="59">
        <f ca="1">AVERAGE(OFFSET($AM$3,0,0,'Données projet'!$E$10+1,1))-AVERAGE(OFFSET($H$3,0,0,'Données projet'!$E$10+1,1))</f>
        <v>377.00534440335832</v>
      </c>
      <c r="AO48" s="59">
        <f t="shared" si="36"/>
        <v>131.56029120000656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162</v>
      </c>
      <c r="BB48" s="12">
        <f>VLOOKUP(A48,'Données projet'!$A$87:$I$107,9,0)</f>
        <v>6.4</v>
      </c>
      <c r="BC48" s="12">
        <f t="array" ref="BC48">INDEX(BB:BB,MIN(IF(ISNUMBER(BB48:BB244),ROW(BB48:BB244),"")))</f>
        <v>6.4</v>
      </c>
      <c r="BD48" s="12">
        <f>IF('Données projet'!$A$88&gt;35,BD47+BC48-BL47,IF(A48&lt;'Données projet'!$A$88,$BA$205^A48,IF(A48='Données projet'!$A$88,'Données projet'!$B$88,BD47+BC48-BL47)))</f>
        <v>162.00000000000003</v>
      </c>
      <c r="BE48" s="13">
        <f>BD48*VLOOKUP('Données projet'!$B$11,Paramètres!$A$1:$I$89,3,0)*VLOOKUP('Données projet'!$B$11,Paramètres!$A$1:$I$89,5,0)</f>
        <v>141.52320000000006</v>
      </c>
      <c r="BF48" s="13">
        <f t="shared" si="37"/>
        <v>36.645729158274158</v>
      </c>
      <c r="BG48" s="20">
        <f t="shared" si="7"/>
        <v>310.31088495066086</v>
      </c>
      <c r="BH48" s="59">
        <f t="shared" si="8"/>
        <v>584.8762591818695</v>
      </c>
      <c r="BI48" s="59">
        <f ca="1">AVERAGE(OFFSET($BH$3,0,0,'Données projet'!$E$11+1,1))-AVERAGE(OFFSET($H$3,0,0,'Données projet'!$E$11+1,1))</f>
        <v>314.1123649635374</v>
      </c>
      <c r="BJ48" s="59">
        <f t="shared" si="38"/>
        <v>274.92342227914889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19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22.225619475532252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22.225619475532252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630.97742166954708</v>
      </c>
      <c r="CD48" s="59">
        <f ca="1">AVERAGE(OFFSET($CC$3,0,0,'Données projet'!$E$12+1,1))-AVERAGE(OFFSET($H$3,0,0,'Données projet'!$E$12+1,1))</f>
        <v>309.86296291630748</v>
      </c>
      <c r="CE48" s="59">
        <f t="shared" si="40"/>
        <v>301.17633325088661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32.783568616848967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32.783568616848967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190</v>
      </c>
      <c r="CR48" s="12">
        <f>VLOOKUP(A48,'Données projet'!$A$139:$I$159,9,0)</f>
        <v>11</v>
      </c>
      <c r="CS48" s="12">
        <f t="array" ref="CS48">INDEX(CR:CR,MIN(IF(ISNUMBER(CR48:CR244),ROW(CR48:CR244),"")))</f>
        <v>11</v>
      </c>
      <c r="CT48" s="12">
        <f>IF('Données projet'!$A$140&gt;35,CT47+CS48-DB47,IF(A48&lt;'Données projet'!$A$140,$CQ$205^A48,IF(A48='Données projet'!$A$140,'Données projet'!$B$140,CT47+CS48-DB47)))</f>
        <v>190.00000000000003</v>
      </c>
      <c r="CU48" s="17">
        <f>CT48*VLOOKUP('Données projet'!$B$13,Paramètres!$A$1:$I$89,3,0)*VLOOKUP('Données projet'!$B$13,Paramètres!$A$1:$I$89,5,0)</f>
        <v>163.02000000000004</v>
      </c>
      <c r="CV48" s="13">
        <f t="shared" si="41"/>
        <v>41.52294175893757</v>
      </c>
      <c r="CW48" s="20">
        <f t="shared" si="13"/>
        <v>356.24562356348298</v>
      </c>
      <c r="CX48" s="59">
        <f t="shared" si="14"/>
        <v>630.81099779469162</v>
      </c>
      <c r="CY48" s="59">
        <f ca="1">AVERAGE(OFFSET($CX$3,0,0,'Données projet'!$E$13+1,1))-AVERAGE(OFFSET($H$3,0,0,'Données projet'!$E$13+1,1))</f>
        <v>462.66388549889928</v>
      </c>
      <c r="CZ48" s="59">
        <f t="shared" si="42"/>
        <v>265.3725203415089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28</v>
      </c>
      <c r="DC48" s="16">
        <f>IF(ISNA(VLOOKUP(A48,'Données projet'!$A$139:$I$159,5,0)),0%,VLOOKUP(A48,'Données projet'!$A$139:$I$159,5,0)*VLOOKUP('Données projet'!$B$13,Paramètres!$A$1:$I$89,7,0))</f>
        <v>0.53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38.37103850285628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38.37103850285628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6.6506410324999994</v>
      </c>
      <c r="DO48" s="12">
        <f>IF('Données projet'!$A$166&gt;35,DO47+DN48-DW47,IF(A48&lt;'Données projet'!$A$166,$DL$205^A48,IF(A48='Données projet'!$A$166,'Données projet'!$B$166,DO47+DN48-DW47)))</f>
        <v>126.52243587250003</v>
      </c>
      <c r="DP48" s="17">
        <f>DO48*VLOOKUP('Données projet'!$B$14,Paramètres!$A$1:$I$89,3,0)*VLOOKUP('Données projet'!$B$14,Paramètres!$A$1:$I$89,5,0)</f>
        <v>98.687499980550029</v>
      </c>
      <c r="DQ48" s="13">
        <f t="shared" si="43"/>
        <v>26.649072490585695</v>
      </c>
      <c r="DR48" s="20">
        <f t="shared" si="16"/>
        <v>218.29453038722804</v>
      </c>
      <c r="DS48" s="59">
        <f t="shared" si="17"/>
        <v>492.85990461843664</v>
      </c>
      <c r="DT48" s="59">
        <f ca="1">AVERAGE(OFFSET($DS$3,0,0,'Données projet'!$E$14+1,1))-AVERAGE(OFFSET($H$3,0,0,'Données projet'!$E$14+1,1))</f>
        <v>206.5241977687125</v>
      </c>
      <c r="DU48" s="59">
        <f t="shared" si="44"/>
        <v>205.25001043771269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23.806820201425644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23.806820201425644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120</v>
      </c>
      <c r="EH48" s="12">
        <f>VLOOKUP(A48,'Données projet'!$A$191:$I$211,9,0)</f>
        <v>5</v>
      </c>
      <c r="EI48" s="12">
        <f t="array" ref="EI48">INDEX(EH:EH,MIN(IF(ISNUMBER(EH48:EH244),ROW(EH48:EH244),"")))</f>
        <v>5</v>
      </c>
      <c r="EJ48" s="12">
        <f>IF('Données projet'!$A$192&gt;35,EJ47+EI48-ER47,IF(A48&lt;'Données projet'!$A$192,$EG$205^A48,IF(A48='Données projet'!$A$192,'Données projet'!$B$192,EJ47+EI48-ER47)))</f>
        <v>119.99999999999996</v>
      </c>
      <c r="EK48" s="17">
        <f>EJ48*VLOOKUP('Données projet'!$B$15,Paramètres!$A$1:$I$89,3,0)*VLOOKUP('Données projet'!$B$15,Paramètres!$A$1:$I$89,5,0)</f>
        <v>104.83199999999998</v>
      </c>
      <c r="EL48" s="13">
        <f t="shared" si="45"/>
        <v>28.109974371137692</v>
      </c>
      <c r="EM48" s="20">
        <f t="shared" si="19"/>
        <v>231.54060536306474</v>
      </c>
      <c r="EN48" s="59">
        <f t="shared" si="20"/>
        <v>506.10597959427338</v>
      </c>
      <c r="EO48" s="59">
        <f ca="1">AVERAGE(OFFSET($EN$3,0,0,'Données projet'!$E$15+1,1))-AVERAGE(OFFSET($H$3,0,0,'Données projet'!$E$15+1,1))</f>
        <v>205.83135724908942</v>
      </c>
      <c r="EP48" s="59">
        <f t="shared" si="46"/>
        <v>193.60053377311405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14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19.534346874181374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19.534346874181374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177</v>
      </c>
      <c r="FC48" s="12">
        <f>VLOOKUP(A48,'Données projet'!$A$217:$I$237,9,0)</f>
        <v>6.4</v>
      </c>
      <c r="FD48" s="12">
        <f t="array" ref="FD48">INDEX(FC:FC,MIN(IF(ISNUMBER(FC48:FC244),ROW(FC48:FC244),"")))</f>
        <v>6.4</v>
      </c>
      <c r="FE48" s="12">
        <f>IF('Données projet'!$A$218&gt;35,FE47+FD48-FM47,IF(A48&lt;'Données projet'!$A$218,$FB$205^A48,IF(A48='Données projet'!$A$218,'Données projet'!$B$218,FE47+FD48-FM47)))</f>
        <v>177</v>
      </c>
      <c r="FF48" s="17">
        <f>FE48*VLOOKUP('Données projet'!$B$16,Paramètres!$A$1:$I$89,3,0)*VLOOKUP('Données projet'!$B$16,Paramètres!$A$1:$I$89,5,0)</f>
        <v>115.97040000000001</v>
      </c>
      <c r="FG48" s="13">
        <f t="shared" si="47"/>
        <v>30.733301120222794</v>
      </c>
      <c r="FH48" s="20">
        <f t="shared" si="22"/>
        <v>255.50894611772139</v>
      </c>
      <c r="FI48" s="59">
        <f t="shared" si="23"/>
        <v>530.07432034893009</v>
      </c>
      <c r="FJ48" s="59">
        <f ca="1">AVERAGE(OFFSET($FI$3,0,0,'Données projet'!$E$16+1,1))-AVERAGE(OFFSET($H$3,0,0,'Données projet'!$E$16+1,1))</f>
        <v>242.76791261317206</v>
      </c>
      <c r="FK48" s="59">
        <f t="shared" si="48"/>
        <v>244.28580264867682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18.423237845213759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18.423237845213759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9.2985714285714263</v>
      </c>
      <c r="FZ48" s="12">
        <f>IF('Données projet'!$A$244&gt;35,FZ47+FY48-GH47,IF(A48&lt;'Données projet'!$A$244,$FW$205^A48,IF(A48='Données projet'!$A$244,'Données projet'!$B$244,FZ47+FY48-GH47)))</f>
        <v>137.05857142857155</v>
      </c>
      <c r="GA48" s="17">
        <f>FZ48*VLOOKUP('Données projet'!$B$17,Paramètres!$A$1:$I$89,3,0)*VLOOKUP('Données projet'!$B$17,Paramètres!$A$1:$I$89,5,0)</f>
        <v>130.42493657142867</v>
      </c>
      <c r="GB48" s="13">
        <f t="shared" si="49"/>
        <v>34.094531040428201</v>
      </c>
      <c r="GC48" s="20">
        <f t="shared" si="25"/>
        <v>286.53807275731737</v>
      </c>
      <c r="GD48" s="59">
        <f t="shared" si="26"/>
        <v>561.103446988526</v>
      </c>
      <c r="GE48" s="59">
        <f ca="1">AVERAGE(OFFSET($GD$3,0,0,'Données projet'!$E$17+1,1))-AVERAGE(OFFSET($H$3,0,0,'Données projet'!$E$17+1,1))</f>
        <v>512.71941256120977</v>
      </c>
      <c r="GF48" s="59">
        <f t="shared" si="50"/>
        <v>230.65031527019354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32.821584744359463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32.821584744359463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64.881465699420545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-5.6843418860808015E-14</v>
      </c>
      <c r="GV48" s="17">
        <f>GU48*VLOOKUP('Données projet'!$B$18,Paramètres!$A$1:$I$89,3,0)*VLOOKUP('Données projet'!$B$18,Paramètres!$A$1:$I$89,5,0)</f>
        <v>-2.5006556825246661E-14</v>
      </c>
      <c r="GW48" s="13" t="e">
        <f t="shared" si="51"/>
        <v>#NUM!</v>
      </c>
      <c r="GX48" s="20" t="e">
        <f t="shared" si="28"/>
        <v>#NUM!</v>
      </c>
      <c r="GY48" s="59" t="e">
        <f t="shared" si="29"/>
        <v>#NUM!</v>
      </c>
      <c r="GZ48" s="59">
        <f ca="1">AVERAGE(OFFSET($GY$3,0,0,'Données projet'!$E$18+1,1))-AVERAGE(OFFSET($H$3,0,0,'Données projet'!$E$18+1,1))</f>
        <v>180.68917161146683</v>
      </c>
      <c r="HA48" s="59">
        <f t="shared" si="52"/>
        <v>344.42126252322419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47.510565663637117</v>
      </c>
      <c r="HH48" s="21">
        <f>EXP(-LN(2)/25)*HH47+(1-EXP(-LN(2)/25))/(LN(2)/25)*Calculateur!HC48*Calculateur!HE48*VLOOKUP('Données projet'!$B$18,Paramètres!$A$1:$I$89,3,0)*0.475*44/12</f>
        <v>10.928441042375933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58.439006706013046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2.25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8.25</v>
      </c>
      <c r="H49" s="66">
        <f t="shared" si="1"/>
        <v>223.66666666666666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9.2985714285714263</v>
      </c>
      <c r="N49" s="13">
        <f>IF('Données projet'!$A$36&gt;35,N48+M49-V48,IF(A49&lt;'Données projet'!$A$36,$K$205^A49,IF(A49='Données projet'!$A$36,'Données projet'!$B$36,N48+M49-V48)))</f>
        <v>146.35714285714297</v>
      </c>
      <c r="O49" s="13">
        <f>N49*VLOOKUP('Données projet'!$B$9,Paramètres!$A$1:$I$89,3,0)*VLOOKUP('Données projet'!$B$9,Paramètres!$A$1:$I$89,5,0)</f>
        <v>132.42394285714295</v>
      </c>
      <c r="P49" s="13">
        <f t="shared" si="33"/>
        <v>34.555857722375251</v>
      </c>
      <c r="Q49" s="20">
        <f t="shared" si="53"/>
        <v>290.82315267599421</v>
      </c>
      <c r="R49" s="59">
        <f t="shared" si="0"/>
        <v>565.71410903875403</v>
      </c>
      <c r="S49" s="59">
        <f ca="1">AVERAGE(OFFSET($R$3,0,0,'Données projet'!$E$9+1,1))-AVERAGE(OFFSET($H$3,0,0,'Données projet'!$E$9+1,1))</f>
        <v>490.57849401500789</v>
      </c>
      <c r="T49" s="59">
        <f t="shared" si="34"/>
        <v>221.7570623669753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30.595450200480776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30.595450200480776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4.8292136753333335</v>
      </c>
      <c r="AI49" s="13">
        <f>IF('Données projet'!$A$62&gt;35,AI48+AH49-AQ48,IF(A49&lt;'Données projet'!$A$62,$AF$205^A49,IF(A49='Données projet'!$A$62,'Données projet'!$B$62,AI48+AH49-AQ48)))</f>
        <v>134.01100854533334</v>
      </c>
      <c r="AJ49" s="13">
        <f>AI49*VLOOKUP('Données projet'!$B$10,Paramètres!$A$1:$I$89,3,0)*VLOOKUP('Données projet'!$B$10,Paramètres!$A$1:$I$89,5,0)</f>
        <v>89.894584532209606</v>
      </c>
      <c r="AK49" s="13">
        <f t="shared" si="35"/>
        <v>24.539799587623666</v>
      </c>
      <c r="AL49" s="20">
        <f t="shared" si="4"/>
        <v>199.30655234204292</v>
      </c>
      <c r="AM49" s="59">
        <f t="shared" si="5"/>
        <v>474.19750870480277</v>
      </c>
      <c r="AN49" s="59">
        <f ca="1">AVERAGE(OFFSET($AM$3,0,0,'Données projet'!$E$10+1,1))-AVERAGE(OFFSET($H$3,0,0,'Données projet'!$E$10+1,1))</f>
        <v>377.00534440335832</v>
      </c>
      <c r="AO49" s="59">
        <f t="shared" si="36"/>
        <v>131.56029120000656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</v>
      </c>
      <c r="BD49" s="12">
        <f>IF('Données projet'!$A$88&gt;35,BD48+BC49-BL48,IF(A49&lt;'Données projet'!$A$88,$BA$205^A49,IF(A49='Données projet'!$A$88,'Données projet'!$B$88,BD48+BC49-BL48)))</f>
        <v>149.00000000000003</v>
      </c>
      <c r="BE49" s="13">
        <f>BD49*VLOOKUP('Données projet'!$B$11,Paramètres!$A$1:$I$89,3,0)*VLOOKUP('Données projet'!$B$11,Paramètres!$A$1:$I$89,5,0)</f>
        <v>130.16640000000004</v>
      </c>
      <c r="BF49" s="13">
        <f t="shared" si="37"/>
        <v>34.034806623706302</v>
      </c>
      <c r="BG49" s="20">
        <f t="shared" si="7"/>
        <v>285.98376820295522</v>
      </c>
      <c r="BH49" s="59">
        <f t="shared" si="8"/>
        <v>560.87472456571504</v>
      </c>
      <c r="BI49" s="59">
        <f ca="1">AVERAGE(OFFSET($BH$3,0,0,'Données projet'!$E$11+1,1))-AVERAGE(OFFSET($H$3,0,0,'Données projet'!$E$11+1,1))</f>
        <v>314.1123649635374</v>
      </c>
      <c r="BJ49" s="59">
        <f t="shared" si="38"/>
        <v>274.92342227914889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21.789788633906372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21.789788633906372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606.15984991230539</v>
      </c>
      <c r="CD49" s="59">
        <f ca="1">AVERAGE(OFFSET($CC$3,0,0,'Données projet'!$E$12+1,1))-AVERAGE(OFFSET($H$3,0,0,'Données projet'!$E$12+1,1))</f>
        <v>309.86296291630748</v>
      </c>
      <c r="CE49" s="59">
        <f t="shared" si="40"/>
        <v>301.17633325088661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32.140702832274975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32.140702832274975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173.00000000000003</v>
      </c>
      <c r="CU49" s="17">
        <f>CT49*VLOOKUP('Données projet'!$B$13,Paramètres!$A$1:$I$89,3,0)*VLOOKUP('Données projet'!$B$13,Paramètres!$A$1:$I$89,5,0)</f>
        <v>148.43400000000003</v>
      </c>
      <c r="CV49" s="13">
        <f t="shared" si="41"/>
        <v>38.222489421716382</v>
      </c>
      <c r="CW49" s="20">
        <f t="shared" si="13"/>
        <v>325.0933857428227</v>
      </c>
      <c r="CX49" s="59">
        <f t="shared" si="14"/>
        <v>599.98434210558253</v>
      </c>
      <c r="CY49" s="59">
        <f ca="1">AVERAGE(OFFSET($CX$3,0,0,'Données projet'!$E$13+1,1))-AVERAGE(OFFSET($H$3,0,0,'Données projet'!$E$13+1,1))</f>
        <v>462.66388549889928</v>
      </c>
      <c r="CZ49" s="59">
        <f t="shared" si="42"/>
        <v>265.3725203415089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37.618605841837798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37.618605841837798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6.6506410324999994</v>
      </c>
      <c r="DO49" s="12">
        <f>IF('Données projet'!$A$166&gt;35,DO48+DN49-DW48,IF(A49&lt;'Données projet'!$A$166,$DL$205^A49,IF(A49='Données projet'!$A$166,'Données projet'!$B$166,DO48+DN49-DW48)))</f>
        <v>133.17307690500002</v>
      </c>
      <c r="DP49" s="17">
        <f>DO49*VLOOKUP('Données projet'!$B$14,Paramètres!$A$1:$I$89,3,0)*VLOOKUP('Données projet'!$B$14,Paramètres!$A$1:$I$89,5,0)</f>
        <v>103.87499998590002</v>
      </c>
      <c r="DQ49" s="13">
        <f t="shared" si="43"/>
        <v>27.883110312766043</v>
      </c>
      <c r="DR49" s="20">
        <f t="shared" si="16"/>
        <v>229.47870877017669</v>
      </c>
      <c r="DS49" s="59">
        <f t="shared" si="17"/>
        <v>504.36966513293657</v>
      </c>
      <c r="DT49" s="59">
        <f ca="1">AVERAGE(OFFSET($DS$3,0,0,'Données projet'!$E$14+1,1))-AVERAGE(OFFSET($H$3,0,0,'Données projet'!$E$14+1,1))</f>
        <v>206.5241977687125</v>
      </c>
      <c r="DU49" s="59">
        <f t="shared" si="44"/>
        <v>205.25001043771269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23.339982978002208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23.339982978002208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4</v>
      </c>
      <c r="EJ49" s="12">
        <f>IF('Données projet'!$A$192&gt;35,EJ48+EI49-ER48,IF(A49&lt;'Données projet'!$A$192,$EG$205^A49,IF(A49='Données projet'!$A$192,'Données projet'!$B$192,EJ48+EI49-ER48)))</f>
        <v>109.99999999999996</v>
      </c>
      <c r="EK49" s="17">
        <f>EJ49*VLOOKUP('Données projet'!$B$15,Paramètres!$A$1:$I$89,3,0)*VLOOKUP('Données projet'!$B$15,Paramètres!$A$1:$I$89,5,0)</f>
        <v>96.095999999999975</v>
      </c>
      <c r="EL49" s="13">
        <f t="shared" si="45"/>
        <v>26.029778784173352</v>
      </c>
      <c r="EM49" s="20">
        <f t="shared" si="19"/>
        <v>212.70239804910184</v>
      </c>
      <c r="EN49" s="59">
        <f t="shared" si="20"/>
        <v>487.5933544118617</v>
      </c>
      <c r="EO49" s="59">
        <f ca="1">AVERAGE(OFFSET($EN$3,0,0,'Données projet'!$E$15+1,1))-AVERAGE(OFFSET($H$3,0,0,'Données projet'!$E$15+1,1))</f>
        <v>205.83135724908942</v>
      </c>
      <c r="EP49" s="59">
        <f t="shared" si="46"/>
        <v>193.60053377311405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19.151290246753785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19.151290246753785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5.8</v>
      </c>
      <c r="FE49" s="12">
        <f>IF('Données projet'!$A$218&gt;35,FE48+FD49-FM48,IF(A49&lt;'Données projet'!$A$218,$FB$205^A49,IF(A49='Données projet'!$A$218,'Données projet'!$B$218,FE48+FD49-FM48)))</f>
        <v>160.80000000000001</v>
      </c>
      <c r="FF49" s="17">
        <f>FE49*VLOOKUP('Données projet'!$B$16,Paramètres!$A$1:$I$89,3,0)*VLOOKUP('Données projet'!$B$16,Paramètres!$A$1:$I$89,5,0)</f>
        <v>105.35616</v>
      </c>
      <c r="FG49" s="13">
        <f t="shared" si="47"/>
        <v>28.234128165723941</v>
      </c>
      <c r="FH49" s="20">
        <f t="shared" si="22"/>
        <v>232.66975188863583</v>
      </c>
      <c r="FI49" s="59">
        <f t="shared" si="23"/>
        <v>507.56070825139568</v>
      </c>
      <c r="FJ49" s="59">
        <f ca="1">AVERAGE(OFFSET($FI$3,0,0,'Données projet'!$E$16+1,1))-AVERAGE(OFFSET($H$3,0,0,'Données projet'!$E$16+1,1))</f>
        <v>242.76791261317206</v>
      </c>
      <c r="FK49" s="59">
        <f t="shared" si="48"/>
        <v>244.28580264867682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18.061969388134635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18.061969388134635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9.2985714285714263</v>
      </c>
      <c r="FZ49" s="12">
        <f>IF('Données projet'!$A$244&gt;35,FZ48+FY49-GH48,IF(A49&lt;'Données projet'!$A$244,$FW$205^A49,IF(A49='Données projet'!$A$244,'Données projet'!$B$244,FZ48+FY49-GH48)))</f>
        <v>146.35714285714297</v>
      </c>
      <c r="GA49" s="17">
        <f>FZ49*VLOOKUP('Données projet'!$B$17,Paramètres!$A$1:$I$89,3,0)*VLOOKUP('Données projet'!$B$17,Paramètres!$A$1:$I$89,5,0)</f>
        <v>139.27345714285727</v>
      </c>
      <c r="GB49" s="13">
        <f t="shared" si="49"/>
        <v>36.130514360724156</v>
      </c>
      <c r="GC49" s="20">
        <f t="shared" si="25"/>
        <v>305.49525036873763</v>
      </c>
      <c r="GD49" s="59">
        <f t="shared" si="26"/>
        <v>580.38620673149751</v>
      </c>
      <c r="GE49" s="59">
        <f ca="1">AVERAGE(OFFSET($GD$3,0,0,'Données projet'!$E$17+1,1))-AVERAGE(OFFSET($H$3,0,0,'Données projet'!$E$17+1,1))</f>
        <v>512.71941256120977</v>
      </c>
      <c r="GF49" s="59">
        <f t="shared" si="50"/>
        <v>230.65031527019354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32.177973486712538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32.177973486712538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64.970260826207237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-5.6843418860808015E-14</v>
      </c>
      <c r="GV49" s="17">
        <f>GU49*VLOOKUP('Données projet'!$B$18,Paramètres!$A$1:$I$89,3,0)*VLOOKUP('Données projet'!$B$18,Paramètres!$A$1:$I$89,5,0)</f>
        <v>-2.5006556825246661E-14</v>
      </c>
      <c r="GW49" s="13" t="e">
        <f t="shared" si="51"/>
        <v>#NUM!</v>
      </c>
      <c r="GX49" s="20" t="e">
        <f t="shared" si="28"/>
        <v>#NUM!</v>
      </c>
      <c r="GY49" s="59" t="e">
        <f t="shared" si="29"/>
        <v>#NUM!</v>
      </c>
      <c r="GZ49" s="59">
        <f ca="1">AVERAGE(OFFSET($GY$3,0,0,'Données projet'!$E$18+1,1))-AVERAGE(OFFSET($H$3,0,0,'Données projet'!$E$18+1,1))</f>
        <v>180.68917161146683</v>
      </c>
      <c r="HA49" s="59">
        <f t="shared" si="52"/>
        <v>344.42126252322419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46.578912449556853</v>
      </c>
      <c r="HH49" s="21">
        <f>EXP(-LN(2)/25)*HH48+(1-EXP(-LN(2)/25))/(LN(2)/25)*Calculateur!HC49*Calculateur!HE49*VLOOKUP('Données projet'!$B$18,Paramètres!$A$1:$I$89,3,0)*0.475*44/12</f>
        <v>10.629602247370427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57.208514696927281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2.25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8.25</v>
      </c>
      <c r="H50" s="66">
        <f t="shared" si="1"/>
        <v>223.66666666666666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9.2985714285714263</v>
      </c>
      <c r="N50" s="13">
        <f>IF('Données projet'!$A$36&gt;35,N49+M50-V49,IF(A50&lt;'Données projet'!$A$36,$K$205^A50,IF(A50='Données projet'!$A$36,'Données projet'!$B$36,N49+M50-V49)))</f>
        <v>155.6557142857144</v>
      </c>
      <c r="O50" s="13">
        <f>N50*VLOOKUP('Données projet'!$B$9,Paramètres!$A$1:$I$89,3,0)*VLOOKUP('Données projet'!$B$9,Paramètres!$A$1:$I$89,5,0)</f>
        <v>140.83729028571437</v>
      </c>
      <c r="P50" s="13">
        <f t="shared" si="33"/>
        <v>36.488750325482997</v>
      </c>
      <c r="Q50" s="20">
        <f t="shared" si="53"/>
        <v>308.84285406450209</v>
      </c>
      <c r="R50" s="59">
        <f t="shared" si="0"/>
        <v>584.05374443672338</v>
      </c>
      <c r="S50" s="59">
        <f ca="1">AVERAGE(OFFSET($R$3,0,0,'Données projet'!$E$9+1,1))-AVERAGE(OFFSET($H$3,0,0,'Données projet'!$E$9+1,1))</f>
        <v>490.57849401500789</v>
      </c>
      <c r="T50" s="59">
        <f t="shared" si="34"/>
        <v>221.7570623669753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29.995492083431312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29.995492083431312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4.8292136753333335</v>
      </c>
      <c r="AI50" s="13">
        <f>IF('Données projet'!$A$62&gt;35,AI49+AH50-AQ49,IF(A50&lt;'Données projet'!$A$62,$AF$205^A50,IF(A50='Données projet'!$A$62,'Données projet'!$B$62,AI49+AH50-AQ49)))</f>
        <v>138.84022222066667</v>
      </c>
      <c r="AJ50" s="13">
        <f>AI50*VLOOKUP('Données projet'!$B$10,Paramètres!$A$1:$I$89,3,0)*VLOOKUP('Données projet'!$B$10,Paramètres!$A$1:$I$89,5,0)</f>
        <v>93.134021065623202</v>
      </c>
      <c r="AK50" s="13">
        <f t="shared" si="35"/>
        <v>25.319563043544083</v>
      </c>
      <c r="AL50" s="20">
        <f t="shared" si="4"/>
        <v>206.306658990133</v>
      </c>
      <c r="AM50" s="59">
        <f t="shared" si="5"/>
        <v>481.51754936235432</v>
      </c>
      <c r="AN50" s="59">
        <f ca="1">AVERAGE(OFFSET($AM$3,0,0,'Données projet'!$E$10+1,1))-AVERAGE(OFFSET($H$3,0,0,'Données projet'!$E$10+1,1))</f>
        <v>377.00534440335832</v>
      </c>
      <c r="AO50" s="59">
        <f t="shared" si="36"/>
        <v>131.56029120000656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</v>
      </c>
      <c r="BD50" s="12">
        <f>IF('Données projet'!$A$88&gt;35,BD49+BC50-BL49,IF(A50&lt;'Données projet'!$A$88,$BA$205^A50,IF(A50='Données projet'!$A$88,'Données projet'!$B$88,BD49+BC50-BL49)))</f>
        <v>155.00000000000003</v>
      </c>
      <c r="BE50" s="13">
        <f>BD50*VLOOKUP('Données projet'!$B$11,Paramètres!$A$1:$I$89,3,0)*VLOOKUP('Données projet'!$B$11,Paramètres!$A$1:$I$89,5,0)</f>
        <v>135.40800000000004</v>
      </c>
      <c r="BF50" s="13">
        <f t="shared" si="37"/>
        <v>35.243009677478732</v>
      </c>
      <c r="BG50" s="20">
        <f t="shared" si="7"/>
        <v>297.21717518827558</v>
      </c>
      <c r="BH50" s="59">
        <f t="shared" si="8"/>
        <v>572.42806556049686</v>
      </c>
      <c r="BI50" s="59">
        <f ca="1">AVERAGE(OFFSET($BH$3,0,0,'Données projet'!$E$11+1,1))-AVERAGE(OFFSET($H$3,0,0,'Données projet'!$E$11+1,1))</f>
        <v>314.1123649635374</v>
      </c>
      <c r="BJ50" s="59">
        <f t="shared" si="38"/>
        <v>274.92342227914889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21.362504169254212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21.362504169254212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618.71663934797812</v>
      </c>
      <c r="CD50" s="59">
        <f ca="1">AVERAGE(OFFSET($CC$3,0,0,'Données projet'!$E$12+1,1))-AVERAGE(OFFSET($H$3,0,0,'Données projet'!$E$12+1,1))</f>
        <v>309.86296291630748</v>
      </c>
      <c r="CE50" s="59">
        <f t="shared" si="40"/>
        <v>301.17633325088661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31.510443253627066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31.510443253627066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184.00000000000003</v>
      </c>
      <c r="CU50" s="17">
        <f>CT50*VLOOKUP('Données projet'!$B$13,Paramètres!$A$1:$I$89,3,0)*VLOOKUP('Données projet'!$B$13,Paramètres!$A$1:$I$89,5,0)</f>
        <v>157.87200000000004</v>
      </c>
      <c r="CV50" s="13">
        <f t="shared" si="41"/>
        <v>40.362165684361159</v>
      </c>
      <c r="CW50" s="20">
        <f t="shared" si="13"/>
        <v>345.25783856692902</v>
      </c>
      <c r="CX50" s="59">
        <f t="shared" si="14"/>
        <v>620.46872893915031</v>
      </c>
      <c r="CY50" s="59">
        <f ca="1">AVERAGE(OFFSET($CX$3,0,0,'Données projet'!$E$13+1,1))-AVERAGE(OFFSET($H$3,0,0,'Données projet'!$E$13+1,1))</f>
        <v>462.66388549889928</v>
      </c>
      <c r="CZ50" s="59">
        <f t="shared" si="42"/>
        <v>265.3725203415089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36.880927926363285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36.880927926363285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6.6506410324999994</v>
      </c>
      <c r="DO50" s="12">
        <f>IF('Données projet'!$A$166&gt;35,DO49+DN50-DW49,IF(A50&lt;'Données projet'!$A$166,$DL$205^A50,IF(A50='Données projet'!$A$166,'Données projet'!$B$166,DO49+DN50-DW49)))</f>
        <v>139.82371793750002</v>
      </c>
      <c r="DP50" s="17">
        <f>DO50*VLOOKUP('Données projet'!$B$14,Paramètres!$A$1:$I$89,3,0)*VLOOKUP('Données projet'!$B$14,Paramètres!$A$1:$I$89,5,0)</f>
        <v>109.06249999125002</v>
      </c>
      <c r="DQ50" s="13">
        <f t="shared" si="43"/>
        <v>29.109992346555355</v>
      </c>
      <c r="DR50" s="20">
        <f t="shared" si="16"/>
        <v>240.65042415501102</v>
      </c>
      <c r="DS50" s="59">
        <f t="shared" si="17"/>
        <v>515.86131452723225</v>
      </c>
      <c r="DT50" s="59">
        <f ca="1">AVERAGE(OFFSET($DS$3,0,0,'Données projet'!$E$14+1,1))-AVERAGE(OFFSET($H$3,0,0,'Données projet'!$E$14+1,1))</f>
        <v>206.5241977687125</v>
      </c>
      <c r="DU50" s="59">
        <f t="shared" si="44"/>
        <v>205.25001043771269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22.882300147787515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22.882300147787515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4</v>
      </c>
      <c r="EJ50" s="12">
        <f>IF('Données projet'!$A$192&gt;35,EJ49+EI50-ER49,IF(A50&lt;'Données projet'!$A$192,$EG$205^A50,IF(A50='Données projet'!$A$192,'Données projet'!$B$192,EJ49+EI50-ER49)))</f>
        <v>113.99999999999996</v>
      </c>
      <c r="EK50" s="17">
        <f>EJ50*VLOOKUP('Données projet'!$B$15,Paramètres!$A$1:$I$89,3,0)*VLOOKUP('Données projet'!$B$15,Paramètres!$A$1:$I$89,5,0)</f>
        <v>99.590399999999974</v>
      </c>
      <c r="EL50" s="13">
        <f t="shared" si="45"/>
        <v>26.864392698869324</v>
      </c>
      <c r="EM50" s="20">
        <f t="shared" si="19"/>
        <v>220.24209728386401</v>
      </c>
      <c r="EN50" s="59">
        <f t="shared" si="20"/>
        <v>495.45298765608527</v>
      </c>
      <c r="EO50" s="59">
        <f ca="1">AVERAGE(OFFSET($EN$3,0,0,'Données projet'!$E$15+1,1))-AVERAGE(OFFSET($H$3,0,0,'Données projet'!$E$15+1,1))</f>
        <v>205.83135724908942</v>
      </c>
      <c r="EP50" s="59">
        <f t="shared" si="46"/>
        <v>193.60053377311405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18.775745126148578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18.775745126148578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5.8</v>
      </c>
      <c r="FE50" s="12">
        <f>IF('Données projet'!$A$218&gt;35,FE49+FD50-FM49,IF(A50&lt;'Données projet'!$A$218,$FB$205^A50,IF(A50='Données projet'!$A$218,'Données projet'!$B$218,FE49+FD50-FM49)))</f>
        <v>166.60000000000002</v>
      </c>
      <c r="FF50" s="17">
        <f>FE50*VLOOKUP('Données projet'!$B$16,Paramètres!$A$1:$I$89,3,0)*VLOOKUP('Données projet'!$B$16,Paramètres!$A$1:$I$89,5,0)</f>
        <v>109.15632000000002</v>
      </c>
      <c r="FG50" s="13">
        <f t="shared" si="47"/>
        <v>29.13211799879036</v>
      </c>
      <c r="FH50" s="20">
        <f t="shared" si="22"/>
        <v>240.85236284789323</v>
      </c>
      <c r="FI50" s="59">
        <f t="shared" si="23"/>
        <v>516.06325322011458</v>
      </c>
      <c r="FJ50" s="59">
        <f ca="1">AVERAGE(OFFSET($FI$3,0,0,'Données projet'!$E$16+1,1))-AVERAGE(OFFSET($H$3,0,0,'Données projet'!$E$16+1,1))</f>
        <v>242.76791261317206</v>
      </c>
      <c r="FK50" s="59">
        <f t="shared" si="48"/>
        <v>244.28580264867682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17.707785185146832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17.707785185146832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9.2985714285714263</v>
      </c>
      <c r="FZ50" s="12">
        <f>IF('Données projet'!$A$244&gt;35,FZ49+FY50-GH49,IF(A50&lt;'Données projet'!$A$244,$FW$205^A50,IF(A50='Données projet'!$A$244,'Données projet'!$B$244,FZ49+FY50-GH49)))</f>
        <v>155.6557142857144</v>
      </c>
      <c r="GA50" s="17">
        <f>FZ50*VLOOKUP('Données projet'!$B$17,Paramètres!$A$1:$I$89,3,0)*VLOOKUP('Données projet'!$B$17,Paramètres!$A$1:$I$89,5,0)</f>
        <v>148.1219777142858</v>
      </c>
      <c r="GB50" s="13">
        <f t="shared" si="49"/>
        <v>38.151485870544363</v>
      </c>
      <c r="GC50" s="20">
        <f t="shared" si="25"/>
        <v>324.42628241024585</v>
      </c>
      <c r="GD50" s="59">
        <f t="shared" si="26"/>
        <v>599.63717278246713</v>
      </c>
      <c r="GE50" s="59">
        <f ca="1">AVERAGE(OFFSET($GD$3,0,0,'Données projet'!$E$17+1,1))-AVERAGE(OFFSET($H$3,0,0,'Données projet'!$E$17+1,1))</f>
        <v>512.71941256120977</v>
      </c>
      <c r="GF50" s="59">
        <f t="shared" si="50"/>
        <v>230.65031527019354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31.546983053263965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31.546983053263965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65.057515556060352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-5.6843418860808015E-14</v>
      </c>
      <c r="GV50" s="17">
        <f>GU50*VLOOKUP('Données projet'!$B$18,Paramètres!$A$1:$I$89,3,0)*VLOOKUP('Données projet'!$B$18,Paramètres!$A$1:$I$89,5,0)</f>
        <v>-2.5006556825246661E-14</v>
      </c>
      <c r="GW50" s="13" t="e">
        <f t="shared" si="51"/>
        <v>#NUM!</v>
      </c>
      <c r="GX50" s="20" t="e">
        <f t="shared" si="28"/>
        <v>#NUM!</v>
      </c>
      <c r="GY50" s="59" t="e">
        <f t="shared" si="29"/>
        <v>#NUM!</v>
      </c>
      <c r="GZ50" s="59">
        <f ca="1">AVERAGE(OFFSET($GY$3,0,0,'Données projet'!$E$18+1,1))-AVERAGE(OFFSET($H$3,0,0,'Données projet'!$E$18+1,1))</f>
        <v>180.68917161146683</v>
      </c>
      <c r="HA50" s="59">
        <f t="shared" si="52"/>
        <v>344.42126252322419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45.665528386752349</v>
      </c>
      <c r="HH50" s="21">
        <f>EXP(-LN(2)/25)*HH49+(1-EXP(-LN(2)/25))/(LN(2)/25)*Calculateur!HC50*Calculateur!HE50*VLOOKUP('Données projet'!$B$18,Paramètres!$A$1:$I$89,3,0)*0.475*44/12</f>
        <v>10.338935214929595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56.004463601681948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2.25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8.25</v>
      </c>
      <c r="H51" s="66">
        <f t="shared" si="1"/>
        <v>223.66666666666666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9.2985714285714263</v>
      </c>
      <c r="N51" s="13">
        <f>IF('Données projet'!$A$36&gt;35,N50+M51-V50,IF(A51&lt;'Données projet'!$A$36,$K$205^A51,IF(A51='Données projet'!$A$36,'Données projet'!$B$36,N50+M51-V50)))</f>
        <v>164.95428571428582</v>
      </c>
      <c r="O51" s="13">
        <f>N51*VLOOKUP('Données projet'!$B$9,Paramètres!$A$1:$I$89,3,0)*VLOOKUP('Données projet'!$B$9,Paramètres!$A$1:$I$89,5,0)</f>
        <v>149.2506377142858</v>
      </c>
      <c r="P51" s="13">
        <f t="shared" si="33"/>
        <v>38.408240746359731</v>
      </c>
      <c r="Q51" s="20">
        <f t="shared" si="53"/>
        <v>326.8392133189576</v>
      </c>
      <c r="R51" s="59">
        <f t="shared" si="0"/>
        <v>602.36448756084133</v>
      </c>
      <c r="S51" s="59">
        <f ca="1">AVERAGE(OFFSET($R$3,0,0,'Données projet'!$E$9+1,1))-AVERAGE(OFFSET($H$3,0,0,'Données projet'!$E$9+1,1))</f>
        <v>490.57849401500789</v>
      </c>
      <c r="T51" s="59">
        <f t="shared" si="34"/>
        <v>221.7570623669753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29.407298779118872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29.407298779118872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4.8292136753333335</v>
      </c>
      <c r="AI51" s="13">
        <f>IF('Données projet'!$A$62&gt;35,AI50+AH51-AQ50,IF(A51&lt;'Données projet'!$A$62,$AF$205^A51,IF(A51='Données projet'!$A$62,'Données projet'!$B$62,AI50+AH51-AQ50)))</f>
        <v>143.66943589600001</v>
      </c>
      <c r="AJ51" s="13">
        <f>AI51*VLOOKUP('Données projet'!$B$10,Paramètres!$A$1:$I$89,3,0)*VLOOKUP('Données projet'!$B$10,Paramètres!$A$1:$I$89,5,0)</f>
        <v>96.373457599036811</v>
      </c>
      <c r="AK51" s="13">
        <f t="shared" si="35"/>
        <v>26.096175193063821</v>
      </c>
      <c r="AL51" s="20">
        <f t="shared" si="4"/>
        <v>213.30127711290859</v>
      </c>
      <c r="AM51" s="59">
        <f t="shared" si="5"/>
        <v>488.8265513547924</v>
      </c>
      <c r="AN51" s="59">
        <f ca="1">AVERAGE(OFFSET($AM$3,0,0,'Données projet'!$E$10+1,1))-AVERAGE(OFFSET($H$3,0,0,'Données projet'!$E$10+1,1))</f>
        <v>377.00534440335832</v>
      </c>
      <c r="AO51" s="59">
        <f t="shared" si="36"/>
        <v>131.56029120000656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</v>
      </c>
      <c r="BD51" s="12">
        <f>IF('Données projet'!$A$88&gt;35,BD50+BC51-BL50,IF(A51&lt;'Données projet'!$A$88,$BA$205^A51,IF(A51='Données projet'!$A$88,'Données projet'!$B$88,BD50+BC51-BL50)))</f>
        <v>161.00000000000003</v>
      </c>
      <c r="BE51" s="13">
        <f>BD51*VLOOKUP('Données projet'!$B$11,Paramètres!$A$1:$I$89,3,0)*VLOOKUP('Données projet'!$B$11,Paramètres!$A$1:$I$89,5,0)</f>
        <v>140.64960000000005</v>
      </c>
      <c r="BF51" s="13">
        <f t="shared" si="37"/>
        <v>36.445779615258637</v>
      </c>
      <c r="BG51" s="20">
        <f t="shared" si="7"/>
        <v>308.44111949657554</v>
      </c>
      <c r="BH51" s="59">
        <f t="shared" si="8"/>
        <v>583.96639373845937</v>
      </c>
      <c r="BI51" s="59">
        <f ca="1">AVERAGE(OFFSET($BH$3,0,0,'Données projet'!$E$11+1,1))-AVERAGE(OFFSET($H$3,0,0,'Données projet'!$E$11+1,1))</f>
        <v>314.1123649635374</v>
      </c>
      <c r="BJ51" s="59">
        <f t="shared" si="38"/>
        <v>274.92342227914889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20.94359849233609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20.94359849233609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631.25830156767347</v>
      </c>
      <c r="CD51" s="59">
        <f ca="1">AVERAGE(OFFSET($CC$3,0,0,'Données projet'!$E$12+1,1))-AVERAGE(OFFSET($H$3,0,0,'Données projet'!$E$12+1,1))</f>
        <v>309.86296291630748</v>
      </c>
      <c r="CE51" s="59">
        <f t="shared" si="40"/>
        <v>301.17633325088661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30.89254268089606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30.89254268089606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195.00000000000003</v>
      </c>
      <c r="CU51" s="17">
        <f>CT51*VLOOKUP('Données projet'!$B$13,Paramètres!$A$1:$I$89,3,0)*VLOOKUP('Données projet'!$B$13,Paramètres!$A$1:$I$89,5,0)</f>
        <v>167.31000000000006</v>
      </c>
      <c r="CV51" s="13">
        <f t="shared" si="41"/>
        <v>42.486994942347515</v>
      </c>
      <c r="CW51" s="20">
        <f t="shared" si="13"/>
        <v>365.39643285792204</v>
      </c>
      <c r="CX51" s="59">
        <f t="shared" si="14"/>
        <v>640.92170709980587</v>
      </c>
      <c r="CY51" s="59">
        <f ca="1">AVERAGE(OFFSET($CX$3,0,0,'Données projet'!$E$13+1,1))-AVERAGE(OFFSET($H$3,0,0,'Données projet'!$E$13+1,1))</f>
        <v>462.66388549889928</v>
      </c>
      <c r="CZ51" s="59">
        <f t="shared" si="42"/>
        <v>265.3725203415089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36.157715424872123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36.157715424872123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6.6506410324999994</v>
      </c>
      <c r="DO51" s="12">
        <f>IF('Données projet'!$A$166&gt;35,DO50+DN51-DW50,IF(A51&lt;'Données projet'!$A$166,$DL$205^A51,IF(A51='Données projet'!$A$166,'Données projet'!$B$166,DO50+DN51-DW50)))</f>
        <v>146.47435897000003</v>
      </c>
      <c r="DP51" s="17">
        <f>DO51*VLOOKUP('Données projet'!$B$14,Paramètres!$A$1:$I$89,3,0)*VLOOKUP('Données projet'!$B$14,Paramètres!$A$1:$I$89,5,0)</f>
        <v>114.24999999660002</v>
      </c>
      <c r="DQ51" s="13">
        <f t="shared" si="43"/>
        <v>30.330097813855687</v>
      </c>
      <c r="DR51" s="20">
        <f t="shared" si="16"/>
        <v>251.81033701987701</v>
      </c>
      <c r="DS51" s="59">
        <f t="shared" si="17"/>
        <v>527.33561126176073</v>
      </c>
      <c r="DT51" s="59">
        <f ca="1">AVERAGE(OFFSET($DS$3,0,0,'Données projet'!$E$14+1,1))-AVERAGE(OFFSET($H$3,0,0,'Données projet'!$E$14+1,1))</f>
        <v>206.5241977687125</v>
      </c>
      <c r="DU51" s="59">
        <f t="shared" si="44"/>
        <v>205.25001043771269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22.433592198714368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22.433592198714368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4</v>
      </c>
      <c r="EJ51" s="12">
        <f>IF('Données projet'!$A$192&gt;35,EJ50+EI51-ER50,IF(A51&lt;'Données projet'!$A$192,$EG$205^A51,IF(A51='Données projet'!$A$192,'Données projet'!$B$192,EJ50+EI51-ER50)))</f>
        <v>117.99999999999996</v>
      </c>
      <c r="EK51" s="17">
        <f>EJ51*VLOOKUP('Données projet'!$B$15,Paramètres!$A$1:$I$89,3,0)*VLOOKUP('Données projet'!$B$15,Paramètres!$A$1:$I$89,5,0)</f>
        <v>103.08479999999997</v>
      </c>
      <c r="EL51" s="13">
        <f t="shared" si="45"/>
        <v>27.695604088651635</v>
      </c>
      <c r="EM51" s="20">
        <f t="shared" si="19"/>
        <v>227.77587045440154</v>
      </c>
      <c r="EN51" s="59">
        <f t="shared" si="20"/>
        <v>503.30114469628529</v>
      </c>
      <c r="EO51" s="59">
        <f ca="1">AVERAGE(OFFSET($EN$3,0,0,'Données projet'!$E$15+1,1))-AVERAGE(OFFSET($H$3,0,0,'Données projet'!$E$15+1,1))</f>
        <v>205.83135724908942</v>
      </c>
      <c r="EP51" s="59">
        <f t="shared" si="46"/>
        <v>193.60053377311405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18.407564216298532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18.407564216298532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5.8</v>
      </c>
      <c r="FE51" s="12">
        <f>IF('Données projet'!$A$218&gt;35,FE50+FD51-FM50,IF(A51&lt;'Données projet'!$A$218,$FB$205^A51,IF(A51='Données projet'!$A$218,'Données projet'!$B$218,FE50+FD51-FM50)))</f>
        <v>172.40000000000003</v>
      </c>
      <c r="FF51" s="17">
        <f>FE51*VLOOKUP('Données projet'!$B$16,Paramètres!$A$1:$I$89,3,0)*VLOOKUP('Données projet'!$B$16,Paramètres!$A$1:$I$89,5,0)</f>
        <v>112.95648000000003</v>
      </c>
      <c r="FG51" s="13">
        <f t="shared" si="47"/>
        <v>30.026475458997034</v>
      </c>
      <c r="FH51" s="20">
        <f t="shared" si="22"/>
        <v>249.02864742441989</v>
      </c>
      <c r="FI51" s="59">
        <f t="shared" si="23"/>
        <v>524.55392166630372</v>
      </c>
      <c r="FJ51" s="59">
        <f ca="1">AVERAGE(OFFSET($FI$3,0,0,'Données projet'!$E$16+1,1))-AVERAGE(OFFSET($H$3,0,0,'Données projet'!$E$16+1,1))</f>
        <v>242.76791261317206</v>
      </c>
      <c r="FK51" s="59">
        <f t="shared" si="48"/>
        <v>244.28580264867682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17.360546318348586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17.360546318348586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9.2985714285714263</v>
      </c>
      <c r="FZ51" s="12">
        <f>IF('Données projet'!$A$244&gt;35,FZ50+FY51-GH50,IF(A51&lt;'Données projet'!$A$244,$FW$205^A51,IF(A51='Données projet'!$A$244,'Données projet'!$B$244,FZ50+FY51-GH50)))</f>
        <v>164.95428571428582</v>
      </c>
      <c r="GA51" s="17">
        <f>FZ51*VLOOKUP('Données projet'!$B$17,Paramètres!$A$1:$I$89,3,0)*VLOOKUP('Données projet'!$B$17,Paramètres!$A$1:$I$89,5,0)</f>
        <v>156.9704982857144</v>
      </c>
      <c r="GB51" s="13">
        <f t="shared" si="49"/>
        <v>40.158444481554447</v>
      </c>
      <c r="GC51" s="20">
        <f t="shared" si="25"/>
        <v>343.33290865299324</v>
      </c>
      <c r="GD51" s="59">
        <f t="shared" si="26"/>
        <v>618.85818289487702</v>
      </c>
      <c r="GE51" s="59">
        <f ca="1">AVERAGE(OFFSET($GD$3,0,0,'Données projet'!$E$17+1,1))-AVERAGE(OFFSET($H$3,0,0,'Données projet'!$E$17+1,1))</f>
        <v>512.71941256120977</v>
      </c>
      <c r="GF51" s="59">
        <f t="shared" si="50"/>
        <v>230.65031527019354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30.928365957349154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30.928365957349154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65.143256611422856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-5.6843418860808015E-14</v>
      </c>
      <c r="GV51" s="17">
        <f>GU51*VLOOKUP('Données projet'!$B$18,Paramètres!$A$1:$I$89,3,0)*VLOOKUP('Données projet'!$B$18,Paramètres!$A$1:$I$89,5,0)</f>
        <v>-2.5006556825246661E-14</v>
      </c>
      <c r="GW51" s="13" t="e">
        <f t="shared" si="51"/>
        <v>#NUM!</v>
      </c>
      <c r="GX51" s="20" t="e">
        <f t="shared" si="28"/>
        <v>#NUM!</v>
      </c>
      <c r="GY51" s="59" t="e">
        <f t="shared" si="29"/>
        <v>#NUM!</v>
      </c>
      <c r="GZ51" s="59">
        <f ca="1">AVERAGE(OFFSET($GY$3,0,0,'Données projet'!$E$18+1,1))-AVERAGE(OFFSET($H$3,0,0,'Données projet'!$E$18+1,1))</f>
        <v>180.68917161146683</v>
      </c>
      <c r="HA51" s="59">
        <f t="shared" si="52"/>
        <v>344.42126252322419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44.770055228310177</v>
      </c>
      <c r="HH51" s="21">
        <f>EXP(-LN(2)/25)*HH50+(1-EXP(-LN(2)/25))/(LN(2)/25)*Calculateur!HC51*Calculateur!HE51*VLOOKUP('Données projet'!$B$18,Paramètres!$A$1:$I$89,3,0)*0.475*44/12</f>
        <v>10.056216487776373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54.826271716086552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2.25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8.25</v>
      </c>
      <c r="H52" s="66">
        <f t="shared" si="1"/>
        <v>223.66666666666666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9.2985714285714263</v>
      </c>
      <c r="N52" s="13">
        <f>IF('Données projet'!$A$36&gt;35,N51+M52-V51,IF(A52&lt;'Données projet'!$A$36,$K$205^A52,IF(A52='Données projet'!$A$36,'Données projet'!$B$36,N51+M52-V51)))</f>
        <v>174.25285714285724</v>
      </c>
      <c r="O52" s="13">
        <f>N52*VLOOKUP('Données projet'!$B$9,Paramètres!$A$1:$I$89,3,0)*VLOOKUP('Données projet'!$B$9,Paramètres!$A$1:$I$89,5,0)</f>
        <v>157.66398514285723</v>
      </c>
      <c r="P52" s="13">
        <f t="shared" si="33"/>
        <v>40.315170567798205</v>
      </c>
      <c r="Q52" s="20">
        <f t="shared" si="53"/>
        <v>344.81369619605817</v>
      </c>
      <c r="R52" s="59">
        <f t="shared" si="0"/>
        <v>620.64790045032282</v>
      </c>
      <c r="S52" s="59">
        <f ca="1">AVERAGE(OFFSET($R$3,0,0,'Données projet'!$E$9+1,1))-AVERAGE(OFFSET($H$3,0,0,'Données projet'!$E$9+1,1))</f>
        <v>490.57849401500789</v>
      </c>
      <c r="T52" s="59">
        <f t="shared" si="34"/>
        <v>221.7570623669753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28.830639586741505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28.830639586741505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4.8292136753333335</v>
      </c>
      <c r="AI52" s="13">
        <f>IF('Données projet'!$A$62&gt;35,AI51+AH52-AQ51,IF(A52&lt;'Données projet'!$A$62,$AF$205^A52,IF(A52='Données projet'!$A$62,'Données projet'!$B$62,AI51+AH52-AQ51)))</f>
        <v>148.49864957133335</v>
      </c>
      <c r="AJ52" s="13">
        <f>AI52*VLOOKUP('Données projet'!$B$10,Paramètres!$A$1:$I$89,3,0)*VLOOKUP('Données projet'!$B$10,Paramètres!$A$1:$I$89,5,0)</f>
        <v>99.612894132450407</v>
      </c>
      <c r="AK52" s="13">
        <f t="shared" si="35"/>
        <v>26.869754106119174</v>
      </c>
      <c r="AL52" s="20">
        <f t="shared" si="4"/>
        <v>220.29061234884202</v>
      </c>
      <c r="AM52" s="59">
        <f t="shared" si="5"/>
        <v>496.12481660310675</v>
      </c>
      <c r="AN52" s="59">
        <f ca="1">AVERAGE(OFFSET($AM$3,0,0,'Données projet'!$E$10+1,1))-AVERAGE(OFFSET($H$3,0,0,'Données projet'!$E$10+1,1))</f>
        <v>377.00534440335832</v>
      </c>
      <c r="AO52" s="59">
        <f t="shared" si="36"/>
        <v>131.56029120000656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</v>
      </c>
      <c r="BD52" s="12">
        <f>IF('Données projet'!$A$88&gt;35,BD51+BC52-BL51,IF(A52&lt;'Données projet'!$A$88,$BA$205^A52,IF(A52='Données projet'!$A$88,'Données projet'!$B$88,BD51+BC52-BL51)))</f>
        <v>167.00000000000003</v>
      </c>
      <c r="BE52" s="13">
        <f>BD52*VLOOKUP('Données projet'!$B$11,Paramètres!$A$1:$I$89,3,0)*VLOOKUP('Données projet'!$B$11,Paramètres!$A$1:$I$89,5,0)</f>
        <v>145.89120000000005</v>
      </c>
      <c r="BF52" s="13">
        <f t="shared" si="37"/>
        <v>37.643342098399685</v>
      </c>
      <c r="BG52" s="20">
        <f t="shared" si="7"/>
        <v>319.65599415471291</v>
      </c>
      <c r="BH52" s="59">
        <f t="shared" si="8"/>
        <v>595.49019840897768</v>
      </c>
      <c r="BI52" s="59">
        <f ca="1">AVERAGE(OFFSET($BH$3,0,0,'Données projet'!$E$11+1,1))-AVERAGE(OFFSET($H$3,0,0,'Données projet'!$E$11+1,1))</f>
        <v>314.1123649635374</v>
      </c>
      <c r="BJ52" s="59">
        <f t="shared" si="38"/>
        <v>274.92342227914889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20.532907300235099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20.532907300235099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643.78530849468984</v>
      </c>
      <c r="CD52" s="59">
        <f ca="1">AVERAGE(OFFSET($CC$3,0,0,'Données projet'!$E$12+1,1))-AVERAGE(OFFSET($H$3,0,0,'Données projet'!$E$12+1,1))</f>
        <v>309.86296291630748</v>
      </c>
      <c r="CE52" s="59">
        <f t="shared" si="40"/>
        <v>301.17633325088661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30.286758761514172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30.286758761514172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206.00000000000003</v>
      </c>
      <c r="CU52" s="17">
        <f>CT52*VLOOKUP('Données projet'!$B$13,Paramètres!$A$1:$I$89,3,0)*VLOOKUP('Données projet'!$B$13,Paramètres!$A$1:$I$89,5,0)</f>
        <v>176.74800000000005</v>
      </c>
      <c r="CV52" s="13">
        <f t="shared" si="41"/>
        <v>44.597910160550732</v>
      </c>
      <c r="CW52" s="20">
        <f t="shared" si="13"/>
        <v>385.51079352962591</v>
      </c>
      <c r="CX52" s="59">
        <f t="shared" si="14"/>
        <v>661.34499778389068</v>
      </c>
      <c r="CY52" s="59">
        <f ca="1">AVERAGE(OFFSET($CX$3,0,0,'Données projet'!$E$13+1,1))-AVERAGE(OFFSET($H$3,0,0,'Données projet'!$E$13+1,1))</f>
        <v>462.66388549889928</v>
      </c>
      <c r="CZ52" s="59">
        <f t="shared" si="42"/>
        <v>265.3725203415089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35.448684679419138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35.448684679419138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6.6506410324999994</v>
      </c>
      <c r="DO52" s="12">
        <f>IF('Données projet'!$A$166&gt;35,DO51+DN52-DW51,IF(A52&lt;'Données projet'!$A$166,$DL$205^A52,IF(A52='Données projet'!$A$166,'Données projet'!$B$166,DO51+DN52-DW51)))</f>
        <v>153.12500000250003</v>
      </c>
      <c r="DP52" s="17">
        <f>DO52*VLOOKUP('Données projet'!$B$14,Paramètres!$A$1:$I$89,3,0)*VLOOKUP('Données projet'!$B$14,Paramètres!$A$1:$I$89,5,0)</f>
        <v>119.43750000195003</v>
      </c>
      <c r="DQ52" s="13">
        <f t="shared" si="43"/>
        <v>31.543769552955471</v>
      </c>
      <c r="DR52" s="20">
        <f t="shared" si="16"/>
        <v>262.95904447479376</v>
      </c>
      <c r="DS52" s="59">
        <f t="shared" si="17"/>
        <v>538.7932487290584</v>
      </c>
      <c r="DT52" s="59">
        <f ca="1">AVERAGE(OFFSET($DS$3,0,0,'Données projet'!$E$14+1,1))-AVERAGE(OFFSET($H$3,0,0,'Données projet'!$E$14+1,1))</f>
        <v>206.5241977687125</v>
      </c>
      <c r="DU52" s="59">
        <f t="shared" si="44"/>
        <v>205.25001043771269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21.993683138837724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21.993683138837724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4</v>
      </c>
      <c r="EJ52" s="12">
        <f>IF('Données projet'!$A$192&gt;35,EJ51+EI52-ER51,IF(A52&lt;'Données projet'!$A$192,$EG$205^A52,IF(A52='Données projet'!$A$192,'Données projet'!$B$192,EJ51+EI52-ER51)))</f>
        <v>121.99999999999996</v>
      </c>
      <c r="EK52" s="17">
        <f>EJ52*VLOOKUP('Données projet'!$B$15,Paramètres!$A$1:$I$89,3,0)*VLOOKUP('Données projet'!$B$15,Paramètres!$A$1:$I$89,5,0)</f>
        <v>106.57919999999997</v>
      </c>
      <c r="EL52" s="13">
        <f t="shared" si="45"/>
        <v>28.523541515222938</v>
      </c>
      <c r="EM52" s="20">
        <f t="shared" si="19"/>
        <v>235.30394147234654</v>
      </c>
      <c r="EN52" s="59">
        <f t="shared" si="20"/>
        <v>511.13814572661124</v>
      </c>
      <c r="EO52" s="59">
        <f ca="1">AVERAGE(OFFSET($EN$3,0,0,'Données projet'!$E$15+1,1))-AVERAGE(OFFSET($H$3,0,0,'Données projet'!$E$15+1,1))</f>
        <v>205.83135724908942</v>
      </c>
      <c r="EP52" s="59">
        <f t="shared" si="46"/>
        <v>193.60053377311405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18.046603109522465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18.046603109522465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5.8</v>
      </c>
      <c r="FE52" s="12">
        <f>IF('Données projet'!$A$218&gt;35,FE51+FD52-FM51,IF(A52&lt;'Données projet'!$A$218,$FB$205^A52,IF(A52='Données projet'!$A$218,'Données projet'!$B$218,FE51+FD52-FM51)))</f>
        <v>178.20000000000005</v>
      </c>
      <c r="FF52" s="17">
        <f>FE52*VLOOKUP('Données projet'!$B$16,Paramètres!$A$1:$I$89,3,0)*VLOOKUP('Données projet'!$B$16,Paramètres!$A$1:$I$89,5,0)</f>
        <v>116.75664000000003</v>
      </c>
      <c r="FG52" s="13">
        <f t="shared" si="47"/>
        <v>30.91733675897062</v>
      </c>
      <c r="FH52" s="20">
        <f t="shared" si="22"/>
        <v>257.19884285520715</v>
      </c>
      <c r="FI52" s="59">
        <f t="shared" si="23"/>
        <v>533.03304710947191</v>
      </c>
      <c r="FJ52" s="59">
        <f ca="1">AVERAGE(OFFSET($FI$3,0,0,'Données projet'!$E$16+1,1))-AVERAGE(OFFSET($H$3,0,0,'Données projet'!$E$16+1,1))</f>
        <v>242.76791261317206</v>
      </c>
      <c r="FK52" s="59">
        <f t="shared" si="48"/>
        <v>244.28580264867682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17.020116593933459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17.020116593933459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9.2985714285714263</v>
      </c>
      <c r="FZ52" s="12">
        <f>IF('Données projet'!$A$244&gt;35,FZ51+FY52-GH51,IF(A52&lt;'Données projet'!$A$244,$FW$205^A52,IF(A52='Données projet'!$A$244,'Données projet'!$B$244,FZ51+FY52-GH51)))</f>
        <v>174.25285714285724</v>
      </c>
      <c r="GA52" s="17">
        <f>FZ52*VLOOKUP('Données projet'!$B$17,Paramètres!$A$1:$I$89,3,0)*VLOOKUP('Données projet'!$B$17,Paramètres!$A$1:$I$89,5,0)</f>
        <v>165.81901885714296</v>
      </c>
      <c r="GB52" s="13">
        <f t="shared" si="49"/>
        <v>42.152270126164687</v>
      </c>
      <c r="GC52" s="20">
        <f t="shared" si="25"/>
        <v>362.21666164592745</v>
      </c>
      <c r="GD52" s="59">
        <f t="shared" si="26"/>
        <v>638.05086590019209</v>
      </c>
      <c r="GE52" s="59">
        <f ca="1">AVERAGE(OFFSET($GD$3,0,0,'Données projet'!$E$17+1,1))-AVERAGE(OFFSET($H$3,0,0,'Données projet'!$E$17+1,1))</f>
        <v>512.71941256120977</v>
      </c>
      <c r="GF52" s="59">
        <f t="shared" si="50"/>
        <v>230.65031527019354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30.321879565366061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30.321879565366061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65.227510251163096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-5.6843418860808015E-14</v>
      </c>
      <c r="GV52" s="17">
        <f>GU52*VLOOKUP('Données projet'!$B$18,Paramètres!$A$1:$I$89,3,0)*VLOOKUP('Données projet'!$B$18,Paramètres!$A$1:$I$89,5,0)</f>
        <v>-2.5006556825246661E-14</v>
      </c>
      <c r="GW52" s="13" t="e">
        <f t="shared" si="51"/>
        <v>#NUM!</v>
      </c>
      <c r="GX52" s="20" t="e">
        <f t="shared" si="28"/>
        <v>#NUM!</v>
      </c>
      <c r="GY52" s="59" t="e">
        <f t="shared" si="29"/>
        <v>#NUM!</v>
      </c>
      <c r="GZ52" s="59">
        <f ca="1">AVERAGE(OFFSET($GY$3,0,0,'Données projet'!$E$18+1,1))-AVERAGE(OFFSET($H$3,0,0,'Données projet'!$E$18+1,1))</f>
        <v>180.68917161146683</v>
      </c>
      <c r="HA52" s="59">
        <f t="shared" si="52"/>
        <v>344.42126252322419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43.892141752320356</v>
      </c>
      <c r="HH52" s="21">
        <f>EXP(-LN(2)/25)*HH51+(1-EXP(-LN(2)/25))/(LN(2)/25)*Calculateur!HC52*Calculateur!HE52*VLOOKUP('Données projet'!$B$18,Paramètres!$A$1:$I$89,3,0)*0.475*44/12</f>
        <v>9.7812287190846874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53.673370471405043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2.25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8.25</v>
      </c>
      <c r="H53" s="66">
        <f t="shared" si="1"/>
        <v>223.66666666666666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9.2985714285714263</v>
      </c>
      <c r="N53" s="13">
        <f>IF('Données projet'!$A$36&gt;35,N52+M53-V52,IF(A53&lt;'Données projet'!$A$36,$K$205^A53,IF(A53='Données projet'!$A$36,'Données projet'!$B$36,N52+M53-V52)))</f>
        <v>183.55142857142866</v>
      </c>
      <c r="O53" s="13">
        <f>N53*VLOOKUP('Données projet'!$B$9,Paramètres!$A$1:$I$89,3,0)*VLOOKUP('Données projet'!$B$9,Paramètres!$A$1:$I$89,5,0)</f>
        <v>166.07733257142866</v>
      </c>
      <c r="P53" s="13">
        <f t="shared" si="33"/>
        <v>42.210286481847923</v>
      </c>
      <c r="Q53" s="20">
        <f t="shared" si="53"/>
        <v>362.76760318445668</v>
      </c>
      <c r="R53" s="59">
        <f t="shared" si="0"/>
        <v>638.90537820605164</v>
      </c>
      <c r="S53" s="59">
        <f ca="1">AVERAGE(OFFSET($R$3,0,0,'Données projet'!$E$9+1,1))-AVERAGE(OFFSET($H$3,0,0,'Données projet'!$E$9+1,1))</f>
        <v>490.57849401500789</v>
      </c>
      <c r="T53" s="59">
        <f t="shared" si="34"/>
        <v>221.7570623669753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28.265288329399283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28.265288329399283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4.8292136753333335</v>
      </c>
      <c r="AI53" s="13">
        <f>IF('Données projet'!$A$62&gt;35,AI52+AH53-AQ52,IF(A53&lt;'Données projet'!$A$62,$AF$205^A53,IF(A53='Données projet'!$A$62,'Données projet'!$B$62,AI52+AH53-AQ52)))</f>
        <v>153.32786324666668</v>
      </c>
      <c r="AJ53" s="13">
        <f>AI53*VLOOKUP('Données projet'!$B$10,Paramètres!$A$1:$I$89,3,0)*VLOOKUP('Données projet'!$B$10,Paramètres!$A$1:$I$89,5,0)</f>
        <v>102.852330665864</v>
      </c>
      <c r="AK53" s="13">
        <f t="shared" si="35"/>
        <v>27.640409737396112</v>
      </c>
      <c r="AL53" s="20">
        <f t="shared" si="4"/>
        <v>227.27485620234469</v>
      </c>
      <c r="AM53" s="59">
        <f t="shared" si="5"/>
        <v>503.41263122393957</v>
      </c>
      <c r="AN53" s="59">
        <f ca="1">AVERAGE(OFFSET($AM$3,0,0,'Données projet'!$E$10+1,1))-AVERAGE(OFFSET($H$3,0,0,'Données projet'!$E$10+1,1))</f>
        <v>377.00534440335832</v>
      </c>
      <c r="AO53" s="59">
        <f t="shared" si="36"/>
        <v>131.56029120000656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173</v>
      </c>
      <c r="BB53" s="12">
        <f>VLOOKUP(A53,'Données projet'!$A$87:$I$107,9,0)</f>
        <v>6</v>
      </c>
      <c r="BC53" s="12">
        <f t="array" ref="BC53">INDEX(BB:BB,MIN(IF(ISNUMBER(BB53:BB249),ROW(BB53:BB249),"")))</f>
        <v>6</v>
      </c>
      <c r="BD53" s="12">
        <f>IF('Données projet'!$A$88&gt;35,BD52+BC53-BL52,IF(A53&lt;'Données projet'!$A$88,$BA$205^A53,IF(A53='Données projet'!$A$88,'Données projet'!$B$88,BD52+BC53-BL52)))</f>
        <v>173.00000000000003</v>
      </c>
      <c r="BE53" s="13">
        <f>BD53*VLOOKUP('Données projet'!$B$11,Paramètres!$A$1:$I$89,3,0)*VLOOKUP('Données projet'!$B$11,Paramètres!$A$1:$I$89,5,0)</f>
        <v>151.13280000000003</v>
      </c>
      <c r="BF53" s="13">
        <f t="shared" si="37"/>
        <v>38.835905653934425</v>
      </c>
      <c r="BG53" s="20">
        <f t="shared" si="7"/>
        <v>330.86216234726913</v>
      </c>
      <c r="BH53" s="59">
        <f t="shared" si="8"/>
        <v>606.99993736886404</v>
      </c>
      <c r="BI53" s="59">
        <f ca="1">AVERAGE(OFFSET($BH$3,0,0,'Données projet'!$E$11+1,1))-AVERAGE(OFFSET($H$3,0,0,'Données projet'!$E$11+1,1))</f>
        <v>314.1123649635374</v>
      </c>
      <c r="BJ53" s="59">
        <f t="shared" si="38"/>
        <v>274.92342227914889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18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27.605088780268598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27.605088780268598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656.2981033939169</v>
      </c>
      <c r="CD53" s="59">
        <f ca="1">AVERAGE(OFFSET($CC$3,0,0,'Données projet'!$E$12+1,1))-AVERAGE(OFFSET($H$3,0,0,'Données projet'!$E$12+1,1))</f>
        <v>309.86296291630748</v>
      </c>
      <c r="CE53" s="59">
        <f t="shared" si="40"/>
        <v>301.17633325088661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37.617259123246953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37.617259123246953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217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217.00000000000003</v>
      </c>
      <c r="CU53" s="17">
        <f>CT53*VLOOKUP('Données projet'!$B$13,Paramètres!$A$1:$I$89,3,0)*VLOOKUP('Données projet'!$B$13,Paramètres!$A$1:$I$89,5,0)</f>
        <v>186.18600000000004</v>
      </c>
      <c r="CV53" s="13">
        <f t="shared" si="41"/>
        <v>46.69573903947046</v>
      </c>
      <c r="CW53" s="20">
        <f t="shared" si="13"/>
        <v>405.60236216041108</v>
      </c>
      <c r="CX53" s="59">
        <f t="shared" si="14"/>
        <v>681.74013718200604</v>
      </c>
      <c r="CY53" s="59">
        <f ca="1">AVERAGE(OFFSET($CX$3,0,0,'Données projet'!$E$13+1,1))-AVERAGE(OFFSET($H$3,0,0,'Données projet'!$E$13+1,1))</f>
        <v>462.66388549889928</v>
      </c>
      <c r="CZ53" s="59">
        <f t="shared" si="42"/>
        <v>265.3725203415089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0.53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48.829202405305217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48.829202405305217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6.6506410324999994</v>
      </c>
      <c r="DO53" s="12">
        <f>IF('Données projet'!$A$166&gt;35,DO52+DN53-DW52,IF(A53&lt;'Données projet'!$A$166,$DL$205^A53,IF(A53='Données projet'!$A$166,'Données projet'!$B$166,DO52+DN53-DW52)))</f>
        <v>159.77564103500004</v>
      </c>
      <c r="DP53" s="17">
        <f>DO53*VLOOKUP('Données projet'!$B$14,Paramètres!$A$1:$I$89,3,0)*VLOOKUP('Données projet'!$B$14,Paramètres!$A$1:$I$89,5,0)</f>
        <v>124.62500000730003</v>
      </c>
      <c r="DQ53" s="13">
        <f t="shared" si="43"/>
        <v>32.751318937193531</v>
      </c>
      <c r="DR53" s="20">
        <f t="shared" si="16"/>
        <v>274.09708882832632</v>
      </c>
      <c r="DS53" s="59">
        <f t="shared" si="17"/>
        <v>550.23486384992123</v>
      </c>
      <c r="DT53" s="59">
        <f ca="1">AVERAGE(OFFSET($DS$3,0,0,'Données projet'!$E$14+1,1))-AVERAGE(OFFSET($H$3,0,0,'Données projet'!$E$14+1,1))</f>
        <v>206.5241977687125</v>
      </c>
      <c r="DU53" s="59">
        <f t="shared" si="44"/>
        <v>205.25001043771269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21.562400427307228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21.562400427307228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126</v>
      </c>
      <c r="EH53" s="12">
        <f>VLOOKUP(A53,'Données projet'!$A$191:$I$211,9,0)</f>
        <v>4</v>
      </c>
      <c r="EI53" s="12">
        <f t="array" ref="EI53">INDEX(EH:EH,MIN(IF(ISNUMBER(EH53:EH249),ROW(EH53:EH249),"")))</f>
        <v>4</v>
      </c>
      <c r="EJ53" s="12">
        <f>IF('Données projet'!$A$192&gt;35,EJ52+EI53-ER52,IF(A53&lt;'Données projet'!$A$192,$EG$205^A53,IF(A53='Données projet'!$A$192,'Données projet'!$B$192,EJ52+EI53-ER52)))</f>
        <v>125.99999999999996</v>
      </c>
      <c r="EK53" s="17">
        <f>EJ53*VLOOKUP('Données projet'!$B$15,Paramètres!$A$1:$I$89,3,0)*VLOOKUP('Données projet'!$B$15,Paramètres!$A$1:$I$89,5,0)</f>
        <v>110.07359999999998</v>
      </c>
      <c r="EL53" s="13">
        <f t="shared" si="45"/>
        <v>29.348324631518803</v>
      </c>
      <c r="EM53" s="20">
        <f t="shared" si="19"/>
        <v>242.82651873322848</v>
      </c>
      <c r="EN53" s="59">
        <f t="shared" si="20"/>
        <v>518.96429375482342</v>
      </c>
      <c r="EO53" s="59">
        <f ca="1">AVERAGE(OFFSET($EN$3,0,0,'Données projet'!$E$15+1,1))-AVERAGE(OFFSET($H$3,0,0,'Données projet'!$E$15+1,1))</f>
        <v>205.83135724908942</v>
      </c>
      <c r="EP53" s="59">
        <f t="shared" si="46"/>
        <v>193.60053377311405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11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23.322978154240456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23.322978154240456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184</v>
      </c>
      <c r="FC53" s="12">
        <f>VLOOKUP(A53,'Données projet'!$A$217:$I$237,9,0)</f>
        <v>5.8</v>
      </c>
      <c r="FD53" s="12">
        <f t="array" ref="FD53">INDEX(FC:FC,MIN(IF(ISNUMBER(FC53:FC249),ROW(FC53:FC249),"")))</f>
        <v>5.8</v>
      </c>
      <c r="FE53" s="12">
        <f>IF('Données projet'!$A$218&gt;35,FE52+FD53-FM52,IF(A53&lt;'Données projet'!$A$218,$FB$205^A53,IF(A53='Données projet'!$A$218,'Données projet'!$B$218,FE52+FD53-FM52)))</f>
        <v>184.00000000000006</v>
      </c>
      <c r="FF53" s="17">
        <f>FE53*VLOOKUP('Données projet'!$B$16,Paramètres!$A$1:$I$89,3,0)*VLOOKUP('Données projet'!$B$16,Paramètres!$A$1:$I$89,5,0)</f>
        <v>120.55680000000002</v>
      </c>
      <c r="FG53" s="13">
        <f t="shared" si="47"/>
        <v>31.804828741198779</v>
      </c>
      <c r="FH53" s="20">
        <f t="shared" si="22"/>
        <v>265.36317005758792</v>
      </c>
      <c r="FI53" s="59">
        <f t="shared" si="23"/>
        <v>541.50094507918288</v>
      </c>
      <c r="FJ53" s="59">
        <f ca="1">AVERAGE(OFFSET($FI$3,0,0,'Données projet'!$E$16+1,1))-AVERAGE(OFFSET($H$3,0,0,'Données projet'!$E$16+1,1))</f>
        <v>242.76791261317206</v>
      </c>
      <c r="FK53" s="59">
        <f t="shared" si="48"/>
        <v>244.28580264867682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21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23.226829348582484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23.226829348582484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9.2985714285714263</v>
      </c>
      <c r="FZ53" s="12">
        <f>IF('Données projet'!$A$244&gt;35,FZ52+FY53-GH52,IF(A53&lt;'Données projet'!$A$244,$FW$205^A53,IF(A53='Données projet'!$A$244,'Données projet'!$B$244,FZ52+FY53-GH52)))</f>
        <v>183.55142857142866</v>
      </c>
      <c r="GA53" s="17">
        <f>FZ53*VLOOKUP('Données projet'!$B$17,Paramètres!$A$1:$I$89,3,0)*VLOOKUP('Données projet'!$B$17,Paramètres!$A$1:$I$89,5,0)</f>
        <v>174.6675394285715</v>
      </c>
      <c r="GB53" s="13">
        <f t="shared" si="49"/>
        <v>44.133743522018911</v>
      </c>
      <c r="GC53" s="20">
        <f t="shared" si="25"/>
        <v>381.0789011389449</v>
      </c>
      <c r="GD53" s="59">
        <f t="shared" si="26"/>
        <v>657.21667616053981</v>
      </c>
      <c r="GE53" s="59">
        <f ca="1">AVERAGE(OFFSET($GD$3,0,0,'Données projet'!$E$17+1,1))-AVERAGE(OFFSET($H$3,0,0,'Données projet'!$E$17+1,1))</f>
        <v>512.71941256120977</v>
      </c>
      <c r="GF53" s="59">
        <f t="shared" si="50"/>
        <v>230.65031527019354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29.727286001609585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29.727286001609585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65.310302278616788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-5.6843418860808015E-14</v>
      </c>
      <c r="GV53" s="17">
        <f>GU53*VLOOKUP('Données projet'!$B$18,Paramètres!$A$1:$I$89,3,0)*VLOOKUP('Données projet'!$B$18,Paramètres!$A$1:$I$89,5,0)</f>
        <v>-2.5006556825246661E-14</v>
      </c>
      <c r="GW53" s="13" t="e">
        <f t="shared" si="51"/>
        <v>#NUM!</v>
      </c>
      <c r="GX53" s="20" t="e">
        <f t="shared" si="28"/>
        <v>#NUM!</v>
      </c>
      <c r="GY53" s="59" t="e">
        <f t="shared" si="29"/>
        <v>#NUM!</v>
      </c>
      <c r="GZ53" s="59">
        <f ca="1">AVERAGE(OFFSET($GY$3,0,0,'Données projet'!$E$18+1,1))-AVERAGE(OFFSET($H$3,0,0,'Données projet'!$E$18+1,1))</f>
        <v>180.68917161146683</v>
      </c>
      <c r="HA53" s="59">
        <f t="shared" si="52"/>
        <v>344.42126252322419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43.03144362412035</v>
      </c>
      <c r="HH53" s="21">
        <f>EXP(-LN(2)/25)*HH52+(1-EXP(-LN(2)/25))/(LN(2)/25)*Calculateur!HC53*Calculateur!HE53*VLOOKUP('Données projet'!$B$18,Paramètres!$A$1:$I$89,3,0)*0.475*44/12</f>
        <v>9.5137605053888539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52.545204129509202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2.25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8.25</v>
      </c>
      <c r="H54" s="66">
        <f t="shared" si="1"/>
        <v>223.66666666666666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192.85</v>
      </c>
      <c r="L54" s="12">
        <f>VLOOKUP(A54,'Données projet'!$A$35:$I$55,9,0)</f>
        <v>9.2985714285714263</v>
      </c>
      <c r="M54" s="12">
        <f t="array" ref="M54">INDEX(L:L,MIN(IF(ISNUMBER(L54:L250),ROW(L54:L250),"")))</f>
        <v>9.2985714285714263</v>
      </c>
      <c r="N54" s="13">
        <f>IF('Données projet'!$A$36&gt;35,N53+M54-V53,IF(A54&lt;'Données projet'!$A$36,$K$205^A54,IF(A54='Données projet'!$A$36,'Données projet'!$B$36,N53+M54-V53)))</f>
        <v>192.85000000000008</v>
      </c>
      <c r="O54" s="13">
        <f>N54*VLOOKUP('Données projet'!$B$9,Paramètres!$A$1:$I$89,3,0)*VLOOKUP('Données projet'!$B$9,Paramètres!$A$1:$I$89,5,0)</f>
        <v>174.49068000000005</v>
      </c>
      <c r="P54" s="13">
        <f t="shared" si="33"/>
        <v>44.094255253499078</v>
      </c>
      <c r="Q54" s="20">
        <f t="shared" si="53"/>
        <v>380.70209556651093</v>
      </c>
      <c r="R54" s="59">
        <f t="shared" si="0"/>
        <v>657.13817508130523</v>
      </c>
      <c r="S54" s="59">
        <f ca="1">AVERAGE(OFFSET($R$3,0,0,'Données projet'!$E$9+1,1))-AVERAGE(OFFSET($H$3,0,0,'Données projet'!$E$9+1,1))</f>
        <v>490.57849401500789</v>
      </c>
      <c r="T54" s="59">
        <f t="shared" si="34"/>
        <v>221.7570623669753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46.13</v>
      </c>
      <c r="W54" s="16">
        <f>IF(ISNA(VLOOKUP(A54,'Données projet'!$A$35:$I$55,5,0)),0%,VLOOKUP(A54,'Données projet'!$A$35:$I$55,5,0)*VLOOKUP('Données projet'!$B$9,Paramètres!$A$1:$I$89,7,0))</f>
        <v>0.43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47.551477576149814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47.551477576149814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4.8292136753333335</v>
      </c>
      <c r="AI54" s="13">
        <f>IF('Données projet'!$A$62&gt;35,AI53+AH54-AQ53,IF(A54&lt;'Données projet'!$A$62,$AF$205^A54,IF(A54='Données projet'!$A$62,'Données projet'!$B$62,AI53+AH54-AQ53)))</f>
        <v>158.15707692200002</v>
      </c>
      <c r="AJ54" s="13">
        <f>AI54*VLOOKUP('Données projet'!$B$10,Paramètres!$A$1:$I$89,3,0)*VLOOKUP('Données projet'!$B$10,Paramètres!$A$1:$I$89,5,0)</f>
        <v>106.09176719927761</v>
      </c>
      <c r="AK54" s="13">
        <f t="shared" si="35"/>
        <v>28.408244721953594</v>
      </c>
      <c r="AL54" s="20">
        <f t="shared" si="4"/>
        <v>234.25418742947764</v>
      </c>
      <c r="AM54" s="59">
        <f t="shared" si="5"/>
        <v>510.69026694427203</v>
      </c>
      <c r="AN54" s="59">
        <f ca="1">AVERAGE(OFFSET($AM$3,0,0,'Données projet'!$E$10+1,1))-AVERAGE(OFFSET($H$3,0,0,'Données projet'!$E$10+1,1))</f>
        <v>377.00534440335832</v>
      </c>
      <c r="AO54" s="59">
        <f t="shared" si="36"/>
        <v>131.56029120000656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5.2</v>
      </c>
      <c r="BD54" s="12">
        <f>IF('Données projet'!$A$88&gt;35,BD53+BC54-BL53,IF(A54&lt;'Données projet'!$A$88,$BA$205^A54,IF(A54='Données projet'!$A$88,'Données projet'!$B$88,BD53+BC54-BL53)))</f>
        <v>160.20000000000002</v>
      </c>
      <c r="BE54" s="13">
        <f>BD54*VLOOKUP('Données projet'!$B$11,Paramètres!$A$1:$I$89,3,0)*VLOOKUP('Données projet'!$B$11,Paramètres!$A$1:$I$89,5,0)</f>
        <v>139.95072000000002</v>
      </c>
      <c r="BF54" s="13">
        <f t="shared" si="37"/>
        <v>36.285715907711918</v>
      </c>
      <c r="BG54" s="20">
        <f t="shared" si="7"/>
        <v>306.94512587259828</v>
      </c>
      <c r="BH54" s="59">
        <f t="shared" si="8"/>
        <v>583.38120538739258</v>
      </c>
      <c r="BI54" s="59">
        <f ca="1">AVERAGE(OFFSET($BH$3,0,0,'Données projet'!$E$11+1,1))-AVERAGE(OFFSET($H$3,0,0,'Données projet'!$E$11+1,1))</f>
        <v>314.1123649635374</v>
      </c>
      <c r="BJ54" s="59">
        <f t="shared" si="38"/>
        <v>274.92342227914889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27.063769826729128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27.063769826729128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637.93987898418141</v>
      </c>
      <c r="CD54" s="59">
        <f ca="1">AVERAGE(OFFSET($CC$3,0,0,'Données projet'!$E$12+1,1))-AVERAGE(OFFSET($H$3,0,0,'Données projet'!$E$12+1,1))</f>
        <v>309.86296291630748</v>
      </c>
      <c r="CE54" s="59">
        <f t="shared" si="40"/>
        <v>301.17633325088661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36.879607616102589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36.879607616102589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11</v>
      </c>
      <c r="CT54" s="12">
        <f>IF('Données projet'!$A$140&gt;35,CT53+CS54-DB53,IF(A54&lt;'Données projet'!$A$140,$CQ$205^A54,IF(A54='Données projet'!$A$140,'Données projet'!$B$140,CT53+CS54-DB53)))</f>
        <v>200.00000000000003</v>
      </c>
      <c r="CU54" s="17">
        <f>CT54*VLOOKUP('Données projet'!$B$13,Paramètres!$A$1:$I$89,3,0)*VLOOKUP('Données projet'!$B$13,Paramètres!$A$1:$I$89,5,0)</f>
        <v>171.60000000000005</v>
      </c>
      <c r="CV54" s="13">
        <f t="shared" si="41"/>
        <v>43.44817475464852</v>
      </c>
      <c r="CW54" s="20">
        <f t="shared" si="13"/>
        <v>374.54223769767958</v>
      </c>
      <c r="CX54" s="59">
        <f t="shared" si="14"/>
        <v>650.97831721247394</v>
      </c>
      <c r="CY54" s="59">
        <f ca="1">AVERAGE(OFFSET($CX$3,0,0,'Données projet'!$E$13+1,1))-AVERAGE(OFFSET($H$3,0,0,'Données projet'!$E$13+1,1))</f>
        <v>462.66388549889928</v>
      </c>
      <c r="CZ54" s="59">
        <f t="shared" si="42"/>
        <v>265.3725203415089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47.871691529009837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47.871691529009837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6.6506410324999994</v>
      </c>
      <c r="DO54" s="12">
        <f>IF('Données projet'!$A$166&gt;35,DO53+DN54-DW53,IF(A54&lt;'Données projet'!$A$166,$DL$205^A54,IF(A54='Données projet'!$A$166,'Données projet'!$B$166,DO53+DN54-DW53)))</f>
        <v>166.42628206750004</v>
      </c>
      <c r="DP54" s="17">
        <f>DO54*VLOOKUP('Données projet'!$B$14,Paramètres!$A$1:$I$89,3,0)*VLOOKUP('Données projet'!$B$14,Paramètres!$A$1:$I$89,5,0)</f>
        <v>129.81250001265005</v>
      </c>
      <c r="DQ54" s="13">
        <f t="shared" si="43"/>
        <v>33.953029951592264</v>
      </c>
      <c r="DR54" s="20">
        <f t="shared" si="16"/>
        <v>285.22496468772198</v>
      </c>
      <c r="DS54" s="59">
        <f t="shared" si="17"/>
        <v>561.66104420251634</v>
      </c>
      <c r="DT54" s="59">
        <f ca="1">AVERAGE(OFFSET($DS$3,0,0,'Données projet'!$E$14+1,1))-AVERAGE(OFFSET($H$3,0,0,'Données projet'!$E$14+1,1))</f>
        <v>206.5241977687125</v>
      </c>
      <c r="DU54" s="59">
        <f t="shared" si="44"/>
        <v>205.25001043771269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21.139574906693365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21.139574906693365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3.8</v>
      </c>
      <c r="EJ54" s="12">
        <f>IF('Données projet'!$A$192&gt;35,EJ53+EI54-ER53,IF(A54&lt;'Données projet'!$A$192,$EG$205^A54,IF(A54='Données projet'!$A$192,'Données projet'!$B$192,EJ53+EI54-ER53)))</f>
        <v>118.79999999999995</v>
      </c>
      <c r="EK54" s="17">
        <f>EJ54*VLOOKUP('Données projet'!$B$15,Paramètres!$A$1:$I$89,3,0)*VLOOKUP('Données projet'!$B$15,Paramètres!$A$1:$I$89,5,0)</f>
        <v>103.78367999999996</v>
      </c>
      <c r="EL54" s="13">
        <f t="shared" si="45"/>
        <v>27.861449539780477</v>
      </c>
      <c r="EM54" s="20">
        <f t="shared" si="19"/>
        <v>229.28193394845093</v>
      </c>
      <c r="EN54" s="59">
        <f t="shared" si="20"/>
        <v>505.71801346324526</v>
      </c>
      <c r="EO54" s="59">
        <f ca="1">AVERAGE(OFFSET($EN$3,0,0,'Données projet'!$E$15+1,1))-AVERAGE(OFFSET($H$3,0,0,'Données projet'!$E$15+1,1))</f>
        <v>205.83135724908942</v>
      </c>
      <c r="EP54" s="59">
        <f t="shared" si="46"/>
        <v>193.60053377311405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22.865628778247814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22.865628778247814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5.6</v>
      </c>
      <c r="FE54" s="12">
        <f>IF('Données projet'!$A$218&gt;35,FE53+FD54-FM53,IF(A54&lt;'Données projet'!$A$218,$FB$205^A54,IF(A54='Données projet'!$A$218,'Données projet'!$B$218,FE53+FD54-FM53)))</f>
        <v>168.60000000000005</v>
      </c>
      <c r="FF54" s="17">
        <f>FE54*VLOOKUP('Données projet'!$B$16,Paramètres!$A$1:$I$89,3,0)*VLOOKUP('Données projet'!$B$16,Paramètres!$A$1:$I$89,5,0)</f>
        <v>110.46672000000002</v>
      </c>
      <c r="FG54" s="13">
        <f t="shared" si="47"/>
        <v>29.440920333682921</v>
      </c>
      <c r="FH54" s="20">
        <f t="shared" si="22"/>
        <v>243.67247358116444</v>
      </c>
      <c r="FI54" s="59">
        <f t="shared" si="23"/>
        <v>520.10855309595877</v>
      </c>
      <c r="FJ54" s="59">
        <f ca="1">AVERAGE(OFFSET($FI$3,0,0,'Données projet'!$E$16+1,1))-AVERAGE(OFFSET($H$3,0,0,'Données projet'!$E$16+1,1))</f>
        <v>242.76791261317206</v>
      </c>
      <c r="FK54" s="59">
        <f t="shared" si="48"/>
        <v>244.28580264867682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22.771365392023814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22.771365392023814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>
        <f>VLOOKUP(A54,'Données projet'!$A$243:$I$263,2,0)</f>
        <v>192.85</v>
      </c>
      <c r="FX54" s="12">
        <f>VLOOKUP(A54,'Données projet'!$A$243:$I$263,9,0)</f>
        <v>9.2985714285714263</v>
      </c>
      <c r="FY54" s="12">
        <f t="array" ref="FY54">INDEX(FX:FX,MIN(IF(ISNUMBER(FX54:FX250),ROW(FX54:FX250),"")))</f>
        <v>9.2985714285714263</v>
      </c>
      <c r="FZ54" s="12">
        <f>IF('Données projet'!$A$244&gt;35,FZ53+FY54-GH53,IF(A54&lt;'Données projet'!$A$244,$FW$205^A54,IF(A54='Données projet'!$A$244,'Données projet'!$B$244,FZ53+FY54-GH53)))</f>
        <v>192.85000000000008</v>
      </c>
      <c r="GA54" s="17">
        <f>FZ54*VLOOKUP('Données projet'!$B$17,Paramètres!$A$1:$I$89,3,0)*VLOOKUP('Données projet'!$B$17,Paramètres!$A$1:$I$89,5,0)</f>
        <v>183.5160600000001</v>
      </c>
      <c r="GB54" s="13">
        <f t="shared" si="49"/>
        <v>46.103561817549824</v>
      </c>
      <c r="GC54" s="20">
        <f t="shared" si="25"/>
        <v>399.92084133223278</v>
      </c>
      <c r="GD54" s="59">
        <f t="shared" si="26"/>
        <v>676.35692084702714</v>
      </c>
      <c r="GE54" s="59">
        <f ca="1">AVERAGE(OFFSET($GD$3,0,0,'Données projet'!$E$17+1,1))-AVERAGE(OFFSET($H$3,0,0,'Données projet'!$E$17+1,1))</f>
        <v>512.71941256120977</v>
      </c>
      <c r="GF54" s="59">
        <f t="shared" si="50"/>
        <v>230.65031527019354</v>
      </c>
      <c r="GG54" s="15">
        <f>IF(ISNA(VLOOKUP(A54,'Données projet'!$A$243:$I$263,3,0)),0,VLOOKUP(A54,'Données projet'!$A$243:$I$263,3,0))</f>
        <v>2</v>
      </c>
      <c r="GH54" s="15">
        <f>IF(ISNA(VLOOKUP(A54,'Données projet'!$A$243:$I$263,4,0)),0,VLOOKUP(A54,'Données projet'!$A$243:$I$263,4,0))</f>
        <v>46.13</v>
      </c>
      <c r="GI54" s="16">
        <f>IF(ISNA(VLOOKUP(A54,'Données projet'!$A$243:$I$263,5,0)),0%,VLOOKUP(A54,'Données projet'!$A$243:$I$263,5,0)*VLOOKUP('Données projet'!$B$17,Paramètres!$A$1:$I$89,7,0))</f>
        <v>0.43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50.01103676112308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50.01103676112308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65.391658049489379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-5.6843418860808015E-14</v>
      </c>
      <c r="GV54" s="17">
        <f>GU54*VLOOKUP('Données projet'!$B$18,Paramètres!$A$1:$I$89,3,0)*VLOOKUP('Données projet'!$B$18,Paramètres!$A$1:$I$89,5,0)</f>
        <v>-2.5006556825246661E-14</v>
      </c>
      <c r="GW54" s="13" t="e">
        <f t="shared" si="51"/>
        <v>#NUM!</v>
      </c>
      <c r="GX54" s="20" t="e">
        <f t="shared" si="28"/>
        <v>#NUM!</v>
      </c>
      <c r="GY54" s="59" t="e">
        <f t="shared" si="29"/>
        <v>#NUM!</v>
      </c>
      <c r="GZ54" s="59">
        <f ca="1">AVERAGE(OFFSET($GY$3,0,0,'Données projet'!$E$18+1,1))-AVERAGE(OFFSET($H$3,0,0,'Données projet'!$E$18+1,1))</f>
        <v>180.68917161146683</v>
      </c>
      <c r="HA54" s="59">
        <f t="shared" si="52"/>
        <v>344.42126252322419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42.187623261240326</v>
      </c>
      <c r="HH54" s="21">
        <f>EXP(-LN(2)/25)*HH53+(1-EXP(-LN(2)/25))/(LN(2)/25)*Calculateur!HC54*Calculateur!HE54*VLOOKUP('Données projet'!$B$18,Paramètres!$A$1:$I$89,3,0)*0.475*44/12</f>
        <v>9.2536062240620751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51.441229485302401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2.25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8.25</v>
      </c>
      <c r="H55" s="66">
        <f t="shared" si="1"/>
        <v>223.66666666666666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8.8225000000000016</v>
      </c>
      <c r="N55" s="13">
        <f>IF('Données projet'!$A$36&gt;35,N54+M55-V54,IF(A55&lt;'Données projet'!$A$36,$K$205^A55,IF(A55='Données projet'!$A$36,'Données projet'!$B$36,N54+M55-V54)))</f>
        <v>155.54250000000008</v>
      </c>
      <c r="O55" s="13">
        <f>N55*VLOOKUP('Données projet'!$B$9,Paramètres!$A$1:$I$89,3,0)*VLOOKUP('Données projet'!$B$9,Paramètres!$A$1:$I$89,5,0)</f>
        <v>140.73485400000007</v>
      </c>
      <c r="P55" s="13">
        <f t="shared" si="33"/>
        <v>36.465298899909563</v>
      </c>
      <c r="Q55" s="20">
        <f t="shared" si="53"/>
        <v>308.62359963400928</v>
      </c>
      <c r="R55" s="59">
        <f t="shared" si="0"/>
        <v>585.35280872595513</v>
      </c>
      <c r="S55" s="59">
        <f ca="1">AVERAGE(OFFSET($R$3,0,0,'Données projet'!$E$9+1,1))-AVERAGE(OFFSET($H$3,0,0,'Données projet'!$E$9+1,1))</f>
        <v>490.57849401500789</v>
      </c>
      <c r="T55" s="59">
        <f t="shared" si="34"/>
        <v>221.7570623669753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46.619022104418974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46.619022104418974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4.8292136753333335</v>
      </c>
      <c r="AI55" s="13">
        <f>IF('Données projet'!$A$62&gt;35,AI54+AH55-AQ54,IF(A55&lt;'Données projet'!$A$62,$AF$205^A55,IF(A55='Données projet'!$A$62,'Données projet'!$B$62,AI54+AH55-AQ54)))</f>
        <v>162.98629059733335</v>
      </c>
      <c r="AJ55" s="13">
        <f>AI55*VLOOKUP('Données projet'!$B$10,Paramètres!$A$1:$I$89,3,0)*VLOOKUP('Données projet'!$B$10,Paramètres!$A$1:$I$89,5,0)</f>
        <v>109.33120373269121</v>
      </c>
      <c r="AK55" s="13">
        <f t="shared" si="35"/>
        <v>29.173355070941025</v>
      </c>
      <c r="AL55" s="20">
        <f t="shared" si="4"/>
        <v>241.22877324965941</v>
      </c>
      <c r="AM55" s="59">
        <f t="shared" si="5"/>
        <v>517.9579823416052</v>
      </c>
      <c r="AN55" s="59">
        <f ca="1">AVERAGE(OFFSET($AM$3,0,0,'Données projet'!$E$10+1,1))-AVERAGE(OFFSET($H$3,0,0,'Données projet'!$E$10+1,1))</f>
        <v>377.00534440335832</v>
      </c>
      <c r="AO55" s="59">
        <f t="shared" si="36"/>
        <v>131.56029120000656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5.2</v>
      </c>
      <c r="BD55" s="12">
        <f>IF('Données projet'!$A$88&gt;35,BD54+BC55-BL54,IF(A55&lt;'Données projet'!$A$88,$BA$205^A55,IF(A55='Données projet'!$A$88,'Données projet'!$B$88,BD54+BC55-BL54)))</f>
        <v>165.4</v>
      </c>
      <c r="BE55" s="13">
        <f>BD55*VLOOKUP('Données projet'!$B$11,Paramètres!$A$1:$I$89,3,0)*VLOOKUP('Données projet'!$B$11,Paramètres!$A$1:$I$89,5,0)</f>
        <v>144.49344000000002</v>
      </c>
      <c r="BF55" s="13">
        <f t="shared" si="37"/>
        <v>37.324489208332842</v>
      </c>
      <c r="BG55" s="20">
        <f t="shared" si="7"/>
        <v>316.66622670451306</v>
      </c>
      <c r="BH55" s="59">
        <f t="shared" si="8"/>
        <v>593.39543579645897</v>
      </c>
      <c r="BI55" s="59">
        <f ca="1">AVERAGE(OFFSET($BH$3,0,0,'Données projet'!$E$11+1,1))-AVERAGE(OFFSET($H$3,0,0,'Données projet'!$E$11+1,1))</f>
        <v>314.1123649635374</v>
      </c>
      <c r="BJ55" s="59">
        <f t="shared" si="38"/>
        <v>274.92342227914889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26.533065807696609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26.533065807696609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648.41183340687212</v>
      </c>
      <c r="CD55" s="59">
        <f ca="1">AVERAGE(OFFSET($CC$3,0,0,'Données projet'!$E$12+1,1))-AVERAGE(OFFSET($H$3,0,0,'Données projet'!$E$12+1,1))</f>
        <v>309.86296291630748</v>
      </c>
      <c r="CE55" s="59">
        <f t="shared" si="40"/>
        <v>301.17633325088661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36.15642100509033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36.15642100509033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11</v>
      </c>
      <c r="CT55" s="12">
        <f>IF('Données projet'!$A$140&gt;35,CT54+CS55-DB54,IF(A55&lt;'Données projet'!$A$140,$CQ$205^A55,IF(A55='Données projet'!$A$140,'Données projet'!$B$140,CT54+CS55-DB54)))</f>
        <v>211.00000000000003</v>
      </c>
      <c r="CU55" s="17">
        <f>CT55*VLOOKUP('Données projet'!$B$13,Paramètres!$A$1:$I$89,3,0)*VLOOKUP('Données projet'!$B$13,Paramètres!$A$1:$I$89,5,0)</f>
        <v>181.03800000000004</v>
      </c>
      <c r="CV55" s="13">
        <f t="shared" si="41"/>
        <v>45.553044701671382</v>
      </c>
      <c r="CW55" s="20">
        <f t="shared" si="13"/>
        <v>394.64606952207765</v>
      </c>
      <c r="CX55" s="59">
        <f t="shared" si="14"/>
        <v>671.3752786140235</v>
      </c>
      <c r="CY55" s="59">
        <f ca="1">AVERAGE(OFFSET($CX$3,0,0,'Données projet'!$E$13+1,1))-AVERAGE(OFFSET($H$3,0,0,'Données projet'!$E$13+1,1))</f>
        <v>462.66388549889928</v>
      </c>
      <c r="CZ55" s="59">
        <f t="shared" si="42"/>
        <v>265.3725203415089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46.932956856974641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46.932956856974641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173.07692309999999</v>
      </c>
      <c r="DM55" s="12">
        <f>VLOOKUP(A55,'Données projet'!$A$165:$I$185,9,0)</f>
        <v>6.6506410324999994</v>
      </c>
      <c r="DN55" s="12">
        <f t="array" ref="DN55">INDEX(DM:DM,MIN(IF(ISNUMBER(DM55:DM251),ROW(DM55:DM251),"")))</f>
        <v>6.6506410324999994</v>
      </c>
      <c r="DO55" s="12">
        <f>IF('Données projet'!$A$166&gt;35,DO54+DN55-DW54,IF(A55&lt;'Données projet'!$A$166,$DL$205^A55,IF(A55='Données projet'!$A$166,'Données projet'!$B$166,DO54+DN55-DW54)))</f>
        <v>173.07692310000004</v>
      </c>
      <c r="DP55" s="17">
        <f>DO55*VLOOKUP('Données projet'!$B$14,Paramètres!$A$1:$I$89,3,0)*VLOOKUP('Données projet'!$B$14,Paramètres!$A$1:$I$89,5,0)</f>
        <v>135.00000001800004</v>
      </c>
      <c r="DQ55" s="13">
        <f t="shared" si="43"/>
        <v>35.149162599515279</v>
      </c>
      <c r="DR55" s="20">
        <f t="shared" si="16"/>
        <v>296.34312489217251</v>
      </c>
      <c r="DS55" s="59">
        <f t="shared" si="17"/>
        <v>573.07233398411836</v>
      </c>
      <c r="DT55" s="59">
        <f ca="1">AVERAGE(OFFSET($DS$3,0,0,'Données projet'!$E$14+1,1))-AVERAGE(OFFSET($H$3,0,0,'Données projet'!$E$14+1,1))</f>
        <v>206.5241977687125</v>
      </c>
      <c r="DU55" s="59">
        <f t="shared" si="44"/>
        <v>205.25001043771269</v>
      </c>
      <c r="DV55" s="15">
        <f>IF(ISNA(VLOOKUP(A55,'Données projet'!$A$165:$I$185,3,0)),0,VLOOKUP(A55,'Données projet'!$A$165:$I$185,3,0))</f>
        <v>7</v>
      </c>
      <c r="DW55" s="15">
        <f>IF(ISNA(VLOOKUP(A55,'Données projet'!$A$165:$I$185,4,0)),0,VLOOKUP(A55,'Données projet'!$A$165:$I$185,4,0))</f>
        <v>30.76923077</v>
      </c>
      <c r="DX55" s="16">
        <f>IF(ISNA(VLOOKUP(A55,'Données projet'!$A$165:$I$185,5,0)),0%,VLOOKUP(A55,'Données projet'!$A$165:$I$185,5,0)*VLOOKUP('Données projet'!$B$14,Paramètres!$A$1:$I$89,7,0))</f>
        <v>0.43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32.133495053705893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32.133495053705893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3.8</v>
      </c>
      <c r="EJ55" s="12">
        <f>IF('Données projet'!$A$192&gt;35,EJ54+EI55-ER54,IF(A55&lt;'Données projet'!$A$192,$EG$205^A55,IF(A55='Données projet'!$A$192,'Données projet'!$B$192,EJ54+EI55-ER54)))</f>
        <v>122.59999999999995</v>
      </c>
      <c r="EK55" s="17">
        <f>EJ55*VLOOKUP('Données projet'!$B$15,Paramètres!$A$1:$I$89,3,0)*VLOOKUP('Données projet'!$B$15,Paramètres!$A$1:$I$89,5,0)</f>
        <v>107.10335999999997</v>
      </c>
      <c r="EL55" s="13">
        <f t="shared" si="45"/>
        <v>28.647457255358184</v>
      </c>
      <c r="EM55" s="20">
        <f t="shared" si="19"/>
        <v>236.43267338641544</v>
      </c>
      <c r="EN55" s="59">
        <f t="shared" si="20"/>
        <v>513.16188247836135</v>
      </c>
      <c r="EO55" s="59">
        <f ca="1">AVERAGE(OFFSET($EN$3,0,0,'Données projet'!$E$15+1,1))-AVERAGE(OFFSET($H$3,0,0,'Données projet'!$E$15+1,1))</f>
        <v>205.83135724908942</v>
      </c>
      <c r="EP55" s="59">
        <f t="shared" si="46"/>
        <v>193.60053377311405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22.417247744562811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22.417247744562811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5.6</v>
      </c>
      <c r="FE55" s="12">
        <f>IF('Données projet'!$A$218&gt;35,FE54+FD55-FM54,IF(A55&lt;'Données projet'!$A$218,$FB$205^A55,IF(A55='Données projet'!$A$218,'Données projet'!$B$218,FE54+FD55-FM54)))</f>
        <v>174.20000000000005</v>
      </c>
      <c r="FF55" s="17">
        <f>FE55*VLOOKUP('Données projet'!$B$16,Paramètres!$A$1:$I$89,3,0)*VLOOKUP('Données projet'!$B$16,Paramètres!$A$1:$I$89,5,0)</f>
        <v>114.13584000000003</v>
      </c>
      <c r="FG55" s="13">
        <f t="shared" si="47"/>
        <v>30.303317693701107</v>
      </c>
      <c r="FH55" s="20">
        <f t="shared" si="22"/>
        <v>251.56486631652947</v>
      </c>
      <c r="FI55" s="59">
        <f t="shared" si="23"/>
        <v>528.29407540847535</v>
      </c>
      <c r="FJ55" s="59">
        <f ca="1">AVERAGE(OFFSET($FI$3,0,0,'Données projet'!$E$16+1,1))-AVERAGE(OFFSET($H$3,0,0,'Données projet'!$E$16+1,1))</f>
        <v>242.76791261317206</v>
      </c>
      <c r="FK55" s="59">
        <f t="shared" si="48"/>
        <v>244.28580264867682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22.324832805847674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22.324832805847674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8.8225000000000016</v>
      </c>
      <c r="FZ55" s="12">
        <f>IF('Données projet'!$A$244&gt;35,FZ54+FY55-GH54,IF(A55&lt;'Données projet'!$A$244,$FW$205^A55,IF(A55='Données projet'!$A$244,'Données projet'!$B$244,FZ54+FY55-GH54)))</f>
        <v>155.54250000000008</v>
      </c>
      <c r="GA55" s="17">
        <f>FZ55*VLOOKUP('Données projet'!$B$17,Paramètres!$A$1:$I$89,3,0)*VLOOKUP('Données projet'!$B$17,Paramètres!$A$1:$I$89,5,0)</f>
        <v>148.01424300000008</v>
      </c>
      <c r="GB55" s="13">
        <f t="shared" si="49"/>
        <v>38.126965800017707</v>
      </c>
      <c r="GC55" s="20">
        <f t="shared" si="25"/>
        <v>324.19593866003095</v>
      </c>
      <c r="GD55" s="59">
        <f t="shared" si="26"/>
        <v>600.92514775197674</v>
      </c>
      <c r="GE55" s="59">
        <f ca="1">AVERAGE(OFFSET($GD$3,0,0,'Données projet'!$E$17+1,1))-AVERAGE(OFFSET($H$3,0,0,'Données projet'!$E$17+1,1))</f>
        <v>512.71941256120977</v>
      </c>
      <c r="GF55" s="59">
        <f t="shared" si="50"/>
        <v>230.65031527019354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49.03035083395789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49.03035083395789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65.471602479621595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-5.6843418860808015E-14</v>
      </c>
      <c r="GV55" s="17">
        <f>GU55*VLOOKUP('Données projet'!$B$18,Paramètres!$A$1:$I$89,3,0)*VLOOKUP('Données projet'!$B$18,Paramètres!$A$1:$I$89,5,0)</f>
        <v>-2.5006556825246661E-14</v>
      </c>
      <c r="GW55" s="13" t="e">
        <f t="shared" si="51"/>
        <v>#NUM!</v>
      </c>
      <c r="GX55" s="20" t="e">
        <f t="shared" si="28"/>
        <v>#NUM!</v>
      </c>
      <c r="GY55" s="59" t="e">
        <f t="shared" si="29"/>
        <v>#NUM!</v>
      </c>
      <c r="GZ55" s="59">
        <f ca="1">AVERAGE(OFFSET($GY$3,0,0,'Données projet'!$E$18+1,1))-AVERAGE(OFFSET($H$3,0,0,'Données projet'!$E$18+1,1))</f>
        <v>180.68917161146683</v>
      </c>
      <c r="HA55" s="59">
        <f t="shared" si="52"/>
        <v>344.42126252322419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41.360349700996778</v>
      </c>
      <c r="HH55" s="21">
        <f>EXP(-LN(2)/25)*HH54+(1-EXP(-LN(2)/25))/(LN(2)/25)*Calculateur!HC55*Calculateur!HE55*VLOOKUP('Données projet'!$B$18,Paramètres!$A$1:$I$89,3,0)*0.475*44/12</f>
        <v>9.0005658752390953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50.360915576235875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2.25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8.25</v>
      </c>
      <c r="H56" s="66">
        <f t="shared" si="1"/>
        <v>223.66666666666666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8.8225000000000016</v>
      </c>
      <c r="N56" s="13">
        <f>IF('Données projet'!$A$36&gt;35,N55+M56-V55,IF(A56&lt;'Données projet'!$A$36,$K$205^A56,IF(A56='Données projet'!$A$36,'Données projet'!$B$36,N55+M56-V55)))</f>
        <v>164.36500000000007</v>
      </c>
      <c r="O56" s="13">
        <f>N56*VLOOKUP('Données projet'!$B$9,Paramètres!$A$1:$I$89,3,0)*VLOOKUP('Données projet'!$B$9,Paramètres!$A$1:$I$89,5,0)</f>
        <v>148.71745200000004</v>
      </c>
      <c r="P56" s="13">
        <f t="shared" si="33"/>
        <v>38.286976481359083</v>
      </c>
      <c r="Q56" s="20">
        <f t="shared" si="53"/>
        <v>325.69937960503381</v>
      </c>
      <c r="R56" s="59">
        <f t="shared" si="0"/>
        <v>602.71663313130716</v>
      </c>
      <c r="S56" s="59">
        <f ca="1">AVERAGE(OFFSET($R$3,0,0,'Données projet'!$E$9+1,1))-AVERAGE(OFFSET($H$3,0,0,'Données projet'!$E$9+1,1))</f>
        <v>490.57849401500789</v>
      </c>
      <c r="T56" s="59">
        <f t="shared" si="34"/>
        <v>221.7570623669753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45.704851515747102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45.704851515747102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4.8292136753333335</v>
      </c>
      <c r="AI56" s="13">
        <f>IF('Données projet'!$A$62&gt;35,AI55+AH56-AQ55,IF(A56&lt;'Données projet'!$A$62,$AF$205^A56,IF(A56='Données projet'!$A$62,'Données projet'!$B$62,AI55+AH56-AQ55)))</f>
        <v>167.81550427266669</v>
      </c>
      <c r="AJ56" s="13">
        <f>AI56*VLOOKUP('Données projet'!$B$10,Paramètres!$A$1:$I$89,3,0)*VLOOKUP('Données projet'!$B$10,Paramètres!$A$1:$I$89,5,0)</f>
        <v>112.57064026610483</v>
      </c>
      <c r="AK56" s="13">
        <f t="shared" si="35"/>
        <v>29.935830782543974</v>
      </c>
      <c r="AL56" s="20">
        <f t="shared" si="4"/>
        <v>248.19877040972997</v>
      </c>
      <c r="AM56" s="59">
        <f t="shared" si="5"/>
        <v>525.21602393600324</v>
      </c>
      <c r="AN56" s="59">
        <f ca="1">AVERAGE(OFFSET($AM$3,0,0,'Données projet'!$E$10+1,1))-AVERAGE(OFFSET($H$3,0,0,'Données projet'!$E$10+1,1))</f>
        <v>377.00534440335832</v>
      </c>
      <c r="AO56" s="59">
        <f t="shared" si="36"/>
        <v>131.56029120000656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5.2</v>
      </c>
      <c r="BD56" s="12">
        <f>IF('Données projet'!$A$88&gt;35,BD55+BC56-BL55,IF(A56&lt;'Données projet'!$A$88,$BA$205^A56,IF(A56='Données projet'!$A$88,'Données projet'!$B$88,BD55+BC56-BL55)))</f>
        <v>170.6</v>
      </c>
      <c r="BE56" s="13">
        <f>BD56*VLOOKUP('Données projet'!$B$11,Paramètres!$A$1:$I$89,3,0)*VLOOKUP('Données projet'!$B$11,Paramètres!$A$1:$I$89,5,0)</f>
        <v>149.03616</v>
      </c>
      <c r="BF56" s="13">
        <f t="shared" si="37"/>
        <v>38.35946741279561</v>
      </c>
      <c r="BG56" s="20">
        <f t="shared" si="7"/>
        <v>326.38071774395229</v>
      </c>
      <c r="BH56" s="59">
        <f t="shared" si="8"/>
        <v>603.39797127022553</v>
      </c>
      <c r="BI56" s="59">
        <f ca="1">AVERAGE(OFFSET($BH$3,0,0,'Données projet'!$E$11+1,1))-AVERAGE(OFFSET($H$3,0,0,'Données projet'!$E$11+1,1))</f>
        <v>314.1123649635374</v>
      </c>
      <c r="BJ56" s="59">
        <f t="shared" si="38"/>
        <v>274.92342227914889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26.012768570779826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26.012768570779826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658.8726258789975</v>
      </c>
      <c r="CD56" s="59">
        <f ca="1">AVERAGE(OFFSET($CC$3,0,0,'Données projet'!$E$12+1,1))-AVERAGE(OFFSET($H$3,0,0,'Données projet'!$E$12+1,1))</f>
        <v>309.86296291630748</v>
      </c>
      <c r="CE56" s="59">
        <f t="shared" si="40"/>
        <v>301.17633325088661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35.447415642419742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35.447415642419742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11</v>
      </c>
      <c r="CT56" s="12">
        <f>IF('Données projet'!$A$140&gt;35,CT55+CS56-DB55,IF(A56&lt;'Données projet'!$A$140,$CQ$205^A56,IF(A56='Données projet'!$A$140,'Données projet'!$B$140,CT55+CS56-DB55)))</f>
        <v>222.00000000000003</v>
      </c>
      <c r="CU56" s="17">
        <f>CT56*VLOOKUP('Données projet'!$B$13,Paramètres!$A$1:$I$89,3,0)*VLOOKUP('Données projet'!$B$13,Paramètres!$A$1:$I$89,5,0)</f>
        <v>190.47600000000006</v>
      </c>
      <c r="CV56" s="13">
        <f t="shared" si="41"/>
        <v>47.645174362968355</v>
      </c>
      <c r="CW56" s="20">
        <f t="shared" si="13"/>
        <v>414.7277120155033</v>
      </c>
      <c r="CX56" s="59">
        <f t="shared" si="14"/>
        <v>691.74496554177654</v>
      </c>
      <c r="CY56" s="59">
        <f ca="1">AVERAGE(OFFSET($CX$3,0,0,'Données projet'!$E$13+1,1))-AVERAGE(OFFSET($H$3,0,0,'Données projet'!$E$13+1,1))</f>
        <v>462.66388549889928</v>
      </c>
      <c r="CZ56" s="59">
        <f t="shared" si="42"/>
        <v>265.3725203415089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46.012630199286441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46.012630199286441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6.0096153837500026</v>
      </c>
      <c r="DO56" s="12">
        <f>IF('Données projet'!$A$166&gt;35,DO55+DN56-DW55,IF(A56&lt;'Données projet'!$A$166,$DL$205^A56,IF(A56='Données projet'!$A$166,'Données projet'!$B$166,DO55+DN56-DW55)))</f>
        <v>148.31730771375004</v>
      </c>
      <c r="DP56" s="17">
        <f>DO56*VLOOKUP('Données projet'!$B$14,Paramètres!$A$1:$I$89,3,0)*VLOOKUP('Données projet'!$B$14,Paramètres!$A$1:$I$89,5,0)</f>
        <v>115.68750001672504</v>
      </c>
      <c r="DQ56" s="13">
        <f t="shared" si="43"/>
        <v>30.667047075707035</v>
      </c>
      <c r="DR56" s="20">
        <f t="shared" si="16"/>
        <v>254.90083618598587</v>
      </c>
      <c r="DS56" s="59">
        <f t="shared" si="17"/>
        <v>531.91808971225919</v>
      </c>
      <c r="DT56" s="59">
        <f ca="1">AVERAGE(OFFSET($DS$3,0,0,'Données projet'!$E$14+1,1))-AVERAGE(OFFSET($H$3,0,0,'Données projet'!$E$14+1,1))</f>
        <v>206.5241977687125</v>
      </c>
      <c r="DU56" s="59">
        <f t="shared" si="44"/>
        <v>205.25001043771269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31.503376815199413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31.503376815199413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3.8</v>
      </c>
      <c r="EJ56" s="12">
        <f>IF('Données projet'!$A$192&gt;35,EJ55+EI56-ER55,IF(A56&lt;'Données projet'!$A$192,$EG$205^A56,IF(A56='Données projet'!$A$192,'Données projet'!$B$192,EJ55+EI56-ER55)))</f>
        <v>126.39999999999995</v>
      </c>
      <c r="EK56" s="17">
        <f>EJ56*VLOOKUP('Données projet'!$B$15,Paramètres!$A$1:$I$89,3,0)*VLOOKUP('Données projet'!$B$15,Paramètres!$A$1:$I$89,5,0)</f>
        <v>110.42303999999997</v>
      </c>
      <c r="EL56" s="13">
        <f t="shared" si="45"/>
        <v>29.430633818872195</v>
      </c>
      <c r="EM56" s="20">
        <f t="shared" si="19"/>
        <v>243.57848190120231</v>
      </c>
      <c r="EN56" s="59">
        <f t="shared" si="20"/>
        <v>520.59573542747557</v>
      </c>
      <c r="EO56" s="59">
        <f ca="1">AVERAGE(OFFSET($EN$3,0,0,'Données projet'!$E$15+1,1))-AVERAGE(OFFSET($H$3,0,0,'Données projet'!$E$15+1,1))</f>
        <v>205.83135724908942</v>
      </c>
      <c r="EP56" s="59">
        <f t="shared" si="46"/>
        <v>193.60053377311405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21.977659189462944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21.977659189462944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5.6</v>
      </c>
      <c r="FE56" s="12">
        <f>IF('Données projet'!$A$218&gt;35,FE55+FD56-FM55,IF(A56&lt;'Données projet'!$A$218,$FB$205^A56,IF(A56='Données projet'!$A$218,'Données projet'!$B$218,FE55+FD56-FM55)))</f>
        <v>179.80000000000004</v>
      </c>
      <c r="FF56" s="17">
        <f>FE56*VLOOKUP('Données projet'!$B$16,Paramètres!$A$1:$I$89,3,0)*VLOOKUP('Données projet'!$B$16,Paramètres!$A$1:$I$89,5,0)</f>
        <v>117.80496000000004</v>
      </c>
      <c r="FG56" s="13">
        <f t="shared" si="47"/>
        <v>31.162493487829593</v>
      </c>
      <c r="FH56" s="20">
        <f t="shared" si="22"/>
        <v>259.45164815796994</v>
      </c>
      <c r="FI56" s="59">
        <f t="shared" si="23"/>
        <v>536.46890168424329</v>
      </c>
      <c r="FJ56" s="59">
        <f ca="1">AVERAGE(OFFSET($FI$3,0,0,'Données projet'!$E$16+1,1))-AVERAGE(OFFSET($H$3,0,0,'Données projet'!$E$16+1,1))</f>
        <v>242.76791261317206</v>
      </c>
      <c r="FK56" s="59">
        <f t="shared" si="48"/>
        <v>244.28580264867682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21.887056451328466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21.887056451328466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8.8225000000000016</v>
      </c>
      <c r="FZ56" s="12">
        <f>IF('Données projet'!$A$244&gt;35,FZ55+FY56-GH55,IF(A56&lt;'Données projet'!$A$244,$FW$205^A56,IF(A56='Données projet'!$A$244,'Données projet'!$B$244,FZ55+FY56-GH55)))</f>
        <v>164.36500000000007</v>
      </c>
      <c r="GA56" s="17">
        <f>FZ56*VLOOKUP('Données projet'!$B$17,Paramètres!$A$1:$I$89,3,0)*VLOOKUP('Données projet'!$B$17,Paramètres!$A$1:$I$89,5,0)</f>
        <v>156.40973400000007</v>
      </c>
      <c r="GB56" s="13">
        <f t="shared" si="49"/>
        <v>40.031654392787154</v>
      </c>
      <c r="GC56" s="20">
        <f t="shared" si="25"/>
        <v>342.13541811743772</v>
      </c>
      <c r="GD56" s="59">
        <f t="shared" si="26"/>
        <v>619.15267164371107</v>
      </c>
      <c r="GE56" s="59">
        <f ca="1">AVERAGE(OFFSET($GD$3,0,0,'Données projet'!$E$17+1,1))-AVERAGE(OFFSET($H$3,0,0,'Données projet'!$E$17+1,1))</f>
        <v>512.71941256120977</v>
      </c>
      <c r="GF56" s="59">
        <f t="shared" si="50"/>
        <v>230.65031527019354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48.068895559665059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48.068895559665059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65.550160052619987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-5.6843418860808015E-14</v>
      </c>
      <c r="GV56" s="17">
        <f>GU56*VLOOKUP('Données projet'!$B$18,Paramètres!$A$1:$I$89,3,0)*VLOOKUP('Données projet'!$B$18,Paramètres!$A$1:$I$89,5,0)</f>
        <v>-2.5006556825246661E-14</v>
      </c>
      <c r="GW56" s="13" t="e">
        <f t="shared" si="51"/>
        <v>#NUM!</v>
      </c>
      <c r="GX56" s="20" t="e">
        <f t="shared" si="28"/>
        <v>#NUM!</v>
      </c>
      <c r="GY56" s="59" t="e">
        <f t="shared" si="29"/>
        <v>#NUM!</v>
      </c>
      <c r="GZ56" s="59">
        <f ca="1">AVERAGE(OFFSET($GY$3,0,0,'Données projet'!$E$18+1,1))-AVERAGE(OFFSET($H$3,0,0,'Données projet'!$E$18+1,1))</f>
        <v>180.68917161146683</v>
      </c>
      <c r="HA56" s="59">
        <f t="shared" si="52"/>
        <v>344.42126252322419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40.549298470682558</v>
      </c>
      <c r="HH56" s="21">
        <f>EXP(-LN(2)/25)*HH55+(1-EXP(-LN(2)/25))/(LN(2)/25)*Calculateur!HC56*Calculateur!HE56*VLOOKUP('Données projet'!$B$18,Paramètres!$A$1:$I$89,3,0)*0.475*44/12</f>
        <v>8.7544449280614938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49.303743398744054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2.25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8.25</v>
      </c>
      <c r="H57" s="66">
        <f t="shared" si="1"/>
        <v>223.66666666666666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8.8225000000000016</v>
      </c>
      <c r="N57" s="13">
        <f>IF('Données projet'!$A$36&gt;35,N56+M57-V56,IF(A57&lt;'Données projet'!$A$36,$K$205^A57,IF(A57='Données projet'!$A$36,'Données projet'!$B$36,N56+M57-V56)))</f>
        <v>173.18750000000006</v>
      </c>
      <c r="O57" s="13">
        <f>N57*VLOOKUP('Données projet'!$B$9,Paramètres!$A$1:$I$89,3,0)*VLOOKUP('Données projet'!$B$9,Paramètres!$A$1:$I$89,5,0)</f>
        <v>156.70005000000006</v>
      </c>
      <c r="P57" s="13">
        <f t="shared" si="33"/>
        <v>40.097302098748379</v>
      </c>
      <c r="Q57" s="20">
        <f t="shared" si="53"/>
        <v>342.7553882386535</v>
      </c>
      <c r="R57" s="59">
        <f t="shared" si="0"/>
        <v>620.05568927228956</v>
      </c>
      <c r="S57" s="59">
        <f ca="1">AVERAGE(OFFSET($R$3,0,0,'Données projet'!$E$9+1,1))-AVERAGE(OFFSET($H$3,0,0,'Données projet'!$E$9+1,1))</f>
        <v>490.57849401500789</v>
      </c>
      <c r="T57" s="59">
        <f t="shared" si="34"/>
        <v>221.7570623669753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44.808607254730077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44.808607254730077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4.8292136753333335</v>
      </c>
      <c r="AI57" s="13">
        <f>IF('Données projet'!$A$62&gt;35,AI56+AH57-AQ56,IF(A57&lt;'Données projet'!$A$62,$AF$205^A57,IF(A57='Données projet'!$A$62,'Données projet'!$B$62,AI56+AH57-AQ56)))</f>
        <v>172.64471794800002</v>
      </c>
      <c r="AJ57" s="13">
        <f>AI57*VLOOKUP('Données projet'!$B$10,Paramètres!$A$1:$I$89,3,0)*VLOOKUP('Données projet'!$B$10,Paramètres!$A$1:$I$89,5,0)</f>
        <v>115.81007679951841</v>
      </c>
      <c r="AK57" s="13">
        <f t="shared" si="35"/>
        <v>30.695756380628737</v>
      </c>
      <c r="AL57" s="20">
        <f t="shared" si="4"/>
        <v>255.16432612208953</v>
      </c>
      <c r="AM57" s="59">
        <f t="shared" si="5"/>
        <v>532.46462715572557</v>
      </c>
      <c r="AN57" s="59">
        <f ca="1">AVERAGE(OFFSET($AM$3,0,0,'Données projet'!$E$10+1,1))-AVERAGE(OFFSET($H$3,0,0,'Données projet'!$E$10+1,1))</f>
        <v>377.00534440335832</v>
      </c>
      <c r="AO57" s="59">
        <f t="shared" si="36"/>
        <v>131.56029120000656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5.2</v>
      </c>
      <c r="BD57" s="12">
        <f>IF('Données projet'!$A$88&gt;35,BD56+BC57-BL56,IF(A57&lt;'Données projet'!$A$88,$BA$205^A57,IF(A57='Données projet'!$A$88,'Données projet'!$B$88,BD56+BC57-BL56)))</f>
        <v>175.79999999999998</v>
      </c>
      <c r="BE57" s="13">
        <f>BD57*VLOOKUP('Données projet'!$B$11,Paramètres!$A$1:$I$89,3,0)*VLOOKUP('Données projet'!$B$11,Paramètres!$A$1:$I$89,5,0)</f>
        <v>153.57888</v>
      </c>
      <c r="BF57" s="13">
        <f t="shared" si="37"/>
        <v>39.390779474606148</v>
      </c>
      <c r="BG57" s="20">
        <f t="shared" si="7"/>
        <v>336.08882358493901</v>
      </c>
      <c r="BH57" s="59">
        <f t="shared" si="8"/>
        <v>613.38912461857501</v>
      </c>
      <c r="BI57" s="59">
        <f ca="1">AVERAGE(OFFSET($BH$3,0,0,'Données projet'!$E$11+1,1))-AVERAGE(OFFSET($H$3,0,0,'Données projet'!$E$11+1,1))</f>
        <v>314.1123649635374</v>
      </c>
      <c r="BJ57" s="59">
        <f t="shared" si="38"/>
        <v>274.92342227914889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25.502674045329002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25.502674045329002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669.32252939165892</v>
      </c>
      <c r="CD57" s="59">
        <f ca="1">AVERAGE(OFFSET($CC$3,0,0,'Données projet'!$E$12+1,1))-AVERAGE(OFFSET($H$3,0,0,'Données projet'!$E$12+1,1))</f>
        <v>309.86296291630748</v>
      </c>
      <c r="CE57" s="59">
        <f t="shared" si="40"/>
        <v>301.17633325088661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34.752313442460554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34.752313442460554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11</v>
      </c>
      <c r="CT57" s="12">
        <f>IF('Données projet'!$A$140&gt;35,CT56+CS57-DB56,IF(A57&lt;'Données projet'!$A$140,$CQ$205^A57,IF(A57='Données projet'!$A$140,'Données projet'!$B$140,CT56+CS57-DB56)))</f>
        <v>233.00000000000003</v>
      </c>
      <c r="CU57" s="17">
        <f>CT57*VLOOKUP('Données projet'!$B$13,Paramètres!$A$1:$I$89,3,0)*VLOOKUP('Données projet'!$B$13,Paramètres!$A$1:$I$89,5,0)</f>
        <v>199.91400000000007</v>
      </c>
      <c r="CV57" s="13">
        <f t="shared" si="41"/>
        <v>49.725267055272241</v>
      </c>
      <c r="CW57" s="20">
        <f t="shared" si="13"/>
        <v>434.78839012126599</v>
      </c>
      <c r="CX57" s="59">
        <f t="shared" si="14"/>
        <v>712.08869115490199</v>
      </c>
      <c r="CY57" s="59">
        <f ca="1">AVERAGE(OFFSET($CX$3,0,0,'Données projet'!$E$13+1,1))-AVERAGE(OFFSET($H$3,0,0,'Données projet'!$E$13+1,1))</f>
        <v>462.66388549889928</v>
      </c>
      <c r="CZ57" s="59">
        <f t="shared" si="42"/>
        <v>265.3725203415089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45.110350586011677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45.110350586011677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6.0096153837500026</v>
      </c>
      <c r="DO57" s="12">
        <f>IF('Données projet'!$A$166&gt;35,DO56+DN57-DW56,IF(A57&lt;'Données projet'!$A$166,$DL$205^A57,IF(A57='Données projet'!$A$166,'Données projet'!$B$166,DO56+DN57-DW56)))</f>
        <v>154.32692309750004</v>
      </c>
      <c r="DP57" s="17">
        <f>DO57*VLOOKUP('Données projet'!$B$14,Paramètres!$A$1:$I$89,3,0)*VLOOKUP('Données projet'!$B$14,Paramètres!$A$1:$I$89,5,0)</f>
        <v>120.37500001605004</v>
      </c>
      <c r="DQ57" s="13">
        <f t="shared" si="43"/>
        <v>31.762446000875379</v>
      </c>
      <c r="DR57" s="20">
        <f t="shared" si="16"/>
        <v>264.97271847947843</v>
      </c>
      <c r="DS57" s="59">
        <f t="shared" si="17"/>
        <v>542.27301951311438</v>
      </c>
      <c r="DT57" s="59">
        <f ca="1">AVERAGE(OFFSET($DS$3,0,0,'Données projet'!$E$14+1,1))-AVERAGE(OFFSET($H$3,0,0,'Données projet'!$E$14+1,1))</f>
        <v>206.5241977687125</v>
      </c>
      <c r="DU57" s="59">
        <f t="shared" si="44"/>
        <v>205.25001043771269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30.88561481101587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30.88561481101587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3.8</v>
      </c>
      <c r="EJ57" s="12">
        <f>IF('Données projet'!$A$192&gt;35,EJ56+EI57-ER56,IF(A57&lt;'Données projet'!$A$192,$EG$205^A57,IF(A57='Données projet'!$A$192,'Données projet'!$B$192,EJ56+EI57-ER56)))</f>
        <v>130.19999999999996</v>
      </c>
      <c r="EK57" s="17">
        <f>EJ57*VLOOKUP('Données projet'!$B$15,Paramètres!$A$1:$I$89,3,0)*VLOOKUP('Données projet'!$B$15,Paramètres!$A$1:$I$89,5,0)</f>
        <v>113.74271999999996</v>
      </c>
      <c r="EL57" s="13">
        <f t="shared" si="45"/>
        <v>30.211074114233345</v>
      </c>
      <c r="EM57" s="20">
        <f t="shared" si="19"/>
        <v>250.71952474895636</v>
      </c>
      <c r="EN57" s="59">
        <f t="shared" si="20"/>
        <v>528.01982578259231</v>
      </c>
      <c r="EO57" s="59">
        <f ca="1">AVERAGE(OFFSET($EN$3,0,0,'Données projet'!$E$15+1,1))-AVERAGE(OFFSET($H$3,0,0,'Données projet'!$E$15+1,1))</f>
        <v>205.83135724908942</v>
      </c>
      <c r="EP57" s="59">
        <f t="shared" si="46"/>
        <v>193.60053377311405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21.546690697806042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21.546690697806042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5.6</v>
      </c>
      <c r="FE57" s="12">
        <f>IF('Données projet'!$A$218&gt;35,FE56+FD57-FM56,IF(A57&lt;'Données projet'!$A$218,$FB$205^A57,IF(A57='Données projet'!$A$218,'Données projet'!$B$218,FE56+FD57-FM56)))</f>
        <v>185.40000000000003</v>
      </c>
      <c r="FF57" s="17">
        <f>FE57*VLOOKUP('Données projet'!$B$16,Paramètres!$A$1:$I$89,3,0)*VLOOKUP('Données projet'!$B$16,Paramètres!$A$1:$I$89,5,0)</f>
        <v>121.47408000000001</v>
      </c>
      <c r="FG57" s="13">
        <f t="shared" si="47"/>
        <v>32.018559567275666</v>
      </c>
      <c r="FH57" s="20">
        <f t="shared" si="22"/>
        <v>267.33301391300517</v>
      </c>
      <c r="FI57" s="59">
        <f t="shared" si="23"/>
        <v>544.63331494664112</v>
      </c>
      <c r="FJ57" s="59">
        <f ca="1">AVERAGE(OFFSET($FI$3,0,0,'Données projet'!$E$16+1,1))-AVERAGE(OFFSET($H$3,0,0,'Données projet'!$E$16+1,1))</f>
        <v>242.76791261317206</v>
      </c>
      <c r="FK57" s="59">
        <f t="shared" si="48"/>
        <v>244.28580264867682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21.457864624104168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21.457864624104168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8.8225000000000016</v>
      </c>
      <c r="FZ57" s="12">
        <f>IF('Données projet'!$A$244&gt;35,FZ56+FY57-GH56,IF(A57&lt;'Données projet'!$A$244,$FW$205^A57,IF(A57='Données projet'!$A$244,'Données projet'!$B$244,FZ56+FY57-GH56)))</f>
        <v>173.18750000000006</v>
      </c>
      <c r="GA57" s="17">
        <f>FZ57*VLOOKUP('Données projet'!$B$17,Paramètres!$A$1:$I$89,3,0)*VLOOKUP('Données projet'!$B$17,Paramètres!$A$1:$I$89,5,0)</f>
        <v>164.80522500000006</v>
      </c>
      <c r="GB57" s="13">
        <f t="shared" si="49"/>
        <v>41.924473730167357</v>
      </c>
      <c r="GC57" s="20">
        <f t="shared" si="25"/>
        <v>360.05422528837494</v>
      </c>
      <c r="GD57" s="59">
        <f t="shared" si="26"/>
        <v>637.354526322011</v>
      </c>
      <c r="GE57" s="59">
        <f ca="1">AVERAGE(OFFSET($GD$3,0,0,'Données projet'!$E$17+1,1))-AVERAGE(OFFSET($H$3,0,0,'Données projet'!$E$17+1,1))</f>
        <v>512.71941256120977</v>
      </c>
      <c r="GF57" s="59">
        <f t="shared" si="50"/>
        <v>230.65031527019354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47.126293836871298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47.126293836871298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65.627354827355276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-5.6843418860808015E-14</v>
      </c>
      <c r="GV57" s="17">
        <f>GU57*VLOOKUP('Données projet'!$B$18,Paramètres!$A$1:$I$89,3,0)*VLOOKUP('Données projet'!$B$18,Paramètres!$A$1:$I$89,5,0)</f>
        <v>-2.5006556825246661E-14</v>
      </c>
      <c r="GW57" s="13" t="e">
        <f t="shared" si="51"/>
        <v>#NUM!</v>
      </c>
      <c r="GX57" s="20" t="e">
        <f t="shared" si="28"/>
        <v>#NUM!</v>
      </c>
      <c r="GY57" s="59" t="e">
        <f t="shared" si="29"/>
        <v>#NUM!</v>
      </c>
      <c r="GZ57" s="59">
        <f ca="1">AVERAGE(OFFSET($GY$3,0,0,'Données projet'!$E$18+1,1))-AVERAGE(OFFSET($H$3,0,0,'Données projet'!$E$18+1,1))</f>
        <v>180.68917161146683</v>
      </c>
      <c r="HA57" s="59">
        <f t="shared" si="52"/>
        <v>344.42126252322419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39.754151460302396</v>
      </c>
      <c r="HH57" s="21">
        <f>EXP(-LN(2)/25)*HH56+(1-EXP(-LN(2)/25))/(LN(2)/25)*Calculateur!HC57*Calculateur!HE57*VLOOKUP('Données projet'!$B$18,Paramètres!$A$1:$I$89,3,0)*0.475*44/12</f>
        <v>8.5150541711274013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48.269205631429799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2.25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8.25</v>
      </c>
      <c r="H58" s="66">
        <f t="shared" si="1"/>
        <v>223.66666666666666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8.8225000000000016</v>
      </c>
      <c r="N58" s="13">
        <f>IF('Données projet'!$A$36&gt;35,N57+M58-V57,IF(A58&lt;'Données projet'!$A$36,$K$205^A58,IF(A58='Données projet'!$A$36,'Données projet'!$B$36,N57+M58-V57)))</f>
        <v>182.01000000000005</v>
      </c>
      <c r="O58" s="13">
        <f>N58*VLOOKUP('Données projet'!$B$9,Paramètres!$A$1:$I$89,3,0)*VLOOKUP('Données projet'!$B$9,Paramètres!$A$1:$I$89,5,0)</f>
        <v>164.68264800000006</v>
      </c>
      <c r="P58" s="13">
        <f t="shared" si="33"/>
        <v>41.896920016391412</v>
      </c>
      <c r="Q58" s="20">
        <f t="shared" si="53"/>
        <v>359.79274762854851</v>
      </c>
      <c r="R58" s="59">
        <f t="shared" si="0"/>
        <v>637.37118592809395</v>
      </c>
      <c r="S58" s="59">
        <f ca="1">AVERAGE(OFFSET($R$3,0,0,'Données projet'!$E$9+1,1))-AVERAGE(OFFSET($H$3,0,0,'Données projet'!$E$9+1,1))</f>
        <v>490.57849401500789</v>
      </c>
      <c r="T58" s="59">
        <f t="shared" si="34"/>
        <v>221.7570623669753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43.929937797016578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43.929937797016578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4.8292136753333335</v>
      </c>
      <c r="AI58" s="13">
        <f>IF('Données projet'!$A$62&gt;35,AI57+AH58-AQ57,IF(A58&lt;'Données projet'!$A$62,$AF$205^A58,IF(A58='Données projet'!$A$62,'Données projet'!$B$62,AI57+AH58-AQ57)))</f>
        <v>177.47393162333336</v>
      </c>
      <c r="AJ58" s="13">
        <f>AI58*VLOOKUP('Données projet'!$B$10,Paramètres!$A$1:$I$89,3,0)*VLOOKUP('Données projet'!$B$10,Paramètres!$A$1:$I$89,5,0)</f>
        <v>119.04951333293201</v>
      </c>
      <c r="AK58" s="13">
        <f t="shared" si="35"/>
        <v>31.453211391424595</v>
      </c>
      <c r="AL58" s="20">
        <f t="shared" si="4"/>
        <v>262.12557889492103</v>
      </c>
      <c r="AM58" s="59">
        <f t="shared" si="5"/>
        <v>539.70401719446647</v>
      </c>
      <c r="AN58" s="59">
        <f ca="1">AVERAGE(OFFSET($AM$3,0,0,'Données projet'!$E$10+1,1))-AVERAGE(OFFSET($H$3,0,0,'Données projet'!$E$10+1,1))</f>
        <v>377.00534440335832</v>
      </c>
      <c r="AO58" s="59">
        <f t="shared" si="36"/>
        <v>131.56029120000656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181</v>
      </c>
      <c r="BB58" s="12">
        <f>VLOOKUP(A58,'Données projet'!$A$87:$I$107,9,0)</f>
        <v>5.2</v>
      </c>
      <c r="BC58" s="12">
        <f t="array" ref="BC58">INDEX(BB:BB,MIN(IF(ISNUMBER(BB58:BB254),ROW(BB58:BB254),"")))</f>
        <v>5.2</v>
      </c>
      <c r="BD58" s="12">
        <f>IF('Données projet'!$A$88&gt;35,BD57+BC58-BL57,IF(A58&lt;'Données projet'!$A$88,$BA$205^A58,IF(A58='Données projet'!$A$88,'Données projet'!$B$88,BD57+BC58-BL57)))</f>
        <v>180.99999999999997</v>
      </c>
      <c r="BE58" s="13">
        <f>BD58*VLOOKUP('Données projet'!$B$11,Paramètres!$A$1:$I$89,3,0)*VLOOKUP('Données projet'!$B$11,Paramètres!$A$1:$I$89,5,0)</f>
        <v>158.1216</v>
      </c>
      <c r="BF58" s="13">
        <f t="shared" si="37"/>
        <v>40.418546284954211</v>
      </c>
      <c r="BG58" s="20">
        <f t="shared" si="7"/>
        <v>345.79075477962851</v>
      </c>
      <c r="BH58" s="59">
        <f t="shared" si="8"/>
        <v>623.36919307917401</v>
      </c>
      <c r="BI58" s="59">
        <f ca="1">AVERAGE(OFFSET($BH$3,0,0,'Données projet'!$E$11+1,1))-AVERAGE(OFFSET($H$3,0,0,'Données projet'!$E$11+1,1))</f>
        <v>314.1123649635374</v>
      </c>
      <c r="BJ58" s="59">
        <f t="shared" si="38"/>
        <v>274.92342227914889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17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32.062133693618826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32.062133693618826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679.76180503587739</v>
      </c>
      <c r="CD58" s="59">
        <f ca="1">AVERAGE(OFFSET($CC$3,0,0,'Données projet'!$E$12+1,1))-AVERAGE(OFFSET($H$3,0,0,'Données projet'!$E$12+1,1))</f>
        <v>309.86296291630748</v>
      </c>
      <c r="CE58" s="59">
        <f t="shared" si="40"/>
        <v>301.17633325088661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40.130681064631787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40.130681064631787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244</v>
      </c>
      <c r="CR58" s="12">
        <f>VLOOKUP(A58,'Données projet'!$A$139:$I$159,9,0)</f>
        <v>11</v>
      </c>
      <c r="CS58" s="12">
        <f t="array" ref="CS58">INDEX(CR:CR,MIN(IF(ISNUMBER(CR58:CR254),ROW(CR58:CR254),"")))</f>
        <v>11</v>
      </c>
      <c r="CT58" s="12">
        <f>IF('Données projet'!$A$140&gt;35,CT57+CS58-DB57,IF(A58&lt;'Données projet'!$A$140,$CQ$205^A58,IF(A58='Données projet'!$A$140,'Données projet'!$B$140,CT57+CS58-DB57)))</f>
        <v>244.00000000000003</v>
      </c>
      <c r="CU58" s="17">
        <f>CT58*VLOOKUP('Données projet'!$B$13,Paramètres!$A$1:$I$89,3,0)*VLOOKUP('Données projet'!$B$13,Paramètres!$A$1:$I$89,5,0)</f>
        <v>209.35200000000003</v>
      </c>
      <c r="CV58" s="13">
        <f t="shared" si="41"/>
        <v>51.79395593509436</v>
      </c>
      <c r="CW58" s="20">
        <f t="shared" si="13"/>
        <v>454.82920658695599</v>
      </c>
      <c r="CX58" s="59">
        <f t="shared" si="14"/>
        <v>732.40764488650143</v>
      </c>
      <c r="CY58" s="59">
        <f ca="1">AVERAGE(OFFSET($CX$3,0,0,'Données projet'!$E$13+1,1))-AVERAGE(OFFSET($H$3,0,0,'Données projet'!$E$13+1,1))</f>
        <v>462.66388549889928</v>
      </c>
      <c r="CZ58" s="59">
        <f t="shared" si="42"/>
        <v>265.3725203415089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28</v>
      </c>
      <c r="DC58" s="16">
        <f>IF(ISNA(VLOOKUP(A58,'Données projet'!$A$139:$I$159,5,0)),0%,VLOOKUP(A58,'Données projet'!$A$139:$I$159,5,0)*VLOOKUP('Données projet'!$B$13,Paramètres!$A$1:$I$89,7,0))</f>
        <v>0.53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58.30140893650379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58.30140893650379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6.0096153837500026</v>
      </c>
      <c r="DO58" s="12">
        <f>IF('Données projet'!$A$166&gt;35,DO57+DN58-DW57,IF(A58&lt;'Données projet'!$A$166,$DL$205^A58,IF(A58='Données projet'!$A$166,'Données projet'!$B$166,DO57+DN58-DW57)))</f>
        <v>160.33653848125005</v>
      </c>
      <c r="DP58" s="17">
        <f>DO58*VLOOKUP('Données projet'!$B$14,Paramètres!$A$1:$I$89,3,0)*VLOOKUP('Données projet'!$B$14,Paramètres!$A$1:$I$89,5,0)</f>
        <v>125.06250001537504</v>
      </c>
      <c r="DQ58" s="13">
        <f t="shared" si="43"/>
        <v>32.852889713124483</v>
      </c>
      <c r="DR58" s="20">
        <f t="shared" si="16"/>
        <v>275.03597044380331</v>
      </c>
      <c r="DS58" s="59">
        <f t="shared" si="17"/>
        <v>552.6144087433488</v>
      </c>
      <c r="DT58" s="59">
        <f ca="1">AVERAGE(OFFSET($DS$3,0,0,'Données projet'!$E$14+1,1))-AVERAGE(OFFSET($H$3,0,0,'Données projet'!$E$14+1,1))</f>
        <v>206.5241977687125</v>
      </c>
      <c r="DU58" s="59">
        <f t="shared" si="44"/>
        <v>205.25001043771269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30.27996674293675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30.27996674293675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134</v>
      </c>
      <c r="EH58" s="12">
        <f>VLOOKUP(A58,'Données projet'!$A$191:$I$211,9,0)</f>
        <v>3.8</v>
      </c>
      <c r="EI58" s="12">
        <f t="array" ref="EI58">INDEX(EH:EH,MIN(IF(ISNUMBER(EH58:EH254),ROW(EH58:EH254),"")))</f>
        <v>3.8</v>
      </c>
      <c r="EJ58" s="12">
        <f>IF('Données projet'!$A$192&gt;35,EJ57+EI58-ER57,IF(A58&lt;'Données projet'!$A$192,$EG$205^A58,IF(A58='Données projet'!$A$192,'Données projet'!$B$192,EJ57+EI58-ER57)))</f>
        <v>133.99999999999997</v>
      </c>
      <c r="EK58" s="17">
        <f>EJ58*VLOOKUP('Données projet'!$B$15,Paramètres!$A$1:$I$89,3,0)*VLOOKUP('Données projet'!$B$15,Paramètres!$A$1:$I$89,5,0)</f>
        <v>117.0624</v>
      </c>
      <c r="EL58" s="13">
        <f t="shared" si="45"/>
        <v>30.988867171899152</v>
      </c>
      <c r="EM58" s="20">
        <f t="shared" si="19"/>
        <v>257.85595699105767</v>
      </c>
      <c r="EN58" s="59">
        <f t="shared" si="20"/>
        <v>535.43439529060311</v>
      </c>
      <c r="EO58" s="59">
        <f ca="1">AVERAGE(OFFSET($EN$3,0,0,'Données projet'!$E$15+1,1))-AVERAGE(OFFSET($H$3,0,0,'Données projet'!$E$15+1,1))</f>
        <v>205.83135724908942</v>
      </c>
      <c r="EP58" s="59">
        <f t="shared" si="46"/>
        <v>193.60053377311405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9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25.730747900786842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25.730747900786842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191</v>
      </c>
      <c r="FC58" s="12">
        <f>VLOOKUP(A58,'Données projet'!$A$217:$I$237,9,0)</f>
        <v>5.6</v>
      </c>
      <c r="FD58" s="12">
        <f t="array" ref="FD58">INDEX(FC:FC,MIN(IF(ISNUMBER(FC58:FC254),ROW(FC58:FC254),"")))</f>
        <v>5.6</v>
      </c>
      <c r="FE58" s="12">
        <f>IF('Données projet'!$A$218&gt;35,FE57+FD58-FM57,IF(A58&lt;'Données projet'!$A$218,$FB$205^A58,IF(A58='Données projet'!$A$218,'Données projet'!$B$218,FE57+FD58-FM57)))</f>
        <v>191.00000000000003</v>
      </c>
      <c r="FF58" s="17">
        <f>FE58*VLOOKUP('Données projet'!$B$16,Paramètres!$A$1:$I$89,3,0)*VLOOKUP('Données projet'!$B$16,Paramètres!$A$1:$I$89,5,0)</f>
        <v>125.14320000000002</v>
      </c>
      <c r="FG58" s="13">
        <f t="shared" si="47"/>
        <v>32.871620642334328</v>
      </c>
      <c r="FH58" s="20">
        <f t="shared" si="22"/>
        <v>275.20914595206563</v>
      </c>
      <c r="FI58" s="59">
        <f t="shared" si="23"/>
        <v>552.78758425161107</v>
      </c>
      <c r="FJ58" s="59">
        <f ca="1">AVERAGE(OFFSET($FI$3,0,0,'Données projet'!$E$16+1,1))-AVERAGE(OFFSET($H$3,0,0,'Données projet'!$E$16+1,1))</f>
        <v>242.76791261317206</v>
      </c>
      <c r="FK58" s="59">
        <f t="shared" si="48"/>
        <v>244.28580264867682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20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27.266105043792475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27.266105043792475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8.8225000000000016</v>
      </c>
      <c r="FZ58" s="12">
        <f>IF('Données projet'!$A$244&gt;35,FZ57+FY58-GH57,IF(A58&lt;'Données projet'!$A$244,$FW$205^A58,IF(A58='Données projet'!$A$244,'Données projet'!$B$244,FZ57+FY58-GH57)))</f>
        <v>182.01000000000005</v>
      </c>
      <c r="GA58" s="17">
        <f>FZ58*VLOOKUP('Données projet'!$B$17,Paramètres!$A$1:$I$89,3,0)*VLOOKUP('Données projet'!$B$17,Paramètres!$A$1:$I$89,5,0)</f>
        <v>173.20071600000006</v>
      </c>
      <c r="GB58" s="13">
        <f t="shared" si="49"/>
        <v>43.806097434594101</v>
      </c>
      <c r="GC58" s="20">
        <f t="shared" si="25"/>
        <v>377.9535333985848</v>
      </c>
      <c r="GD58" s="59">
        <f t="shared" si="26"/>
        <v>655.53197169813029</v>
      </c>
      <c r="GE58" s="59">
        <f ca="1">AVERAGE(OFFSET($GD$3,0,0,'Données projet'!$E$17+1,1))-AVERAGE(OFFSET($H$3,0,0,'Données projet'!$E$17+1,1))</f>
        <v>512.71941256120977</v>
      </c>
      <c r="GF58" s="59">
        <f t="shared" si="50"/>
        <v>230.65031527019354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46.202175958931235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46.202175958931235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65.703210445330569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-5.6843418860808015E-14</v>
      </c>
      <c r="GV58" s="17">
        <f>GU58*VLOOKUP('Données projet'!$B$18,Paramètres!$A$1:$I$89,3,0)*VLOOKUP('Données projet'!$B$18,Paramètres!$A$1:$I$89,5,0)</f>
        <v>-2.5006556825246661E-14</v>
      </c>
      <c r="GW58" s="13" t="e">
        <f t="shared" si="51"/>
        <v>#NUM!</v>
      </c>
      <c r="GX58" s="20" t="e">
        <f t="shared" si="28"/>
        <v>#NUM!</v>
      </c>
      <c r="GY58" s="59" t="e">
        <f t="shared" si="29"/>
        <v>#NUM!</v>
      </c>
      <c r="GZ58" s="59">
        <f ca="1">AVERAGE(OFFSET($GY$3,0,0,'Données projet'!$E$18+1,1))-AVERAGE(OFFSET($H$3,0,0,'Données projet'!$E$18+1,1))</f>
        <v>180.68917161146683</v>
      </c>
      <c r="HA58" s="59">
        <f t="shared" si="52"/>
        <v>344.42126252322419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38.974596797804004</v>
      </c>
      <c r="HH58" s="21">
        <f>EXP(-LN(2)/25)*HH57+(1-EXP(-LN(2)/25))/(LN(2)/25)*Calculateur!HC58*Calculateur!HE58*VLOOKUP('Données projet'!$B$18,Paramètres!$A$1:$I$89,3,0)*0.475*44/12</f>
        <v>8.2822095670306854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47.256806364834688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2.25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8.25</v>
      </c>
      <c r="H59" s="66">
        <f t="shared" si="1"/>
        <v>223.66666666666666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8.8225000000000016</v>
      </c>
      <c r="N59" s="13">
        <f>IF('Données projet'!$A$36&gt;35,N58+M59-V58,IF(A59&lt;'Données projet'!$A$36,$K$205^A59,IF(A59='Données projet'!$A$36,'Données projet'!$B$36,N58+M59-V58)))</f>
        <v>190.83250000000004</v>
      </c>
      <c r="O59" s="13">
        <f>N59*VLOOKUP('Données projet'!$B$9,Paramètres!$A$1:$I$89,3,0)*VLOOKUP('Données projet'!$B$9,Paramètres!$A$1:$I$89,5,0)</f>
        <v>172.66524600000002</v>
      </c>
      <c r="P59" s="13">
        <f t="shared" si="33"/>
        <v>43.686408511417334</v>
      </c>
      <c r="Q59" s="20">
        <f t="shared" si="53"/>
        <v>376.8124649407186</v>
      </c>
      <c r="R59" s="59">
        <f t="shared" si="0"/>
        <v>654.66421544643174</v>
      </c>
      <c r="S59" s="59">
        <f ca="1">AVERAGE(OFFSET($R$3,0,0,'Données projet'!$E$9+1,1))-AVERAGE(OFFSET($H$3,0,0,'Données projet'!$E$9+1,1))</f>
        <v>490.57849401500789</v>
      </c>
      <c r="T59" s="59">
        <f t="shared" si="34"/>
        <v>221.7570623669753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43.06849851143339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43.06849851143339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4.8292136753333335</v>
      </c>
      <c r="AI59" s="13">
        <f>IF('Données projet'!$A$62&gt;35,AI58+AH59-AQ58,IF(A59&lt;'Données projet'!$A$62,$AF$205^A59,IF(A59='Données projet'!$A$62,'Données projet'!$B$62,AI58+AH59-AQ58)))</f>
        <v>182.30314529866669</v>
      </c>
      <c r="AJ59" s="13">
        <f>AI59*VLOOKUP('Données projet'!$B$10,Paramètres!$A$1:$I$89,3,0)*VLOOKUP('Données projet'!$B$10,Paramètres!$A$1:$I$89,5,0)</f>
        <v>122.28894986634562</v>
      </c>
      <c r="AK59" s="13">
        <f t="shared" si="35"/>
        <v>32.208270766863983</v>
      </c>
      <c r="AL59" s="20">
        <f t="shared" si="4"/>
        <v>269.08265926950668</v>
      </c>
      <c r="AM59" s="59">
        <f t="shared" si="5"/>
        <v>546.93440977521982</v>
      </c>
      <c r="AN59" s="59">
        <f ca="1">AVERAGE(OFFSET($AM$3,0,0,'Données projet'!$E$10+1,1))-AVERAGE(OFFSET($H$3,0,0,'Données projet'!$E$10+1,1))</f>
        <v>377.00534440335832</v>
      </c>
      <c r="AO59" s="59">
        <f t="shared" si="36"/>
        <v>131.56029120000656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</v>
      </c>
      <c r="BD59" s="12">
        <f>IF('Données projet'!$A$88&gt;35,BD58+BC59-BL58,IF(A59&lt;'Données projet'!$A$88,$BA$205^A59,IF(A59='Données projet'!$A$88,'Données projet'!$B$88,BD58+BC59-BL58)))</f>
        <v>168.99999999999997</v>
      </c>
      <c r="BE59" s="13">
        <f>BD59*VLOOKUP('Données projet'!$B$11,Paramètres!$A$1:$I$89,3,0)*VLOOKUP('Données projet'!$B$11,Paramètres!$A$1:$I$89,5,0)</f>
        <v>147.63839999999999</v>
      </c>
      <c r="BF59" s="13">
        <f t="shared" si="37"/>
        <v>38.041408878951295</v>
      </c>
      <c r="BG59" s="20">
        <f t="shared" si="7"/>
        <v>323.39233379750681</v>
      </c>
      <c r="BH59" s="59">
        <f t="shared" si="8"/>
        <v>601.24408430322001</v>
      </c>
      <c r="BI59" s="59">
        <f ca="1">AVERAGE(OFFSET($BH$3,0,0,'Données projet'!$E$11+1,1))-AVERAGE(OFFSET($H$3,0,0,'Données projet'!$E$11+1,1))</f>
        <v>314.1123649635374</v>
      </c>
      <c r="BJ59" s="59">
        <f t="shared" si="38"/>
        <v>274.92342227914889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31.43341480785752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31.43341480785752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666.82453015699321</v>
      </c>
      <c r="CD59" s="59">
        <f ca="1">AVERAGE(OFFSET($CC$3,0,0,'Données projet'!$E$12+1,1))-AVERAGE(OFFSET($H$3,0,0,'Données projet'!$E$12+1,1))</f>
        <v>309.86296291630748</v>
      </c>
      <c r="CE59" s="59">
        <f t="shared" si="40"/>
        <v>301.17633325088661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39.343742886252876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39.343742886252876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10.8</v>
      </c>
      <c r="CT59" s="12">
        <f>IF('Données projet'!$A$140&gt;35,CT58+CS59-DB58,IF(A59&lt;'Données projet'!$A$140,$CQ$205^A59,IF(A59='Données projet'!$A$140,'Données projet'!$B$140,CT58+CS59-DB58)))</f>
        <v>226.80000000000004</v>
      </c>
      <c r="CU59" s="17">
        <f>CT59*VLOOKUP('Données projet'!$B$13,Paramètres!$A$1:$I$89,3,0)*VLOOKUP('Données projet'!$B$13,Paramètres!$A$1:$I$89,5,0)</f>
        <v>194.59440000000006</v>
      </c>
      <c r="CV59" s="13">
        <f t="shared" si="41"/>
        <v>48.554292648263456</v>
      </c>
      <c r="CW59" s="20">
        <f t="shared" si="13"/>
        <v>423.48397302905897</v>
      </c>
      <c r="CX59" s="59">
        <f t="shared" si="14"/>
        <v>701.33572353477211</v>
      </c>
      <c r="CY59" s="59">
        <f ca="1">AVERAGE(OFFSET($CX$3,0,0,'Données projet'!$E$13+1,1))-AVERAGE(OFFSET($H$3,0,0,'Données projet'!$E$13+1,1))</f>
        <v>462.66388549889928</v>
      </c>
      <c r="CZ59" s="59">
        <f t="shared" si="42"/>
        <v>265.3725203415089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57.158153867607112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57.158153867607112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6.0096153837500026</v>
      </c>
      <c r="DO59" s="12">
        <f>IF('Données projet'!$A$166&gt;35,DO58+DN59-DW58,IF(A59&lt;'Données projet'!$A$166,$DL$205^A59,IF(A59='Données projet'!$A$166,'Données projet'!$B$166,DO58+DN59-DW58)))</f>
        <v>166.34615386500005</v>
      </c>
      <c r="DP59" s="17">
        <f>DO59*VLOOKUP('Données projet'!$B$14,Paramètres!$A$1:$I$89,3,0)*VLOOKUP('Données projet'!$B$14,Paramètres!$A$1:$I$89,5,0)</f>
        <v>129.75000001470005</v>
      </c>
      <c r="DQ59" s="13">
        <f t="shared" si="43"/>
        <v>33.938585205761967</v>
      </c>
      <c r="DR59" s="20">
        <f t="shared" si="16"/>
        <v>285.09095259230469</v>
      </c>
      <c r="DS59" s="59">
        <f t="shared" si="17"/>
        <v>562.94270309801777</v>
      </c>
      <c r="DT59" s="59">
        <f ca="1">AVERAGE(OFFSET($DS$3,0,0,'Données projet'!$E$14+1,1))-AVERAGE(OFFSET($H$3,0,0,'Données projet'!$E$14+1,1))</f>
        <v>206.5241977687125</v>
      </c>
      <c r="DU59" s="59">
        <f t="shared" si="44"/>
        <v>205.25001043771269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29.686195064063817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29.686195064063817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3</v>
      </c>
      <c r="EJ59" s="12">
        <f>IF('Données projet'!$A$192&gt;35,EJ58+EI59-ER58,IF(A59&lt;'Données projet'!$A$192,$EG$205^A59,IF(A59='Données projet'!$A$192,'Données projet'!$B$192,EJ58+EI59-ER58)))</f>
        <v>127.99999999999997</v>
      </c>
      <c r="EK59" s="17">
        <f>EJ59*VLOOKUP('Données projet'!$B$15,Paramètres!$A$1:$I$89,3,0)*VLOOKUP('Données projet'!$B$15,Paramètres!$A$1:$I$89,5,0)</f>
        <v>111.82079999999999</v>
      </c>
      <c r="EL59" s="13">
        <f t="shared" si="45"/>
        <v>29.759568497877257</v>
      </c>
      <c r="EM59" s="20">
        <f t="shared" si="19"/>
        <v>246.58580846713622</v>
      </c>
      <c r="EN59" s="59">
        <f t="shared" si="20"/>
        <v>524.43755897284939</v>
      </c>
      <c r="EO59" s="59">
        <f ca="1">AVERAGE(OFFSET($EN$3,0,0,'Données projet'!$E$15+1,1))-AVERAGE(OFFSET($H$3,0,0,'Données projet'!$E$15+1,1))</f>
        <v>205.83135724908942</v>
      </c>
      <c r="EP59" s="59">
        <f t="shared" si="46"/>
        <v>193.60053377311405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25.226183628658958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25.226183628658958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</v>
      </c>
      <c r="FE59" s="12">
        <f>IF('Données projet'!$A$218&gt;35,FE58+FD59-FM58,IF(A59&lt;'Données projet'!$A$218,$FB$205^A59,IF(A59='Données projet'!$A$218,'Données projet'!$B$218,FE58+FD59-FM58)))</f>
        <v>176.00000000000003</v>
      </c>
      <c r="FF59" s="17">
        <f>FE59*VLOOKUP('Données projet'!$B$16,Paramètres!$A$1:$I$89,3,0)*VLOOKUP('Données projet'!$B$16,Paramètres!$A$1:$I$89,5,0)</f>
        <v>115.31520000000003</v>
      </c>
      <c r="FG59" s="13">
        <f t="shared" si="47"/>
        <v>30.579827148797317</v>
      </c>
      <c r="FH59" s="20">
        <f t="shared" si="22"/>
        <v>254.10050561748869</v>
      </c>
      <c r="FI59" s="59">
        <f t="shared" si="23"/>
        <v>531.95225612320178</v>
      </c>
      <c r="FJ59" s="59">
        <f ca="1">AVERAGE(OFFSET($FI$3,0,0,'Données projet'!$E$16+1,1))-AVERAGE(OFFSET($H$3,0,0,'Données projet'!$E$16+1,1))</f>
        <v>242.76791261317206</v>
      </c>
      <c r="FK59" s="59">
        <f t="shared" si="48"/>
        <v>244.28580264867682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26.731433354565638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26.731433354565638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8.8225000000000016</v>
      </c>
      <c r="FZ59" s="12">
        <f>IF('Données projet'!$A$244&gt;35,FZ58+FY59-GH58,IF(A59&lt;'Données projet'!$A$244,$FW$205^A59,IF(A59='Données projet'!$A$244,'Données projet'!$B$244,FZ58+FY59-GH58)))</f>
        <v>190.83250000000004</v>
      </c>
      <c r="GA59" s="17">
        <f>FZ59*VLOOKUP('Données projet'!$B$17,Paramètres!$A$1:$I$89,3,0)*VLOOKUP('Données projet'!$B$17,Paramètres!$A$1:$I$89,5,0)</f>
        <v>181.59620700000002</v>
      </c>
      <c r="GB59" s="13">
        <f t="shared" si="49"/>
        <v>45.677130134384925</v>
      </c>
      <c r="GC59" s="20">
        <f t="shared" si="25"/>
        <v>395.83439550905376</v>
      </c>
      <c r="GD59" s="59">
        <f t="shared" si="26"/>
        <v>673.6861460147669</v>
      </c>
      <c r="GE59" s="59">
        <f ca="1">AVERAGE(OFFSET($GD$3,0,0,'Données projet'!$E$17+1,1))-AVERAGE(OFFSET($H$3,0,0,'Données projet'!$E$17+1,1))</f>
        <v>512.71941256120977</v>
      </c>
      <c r="GF59" s="59">
        <f t="shared" si="50"/>
        <v>230.65031527019354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45.296179468921331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45.296179468921331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65.777750137921757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-5.6843418860808015E-14</v>
      </c>
      <c r="GV59" s="17">
        <f>GU59*VLOOKUP('Données projet'!$B$18,Paramètres!$A$1:$I$89,3,0)*VLOOKUP('Données projet'!$B$18,Paramètres!$A$1:$I$89,5,0)</f>
        <v>-2.5006556825246661E-14</v>
      </c>
      <c r="GW59" s="13" t="e">
        <f t="shared" si="51"/>
        <v>#NUM!</v>
      </c>
      <c r="GX59" s="20" t="e">
        <f t="shared" si="28"/>
        <v>#NUM!</v>
      </c>
      <c r="GY59" s="59" t="e">
        <f t="shared" si="29"/>
        <v>#NUM!</v>
      </c>
      <c r="GZ59" s="59">
        <f ca="1">AVERAGE(OFFSET($GY$3,0,0,'Données projet'!$E$18+1,1))-AVERAGE(OFFSET($H$3,0,0,'Données projet'!$E$18+1,1))</f>
        <v>180.68917161146683</v>
      </c>
      <c r="HA59" s="59">
        <f t="shared" si="52"/>
        <v>344.42126252322419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38.210328726755812</v>
      </c>
      <c r="HH59" s="21">
        <f>EXP(-LN(2)/25)*HH58+(1-EXP(-LN(2)/25))/(LN(2)/25)*Calculateur!HC59*Calculateur!HE59*VLOOKUP('Données projet'!$B$18,Paramètres!$A$1:$I$89,3,0)*0.475*44/12</f>
        <v>8.0557321108777593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46.266060837633574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2.25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8.25</v>
      </c>
      <c r="H60" s="66">
        <f t="shared" si="1"/>
        <v>223.66666666666666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8.8225000000000016</v>
      </c>
      <c r="N60" s="13">
        <f>IF('Données projet'!$A$36&gt;35,N59+M60-V59,IF(A60&lt;'Données projet'!$A$36,$K$205^A60,IF(A60='Données projet'!$A$36,'Données projet'!$B$36,N59+M60-V59)))</f>
        <v>199.65500000000003</v>
      </c>
      <c r="O60" s="13">
        <f>N60*VLOOKUP('Données projet'!$B$9,Paramètres!$A$1:$I$89,3,0)*VLOOKUP('Données projet'!$B$9,Paramètres!$A$1:$I$89,5,0)</f>
        <v>180.64784400000002</v>
      </c>
      <c r="P60" s="13">
        <f t="shared" si="33"/>
        <v>45.466289369556691</v>
      </c>
      <c r="Q60" s="20">
        <f t="shared" si="53"/>
        <v>393.81544895197794</v>
      </c>
      <c r="R60" s="59">
        <f t="shared" si="0"/>
        <v>671.93577030811616</v>
      </c>
      <c r="S60" s="59">
        <f ca="1">AVERAGE(OFFSET($R$3,0,0,'Données projet'!$E$9+1,1))-AVERAGE(OFFSET($H$3,0,0,'Données projet'!$E$9+1,1))</f>
        <v>490.57849401500789</v>
      </c>
      <c r="T60" s="59">
        <f t="shared" si="34"/>
        <v>221.7570623669753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42.223951524814403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42.223951524814403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4.8292136753333335</v>
      </c>
      <c r="AI60" s="13">
        <f>IF('Données projet'!$A$62&gt;35,AI59+AH60-AQ59,IF(A60&lt;'Données projet'!$A$62,$AF$205^A60,IF(A60='Données projet'!$A$62,'Données projet'!$B$62,AI59+AH60-AQ59)))</f>
        <v>187.13235897400003</v>
      </c>
      <c r="AJ60" s="13">
        <f>AI60*VLOOKUP('Données projet'!$B$10,Paramètres!$A$1:$I$89,3,0)*VLOOKUP('Données projet'!$B$10,Paramètres!$A$1:$I$89,5,0)</f>
        <v>125.52838639975921</v>
      </c>
      <c r="AK60" s="13">
        <f t="shared" si="35"/>
        <v>32.961005261803059</v>
      </c>
      <c r="AL60" s="20">
        <f t="shared" si="4"/>
        <v>276.03569047722095</v>
      </c>
      <c r="AM60" s="59">
        <f t="shared" si="5"/>
        <v>554.15601183335923</v>
      </c>
      <c r="AN60" s="59">
        <f ca="1">AVERAGE(OFFSET($AM$3,0,0,'Données projet'!$E$10+1,1))-AVERAGE(OFFSET($H$3,0,0,'Données projet'!$E$10+1,1))</f>
        <v>377.00534440335832</v>
      </c>
      <c r="AO60" s="59">
        <f t="shared" si="36"/>
        <v>131.56029120000656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</v>
      </c>
      <c r="BD60" s="12">
        <f>IF('Données projet'!$A$88&gt;35,BD59+BC60-BL59,IF(A60&lt;'Données projet'!$A$88,$BA$205^A60,IF(A60='Données projet'!$A$88,'Données projet'!$B$88,BD59+BC60-BL59)))</f>
        <v>173.99999999999997</v>
      </c>
      <c r="BE60" s="13">
        <f>BD60*VLOOKUP('Données projet'!$B$11,Paramètres!$A$1:$I$89,3,0)*VLOOKUP('Données projet'!$B$11,Paramètres!$A$1:$I$89,5,0)</f>
        <v>152.00640000000001</v>
      </c>
      <c r="BF60" s="13">
        <f t="shared" si="37"/>
        <v>39.03419401656145</v>
      </c>
      <c r="BG60" s="20">
        <f t="shared" si="7"/>
        <v>332.72903457884451</v>
      </c>
      <c r="BH60" s="59">
        <f t="shared" si="8"/>
        <v>610.84935593498278</v>
      </c>
      <c r="BI60" s="59">
        <f ca="1">AVERAGE(OFFSET($BH$3,0,0,'Données projet'!$E$11+1,1))-AVERAGE(OFFSET($H$3,0,0,'Données projet'!$E$11+1,1))</f>
        <v>314.1123649635374</v>
      </c>
      <c r="BJ60" s="59">
        <f t="shared" si="38"/>
        <v>274.92342227914889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30.817024715965342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30.817024715965342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675.90121934515798</v>
      </c>
      <c r="CD60" s="59">
        <f ca="1">AVERAGE(OFFSET($CC$3,0,0,'Données projet'!$E$12+1,1))-AVERAGE(OFFSET($H$3,0,0,'Données projet'!$E$12+1,1))</f>
        <v>309.86296291630748</v>
      </c>
      <c r="CE60" s="59">
        <f t="shared" si="40"/>
        <v>301.17633325088661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38.572236085567077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38.572236085567077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10.8</v>
      </c>
      <c r="CT60" s="12">
        <f>IF('Données projet'!$A$140&gt;35,CT59+CS60-DB59,IF(A60&lt;'Données projet'!$A$140,$CQ$205^A60,IF(A60='Données projet'!$A$140,'Données projet'!$B$140,CT59+CS60-DB59)))</f>
        <v>237.60000000000005</v>
      </c>
      <c r="CU60" s="17">
        <f>CT60*VLOOKUP('Données projet'!$B$13,Paramètres!$A$1:$I$89,3,0)*VLOOKUP('Données projet'!$B$13,Paramètres!$A$1:$I$89,5,0)</f>
        <v>203.86080000000007</v>
      </c>
      <c r="CV60" s="13">
        <f t="shared" si="41"/>
        <v>50.591708220421786</v>
      </c>
      <c r="CW60" s="20">
        <f t="shared" si="13"/>
        <v>443.17145181723475</v>
      </c>
      <c r="CX60" s="59">
        <f t="shared" si="14"/>
        <v>721.29177317337303</v>
      </c>
      <c r="CY60" s="59">
        <f ca="1">AVERAGE(OFFSET($CX$3,0,0,'Données projet'!$E$13+1,1))-AVERAGE(OFFSET($H$3,0,0,'Données projet'!$E$13+1,1))</f>
        <v>462.66388549889928</v>
      </c>
      <c r="CZ60" s="59">
        <f t="shared" si="42"/>
        <v>265.3725203415089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56.037317333294759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56.037317333294759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6.0096153837500026</v>
      </c>
      <c r="DO60" s="12">
        <f>IF('Données projet'!$A$166&gt;35,DO59+DN60-DW59,IF(A60&lt;'Données projet'!$A$166,$DL$205^A60,IF(A60='Données projet'!$A$166,'Données projet'!$B$166,DO59+DN60-DW59)))</f>
        <v>172.35576924875005</v>
      </c>
      <c r="DP60" s="17">
        <f>DO60*VLOOKUP('Données projet'!$B$14,Paramètres!$A$1:$I$89,3,0)*VLOOKUP('Données projet'!$B$14,Paramètres!$A$1:$I$89,5,0)</f>
        <v>134.43750001402503</v>
      </c>
      <c r="DQ60" s="13">
        <f t="shared" si="43"/>
        <v>35.019723668228849</v>
      </c>
      <c r="DR60" s="20">
        <f t="shared" si="16"/>
        <v>295.1379979132588</v>
      </c>
      <c r="DS60" s="59">
        <f t="shared" si="17"/>
        <v>573.25831926939713</v>
      </c>
      <c r="DT60" s="59">
        <f ca="1">AVERAGE(OFFSET($DS$3,0,0,'Données projet'!$E$14+1,1))-AVERAGE(OFFSET($H$3,0,0,'Données projet'!$E$14+1,1))</f>
        <v>206.5241977687125</v>
      </c>
      <c r="DU60" s="59">
        <f t="shared" si="44"/>
        <v>205.25001043771269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29.104066885648617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29.104066885648617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3</v>
      </c>
      <c r="EJ60" s="12">
        <f>IF('Données projet'!$A$192&gt;35,EJ59+EI60-ER59,IF(A60&lt;'Données projet'!$A$192,$EG$205^A60,IF(A60='Données projet'!$A$192,'Données projet'!$B$192,EJ59+EI60-ER59)))</f>
        <v>130.99999999999997</v>
      </c>
      <c r="EK60" s="17">
        <f>EJ60*VLOOKUP('Données projet'!$B$15,Paramètres!$A$1:$I$89,3,0)*VLOOKUP('Données projet'!$B$15,Paramètres!$A$1:$I$89,5,0)</f>
        <v>114.44159999999998</v>
      </c>
      <c r="EL60" s="13">
        <f t="shared" si="45"/>
        <v>30.375037129843719</v>
      </c>
      <c r="EM60" s="20">
        <f t="shared" si="19"/>
        <v>252.22230966781112</v>
      </c>
      <c r="EN60" s="59">
        <f t="shared" si="20"/>
        <v>530.34263102394937</v>
      </c>
      <c r="EO60" s="59">
        <f ca="1">AVERAGE(OFFSET($EN$3,0,0,'Données projet'!$E$15+1,1))-AVERAGE(OFFSET($H$3,0,0,'Données projet'!$E$15+1,1))</f>
        <v>205.83135724908942</v>
      </c>
      <c r="EP60" s="59">
        <f t="shared" si="46"/>
        <v>193.60053377311405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24.731513554153683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24.731513554153683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</v>
      </c>
      <c r="FE60" s="12">
        <f>IF('Données projet'!$A$218&gt;35,FE59+FD60-FM59,IF(A60&lt;'Données projet'!$A$218,$FB$205^A60,IF(A60='Données projet'!$A$218,'Données projet'!$B$218,FE59+FD60-FM59)))</f>
        <v>181.00000000000003</v>
      </c>
      <c r="FF60" s="17">
        <f>FE60*VLOOKUP('Données projet'!$B$16,Paramètres!$A$1:$I$89,3,0)*VLOOKUP('Données projet'!$B$16,Paramètres!$A$1:$I$89,5,0)</f>
        <v>118.59120000000001</v>
      </c>
      <c r="FG60" s="13">
        <f t="shared" si="47"/>
        <v>31.346194334434067</v>
      </c>
      <c r="FH60" s="20">
        <f t="shared" si="22"/>
        <v>261.14096179913935</v>
      </c>
      <c r="FI60" s="59">
        <f t="shared" si="23"/>
        <v>539.26128315527762</v>
      </c>
      <c r="FJ60" s="59">
        <f ca="1">AVERAGE(OFFSET($FI$3,0,0,'Données projet'!$E$16+1,1))-AVERAGE(OFFSET($H$3,0,0,'Données projet'!$E$16+1,1))</f>
        <v>242.76791261317206</v>
      </c>
      <c r="FK60" s="59">
        <f t="shared" si="48"/>
        <v>244.28580264867682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26.20724625104701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26.20724625104701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8.8225000000000016</v>
      </c>
      <c r="FZ60" s="12">
        <f>IF('Données projet'!$A$244&gt;35,FZ59+FY60-GH59,IF(A60&lt;'Données projet'!$A$244,$FW$205^A60,IF(A60='Données projet'!$A$244,'Données projet'!$B$244,FZ59+FY60-GH59)))</f>
        <v>199.65500000000003</v>
      </c>
      <c r="GA60" s="17">
        <f>FZ60*VLOOKUP('Données projet'!$B$17,Paramètres!$A$1:$I$89,3,0)*VLOOKUP('Données projet'!$B$17,Paramètres!$A$1:$I$89,5,0)</f>
        <v>189.99169800000004</v>
      </c>
      <c r="GB60" s="13">
        <f t="shared" si="49"/>
        <v>47.538117392233929</v>
      </c>
      <c r="GC60" s="20">
        <f t="shared" si="25"/>
        <v>413.6977618081408</v>
      </c>
      <c r="GD60" s="59">
        <f t="shared" si="26"/>
        <v>691.81808316427907</v>
      </c>
      <c r="GE60" s="59">
        <f ca="1">AVERAGE(OFFSET($GD$3,0,0,'Données projet'!$E$17+1,1))-AVERAGE(OFFSET($H$3,0,0,'Données projet'!$E$17+1,1))</f>
        <v>512.71941256120977</v>
      </c>
      <c r="GF60" s="59">
        <f t="shared" si="50"/>
        <v>230.65031527019354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44.407949017477229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44.407949017477229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65.850996733492266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-5.6843418860808015E-14</v>
      </c>
      <c r="GV60" s="17">
        <f>GU60*VLOOKUP('Données projet'!$B$18,Paramètres!$A$1:$I$89,3,0)*VLOOKUP('Données projet'!$B$18,Paramètres!$A$1:$I$89,5,0)</f>
        <v>-2.5006556825246661E-14</v>
      </c>
      <c r="GW60" s="13" t="e">
        <f t="shared" si="51"/>
        <v>#NUM!</v>
      </c>
      <c r="GX60" s="20" t="e">
        <f t="shared" si="28"/>
        <v>#NUM!</v>
      </c>
      <c r="GY60" s="59" t="e">
        <f t="shared" si="29"/>
        <v>#NUM!</v>
      </c>
      <c r="GZ60" s="59">
        <f ca="1">AVERAGE(OFFSET($GY$3,0,0,'Données projet'!$E$18+1,1))-AVERAGE(OFFSET($H$3,0,0,'Données projet'!$E$18+1,1))</f>
        <v>180.68917161146683</v>
      </c>
      <c r="HA60" s="59">
        <f t="shared" si="52"/>
        <v>344.42126252322419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37.461047486423375</v>
      </c>
      <c r="HH60" s="21">
        <f>EXP(-LN(2)/25)*HH59+(1-EXP(-LN(2)/25))/(LN(2)/25)*Calculateur!HC60*Calculateur!HE60*VLOOKUP('Données projet'!$B$18,Paramètres!$A$1:$I$89,3,0)*0.475*44/12</f>
        <v>7.8354476926732666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45.296495179096638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2.25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8.25</v>
      </c>
      <c r="H61" s="66">
        <f t="shared" si="1"/>
        <v>223.66666666666666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8.8225000000000016</v>
      </c>
      <c r="N61" s="13">
        <f>IF('Données projet'!$A$36&gt;35,N60+M61-V60,IF(A61&lt;'Données projet'!$A$36,$K$205^A61,IF(A61='Données projet'!$A$36,'Données projet'!$B$36,N60+M61-V60)))</f>
        <v>208.47750000000002</v>
      </c>
      <c r="O61" s="13">
        <f>N61*VLOOKUP('Données projet'!$B$9,Paramètres!$A$1:$I$89,3,0)*VLOOKUP('Données projet'!$B$9,Paramètres!$A$1:$I$89,5,0)</f>
        <v>188.63044200000002</v>
      </c>
      <c r="P61" s="13">
        <f t="shared" si="33"/>
        <v>47.237035655112237</v>
      </c>
      <c r="Q61" s="20">
        <f t="shared" si="53"/>
        <v>410.80252358265381</v>
      </c>
      <c r="R61" s="59">
        <f t="shared" si="0"/>
        <v>689.18675668539686</v>
      </c>
      <c r="S61" s="59">
        <f ca="1">AVERAGE(OFFSET($R$3,0,0,'Données projet'!$E$9+1,1))-AVERAGE(OFFSET($H$3,0,0,'Données projet'!$E$9+1,1))</f>
        <v>490.57849401500789</v>
      </c>
      <c r="T61" s="59">
        <f t="shared" si="34"/>
        <v>221.7570623669753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41.39596558948022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41.39596558948022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4.8292136753333335</v>
      </c>
      <c r="AI61" s="13">
        <f>IF('Données projet'!$A$62&gt;35,AI60+AH61-AQ60,IF(A61&lt;'Données projet'!$A$62,$AF$205^A61,IF(A61='Données projet'!$A$62,'Données projet'!$B$62,AI60+AH61-AQ60)))</f>
        <v>191.96157264933336</v>
      </c>
      <c r="AJ61" s="13">
        <f>AI61*VLOOKUP('Données projet'!$B$10,Paramètres!$A$1:$I$89,3,0)*VLOOKUP('Données projet'!$B$10,Paramètres!$A$1:$I$89,5,0)</f>
        <v>128.76782293317282</v>
      </c>
      <c r="AK61" s="13">
        <f t="shared" si="35"/>
        <v>33.711481771208454</v>
      </c>
      <c r="AL61" s="20">
        <f t="shared" si="4"/>
        <v>282.98478902679739</v>
      </c>
      <c r="AM61" s="59">
        <f t="shared" si="5"/>
        <v>561.36902212954055</v>
      </c>
      <c r="AN61" s="59">
        <f ca="1">AVERAGE(OFFSET($AM$3,0,0,'Données projet'!$E$10+1,1))-AVERAGE(OFFSET($H$3,0,0,'Données projet'!$E$10+1,1))</f>
        <v>377.00534440335832</v>
      </c>
      <c r="AO61" s="59">
        <f t="shared" si="36"/>
        <v>131.56029120000656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</v>
      </c>
      <c r="BD61" s="12">
        <f>IF('Données projet'!$A$88&gt;35,BD60+BC61-BL60,IF(A61&lt;'Données projet'!$A$88,$BA$205^A61,IF(A61='Données projet'!$A$88,'Données projet'!$B$88,BD60+BC61-BL60)))</f>
        <v>178.99999999999997</v>
      </c>
      <c r="BE61" s="13">
        <f>BD61*VLOOKUP('Données projet'!$B$11,Paramètres!$A$1:$I$89,3,0)*VLOOKUP('Données projet'!$B$11,Paramètres!$A$1:$I$89,5,0)</f>
        <v>156.37440000000001</v>
      </c>
      <c r="BF61" s="13">
        <f t="shared" si="37"/>
        <v>40.023663524293205</v>
      </c>
      <c r="BG61" s="20">
        <f t="shared" si="7"/>
        <v>342.05996063814399</v>
      </c>
      <c r="BH61" s="59">
        <f t="shared" si="8"/>
        <v>620.44419374088716</v>
      </c>
      <c r="BI61" s="59">
        <f ca="1">AVERAGE(OFFSET($BH$3,0,0,'Données projet'!$E$11+1,1))-AVERAGE(OFFSET($H$3,0,0,'Données projet'!$E$11+1,1))</f>
        <v>314.1123649635374</v>
      </c>
      <c r="BJ61" s="59">
        <f t="shared" si="38"/>
        <v>274.92342227914889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30.212721657814335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30.212721657814335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684.96902601369629</v>
      </c>
      <c r="CD61" s="59">
        <f ca="1">AVERAGE(OFFSET($CC$3,0,0,'Données projet'!$E$12+1,1))-AVERAGE(OFFSET($H$3,0,0,'Données projet'!$E$12+1,1))</f>
        <v>309.86296291630748</v>
      </c>
      <c r="CE61" s="59">
        <f t="shared" si="40"/>
        <v>301.17633325088661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37.815858062670046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37.815858062670046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10.8</v>
      </c>
      <c r="CT61" s="12">
        <f>IF('Données projet'!$A$140&gt;35,CT60+CS61-DB60,IF(A61&lt;'Données projet'!$A$140,$CQ$205^A61,IF(A61='Données projet'!$A$140,'Données projet'!$B$140,CT60+CS61-DB60)))</f>
        <v>248.40000000000006</v>
      </c>
      <c r="CU61" s="17">
        <f>CT61*VLOOKUP('Données projet'!$B$13,Paramètres!$A$1:$I$89,3,0)*VLOOKUP('Données projet'!$B$13,Paramètres!$A$1:$I$89,5,0)</f>
        <v>213.12720000000004</v>
      </c>
      <c r="CV61" s="13">
        <f t="shared" si="41"/>
        <v>52.618368568459893</v>
      </c>
      <c r="CW61" s="20">
        <f t="shared" si="13"/>
        <v>462.8401985900677</v>
      </c>
      <c r="CX61" s="59">
        <f t="shared" si="14"/>
        <v>741.22443169281087</v>
      </c>
      <c r="CY61" s="59">
        <f ca="1">AVERAGE(OFFSET($CX$3,0,0,'Données projet'!$E$13+1,1))-AVERAGE(OFFSET($H$3,0,0,'Données projet'!$E$13+1,1))</f>
        <v>462.66388549889928</v>
      </c>
      <c r="CZ61" s="59">
        <f t="shared" si="42"/>
        <v>265.3725203415089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54.938459719777491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54.938459719777491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6.0096153837500026</v>
      </c>
      <c r="DO61" s="12">
        <f>IF('Données projet'!$A$166&gt;35,DO60+DN61-DW60,IF(A61&lt;'Données projet'!$A$166,$DL$205^A61,IF(A61='Données projet'!$A$166,'Données projet'!$B$166,DO60+DN61-DW60)))</f>
        <v>178.36538463250005</v>
      </c>
      <c r="DP61" s="17">
        <f>DO61*VLOOKUP('Données projet'!$B$14,Paramètres!$A$1:$I$89,3,0)*VLOOKUP('Données projet'!$B$14,Paramètres!$A$1:$I$89,5,0)</f>
        <v>139.12500001335005</v>
      </c>
      <c r="DQ61" s="13">
        <f t="shared" si="43"/>
        <v>36.096482201309165</v>
      </c>
      <c r="DR61" s="20">
        <f t="shared" si="16"/>
        <v>305.17741485719807</v>
      </c>
      <c r="DS61" s="59">
        <f t="shared" si="17"/>
        <v>583.56164795994118</v>
      </c>
      <c r="DT61" s="59">
        <f ca="1">AVERAGE(OFFSET($DS$3,0,0,'Données projet'!$E$14+1,1))-AVERAGE(OFFSET($H$3,0,0,'Données projet'!$E$14+1,1))</f>
        <v>206.5241977687125</v>
      </c>
      <c r="DU61" s="59">
        <f t="shared" si="44"/>
        <v>205.25001043771269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28.533353885749012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28.533353885749012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3</v>
      </c>
      <c r="EJ61" s="12">
        <f>IF('Données projet'!$A$192&gt;35,EJ60+EI61-ER60,IF(A61&lt;'Données projet'!$A$192,$EG$205^A61,IF(A61='Données projet'!$A$192,'Données projet'!$B$192,EJ60+EI61-ER60)))</f>
        <v>133.99999999999997</v>
      </c>
      <c r="EK61" s="17">
        <f>EJ61*VLOOKUP('Données projet'!$B$15,Paramètres!$A$1:$I$89,3,0)*VLOOKUP('Données projet'!$B$15,Paramètres!$A$1:$I$89,5,0)</f>
        <v>117.0624</v>
      </c>
      <c r="EL61" s="13">
        <f t="shared" si="45"/>
        <v>30.988867171899152</v>
      </c>
      <c r="EM61" s="20">
        <f t="shared" si="19"/>
        <v>257.85595699105767</v>
      </c>
      <c r="EN61" s="59">
        <f t="shared" si="20"/>
        <v>536.24019009380072</v>
      </c>
      <c r="EO61" s="59">
        <f ca="1">AVERAGE(OFFSET($EN$3,0,0,'Données projet'!$E$15+1,1))-AVERAGE(OFFSET($H$3,0,0,'Données projet'!$E$15+1,1))</f>
        <v>205.83135724908942</v>
      </c>
      <c r="EP61" s="59">
        <f t="shared" si="46"/>
        <v>193.60053377311405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24.246543658090502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24.246543658090502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</v>
      </c>
      <c r="FE61" s="12">
        <f>IF('Données projet'!$A$218&gt;35,FE60+FD61-FM60,IF(A61&lt;'Données projet'!$A$218,$FB$205^A61,IF(A61='Données projet'!$A$218,'Données projet'!$B$218,FE60+FD61-FM60)))</f>
        <v>186.00000000000003</v>
      </c>
      <c r="FF61" s="17">
        <f>FE61*VLOOKUP('Données projet'!$B$16,Paramètres!$A$1:$I$89,3,0)*VLOOKUP('Données projet'!$B$16,Paramètres!$A$1:$I$89,5,0)</f>
        <v>121.86720000000001</v>
      </c>
      <c r="FG61" s="13">
        <f t="shared" si="47"/>
        <v>32.110100916567376</v>
      </c>
      <c r="FH61" s="20">
        <f t="shared" si="22"/>
        <v>268.17713242968824</v>
      </c>
      <c r="FI61" s="59">
        <f t="shared" si="23"/>
        <v>546.56136553243141</v>
      </c>
      <c r="FJ61" s="59">
        <f ca="1">AVERAGE(OFFSET($FI$3,0,0,'Données projet'!$E$16+1,1))-AVERAGE(OFFSET($H$3,0,0,'Données projet'!$E$16+1,1))</f>
        <v>242.76791261317206</v>
      </c>
      <c r="FK61" s="59">
        <f t="shared" si="48"/>
        <v>244.28580264867682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25.693338136905819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25.693338136905819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8.8225000000000016</v>
      </c>
      <c r="FZ61" s="12">
        <f>IF('Données projet'!$A$244&gt;35,FZ60+FY61-GH60,IF(A61&lt;'Données projet'!$A$244,$FW$205^A61,IF(A61='Données projet'!$A$244,'Données projet'!$B$244,FZ60+FY61-GH60)))</f>
        <v>208.47750000000002</v>
      </c>
      <c r="GA61" s="17">
        <f>FZ61*VLOOKUP('Données projet'!$B$17,Paramètres!$A$1:$I$89,3,0)*VLOOKUP('Données projet'!$B$17,Paramètres!$A$1:$I$89,5,0)</f>
        <v>198.38718900000001</v>
      </c>
      <c r="GB61" s="13">
        <f t="shared" si="49"/>
        <v>49.389553829247454</v>
      </c>
      <c r="GC61" s="20">
        <f t="shared" si="25"/>
        <v>431.5444937609393</v>
      </c>
      <c r="GD61" s="59">
        <f t="shared" si="26"/>
        <v>709.92872686368241</v>
      </c>
      <c r="GE61" s="59">
        <f ca="1">AVERAGE(OFFSET($GD$3,0,0,'Données projet'!$E$17+1,1))-AVERAGE(OFFSET($H$3,0,0,'Données projet'!$E$17+1,1))</f>
        <v>512.71941256120977</v>
      </c>
      <c r="GF61" s="59">
        <f t="shared" si="50"/>
        <v>230.65031527019354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43.537136223418862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43.537136223418862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65.922972664384488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-5.6843418860808015E-14</v>
      </c>
      <c r="GV61" s="17">
        <f>GU61*VLOOKUP('Données projet'!$B$18,Paramètres!$A$1:$I$89,3,0)*VLOOKUP('Données projet'!$B$18,Paramètres!$A$1:$I$89,5,0)</f>
        <v>-2.5006556825246661E-14</v>
      </c>
      <c r="GW61" s="13" t="e">
        <f t="shared" si="51"/>
        <v>#NUM!</v>
      </c>
      <c r="GX61" s="20" t="e">
        <f t="shared" si="28"/>
        <v>#NUM!</v>
      </c>
      <c r="GY61" s="59" t="e">
        <f t="shared" si="29"/>
        <v>#NUM!</v>
      </c>
      <c r="GZ61" s="59">
        <f ca="1">AVERAGE(OFFSET($GY$3,0,0,'Données projet'!$E$18+1,1))-AVERAGE(OFFSET($H$3,0,0,'Données projet'!$E$18+1,1))</f>
        <v>180.68917161146683</v>
      </c>
      <c r="HA61" s="59">
        <f t="shared" si="52"/>
        <v>344.42126252322419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36.726459194197432</v>
      </c>
      <c r="HH61" s="21">
        <f>EXP(-LN(2)/25)*HH60+(1-EXP(-LN(2)/25))/(LN(2)/25)*Calculateur!HC61*Calculateur!HE61*VLOOKUP('Données projet'!$B$18,Paramètres!$A$1:$I$89,3,0)*0.475*44/12</f>
        <v>7.6211869634688298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44.347646157666262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2.25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8.25</v>
      </c>
      <c r="H62" s="66">
        <f t="shared" si="1"/>
        <v>223.66666666666666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217.3</v>
      </c>
      <c r="L62" s="12">
        <f>VLOOKUP(A62,'Données projet'!$A$35:$I$55,9,0)</f>
        <v>8.8225000000000016</v>
      </c>
      <c r="M62" s="12">
        <f t="array" ref="M62">INDEX(L:L,MIN(IF(ISNUMBER(L62:L258),ROW(L62:L258),"")))</f>
        <v>8.8225000000000016</v>
      </c>
      <c r="N62" s="13">
        <f>IF('Données projet'!$A$36&gt;35,N61+M62-V61,IF(A62&lt;'Données projet'!$A$36,$K$205^A62,IF(A62='Données projet'!$A$36,'Données projet'!$B$36,N61+M62-V61)))</f>
        <v>217.3</v>
      </c>
      <c r="O62" s="13">
        <f>N62*VLOOKUP('Données projet'!$B$9,Paramètres!$A$1:$I$89,3,0)*VLOOKUP('Données projet'!$B$9,Paramètres!$A$1:$I$89,5,0)</f>
        <v>196.61303999999998</v>
      </c>
      <c r="P62" s="13">
        <f t="shared" si="33"/>
        <v>48.999078128589645</v>
      </c>
      <c r="Q62" s="20">
        <f t="shared" si="53"/>
        <v>427.77443907396031</v>
      </c>
      <c r="R62" s="59">
        <f t="shared" si="0"/>
        <v>706.41800564452296</v>
      </c>
      <c r="S62" s="59">
        <f ca="1">AVERAGE(OFFSET($R$3,0,0,'Données projet'!$E$9+1,1))-AVERAGE(OFFSET($H$3,0,0,'Données projet'!$E$9+1,1))</f>
        <v>490.57849401500789</v>
      </c>
      <c r="T62" s="59">
        <f t="shared" si="34"/>
        <v>221.7570623669753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48.96</v>
      </c>
      <c r="W62" s="16">
        <f>IF(ISNA(VLOOKUP(A62,'Données projet'!$A$35:$I$55,5,0)),0%,VLOOKUP(A62,'Données projet'!$A$35:$I$55,5,0)*VLOOKUP('Données projet'!$B$9,Paramètres!$A$1:$I$89,7,0))</f>
        <v>0.43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61.641849663594456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61.641849663594456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4.8292136753333335</v>
      </c>
      <c r="AI62" s="13">
        <f>IF('Données projet'!$A$62&gt;35,AI61+AH62-AQ61,IF(A62&lt;'Données projet'!$A$62,$AF$205^A62,IF(A62='Données projet'!$A$62,'Données projet'!$B$62,AI61+AH62-AQ61)))</f>
        <v>196.7907863246667</v>
      </c>
      <c r="AJ62" s="13">
        <f>AI62*VLOOKUP('Données projet'!$B$10,Paramètres!$A$1:$I$89,3,0)*VLOOKUP('Données projet'!$B$10,Paramètres!$A$1:$I$89,5,0)</f>
        <v>132.00725946658642</v>
      </c>
      <c r="AK62" s="13">
        <f t="shared" si="35"/>
        <v>34.459763632458035</v>
      </c>
      <c r="AL62" s="20">
        <f t="shared" si="4"/>
        <v>289.93006523083574</v>
      </c>
      <c r="AM62" s="59">
        <f t="shared" si="5"/>
        <v>568.57363180139828</v>
      </c>
      <c r="AN62" s="59">
        <f ca="1">AVERAGE(OFFSET($AM$3,0,0,'Données projet'!$E$10+1,1))-AVERAGE(OFFSET($H$3,0,0,'Données projet'!$E$10+1,1))</f>
        <v>377.00534440335832</v>
      </c>
      <c r="AO62" s="59">
        <f t="shared" si="36"/>
        <v>131.56029120000656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</v>
      </c>
      <c r="BD62" s="12">
        <f>IF('Données projet'!$A$88&gt;35,BD61+BC62-BL61,IF(A62&lt;'Données projet'!$A$88,$BA$205^A62,IF(A62='Données projet'!$A$88,'Données projet'!$B$88,BD61+BC62-BL61)))</f>
        <v>183.99999999999997</v>
      </c>
      <c r="BE62" s="13">
        <f>BD62*VLOOKUP('Données projet'!$B$11,Paramètres!$A$1:$I$89,3,0)*VLOOKUP('Données projet'!$B$11,Paramètres!$A$1:$I$89,5,0)</f>
        <v>160.7424</v>
      </c>
      <c r="BF62" s="13">
        <f t="shared" si="37"/>
        <v>41.009920657227809</v>
      </c>
      <c r="BG62" s="20">
        <f t="shared" si="7"/>
        <v>351.38529181133845</v>
      </c>
      <c r="BH62" s="59">
        <f t="shared" si="8"/>
        <v>630.02885838190105</v>
      </c>
      <c r="BI62" s="59">
        <f ca="1">AVERAGE(OFFSET($BH$3,0,0,'Données projet'!$E$11+1,1))-AVERAGE(OFFSET($H$3,0,0,'Données projet'!$E$11+1,1))</f>
        <v>314.1123649635374</v>
      </c>
      <c r="BJ62" s="59">
        <f t="shared" si="38"/>
        <v>274.92342227914889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29.620268614045198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29.620268614045198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694.02813538048554</v>
      </c>
      <c r="CD62" s="59">
        <f ca="1">AVERAGE(OFFSET($CC$3,0,0,'Données projet'!$E$12+1,1))-AVERAGE(OFFSET($H$3,0,0,'Données projet'!$E$12+1,1))</f>
        <v>309.86296291630748</v>
      </c>
      <c r="CE62" s="59">
        <f t="shared" si="40"/>
        <v>301.17633325088661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37.074312151456986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37.074312151456986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10.8</v>
      </c>
      <c r="CT62" s="12">
        <f>IF('Données projet'!$A$140&gt;35,CT61+CS62-DB61,IF(A62&lt;'Données projet'!$A$140,$CQ$205^A62,IF(A62='Données projet'!$A$140,'Données projet'!$B$140,CT61+CS62-DB61)))</f>
        <v>259.20000000000005</v>
      </c>
      <c r="CU62" s="17">
        <f>CT62*VLOOKUP('Données projet'!$B$13,Paramètres!$A$1:$I$89,3,0)*VLOOKUP('Données projet'!$B$13,Paramètres!$A$1:$I$89,5,0)</f>
        <v>222.39360000000005</v>
      </c>
      <c r="CV62" s="13">
        <f t="shared" si="41"/>
        <v>54.634794757949287</v>
      </c>
      <c r="CW62" s="20">
        <f t="shared" si="13"/>
        <v>482.49112087009513</v>
      </c>
      <c r="CX62" s="59">
        <f t="shared" si="14"/>
        <v>761.13468744065767</v>
      </c>
      <c r="CY62" s="59">
        <f ca="1">AVERAGE(OFFSET($CX$3,0,0,'Données projet'!$E$13+1,1))-AVERAGE(OFFSET($H$3,0,0,'Données projet'!$E$13+1,1))</f>
        <v>462.66388549889928</v>
      </c>
      <c r="CZ62" s="59">
        <f t="shared" si="42"/>
        <v>265.3725203415089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53.86115003382433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53.86115003382433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6.0096153837500026</v>
      </c>
      <c r="DO62" s="12">
        <f>IF('Données projet'!$A$166&gt;35,DO61+DN62-DW61,IF(A62&lt;'Données projet'!$A$166,$DL$205^A62,IF(A62='Données projet'!$A$166,'Données projet'!$B$166,DO61+DN62-DW61)))</f>
        <v>184.37500001625006</v>
      </c>
      <c r="DP62" s="17">
        <f>DO62*VLOOKUP('Données projet'!$B$14,Paramètres!$A$1:$I$89,3,0)*VLOOKUP('Données projet'!$B$14,Paramètres!$A$1:$I$89,5,0)</f>
        <v>143.81250001267506</v>
      </c>
      <c r="DQ62" s="13">
        <f t="shared" si="43"/>
        <v>37.169025294685142</v>
      </c>
      <c r="DR62" s="20">
        <f t="shared" si="16"/>
        <v>315.20948991031895</v>
      </c>
      <c r="DS62" s="59">
        <f t="shared" si="17"/>
        <v>593.85305648088161</v>
      </c>
      <c r="DT62" s="59">
        <f ca="1">AVERAGE(OFFSET($DS$3,0,0,'Données projet'!$E$14+1,1))-AVERAGE(OFFSET($H$3,0,0,'Données projet'!$E$14+1,1))</f>
        <v>206.5241977687125</v>
      </c>
      <c r="DU62" s="59">
        <f t="shared" si="44"/>
        <v>205.25001043771269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27.973832219676879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27.973832219676879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3</v>
      </c>
      <c r="EJ62" s="12">
        <f>IF('Données projet'!$A$192&gt;35,EJ61+EI62-ER61,IF(A62&lt;'Données projet'!$A$192,$EG$205^A62,IF(A62='Données projet'!$A$192,'Données projet'!$B$192,EJ61+EI62-ER61)))</f>
        <v>136.99999999999997</v>
      </c>
      <c r="EK62" s="17">
        <f>EJ62*VLOOKUP('Données projet'!$B$15,Paramètres!$A$1:$I$89,3,0)*VLOOKUP('Données projet'!$B$15,Paramètres!$A$1:$I$89,5,0)</f>
        <v>119.68319999999999</v>
      </c>
      <c r="EL62" s="13">
        <f t="shared" si="45"/>
        <v>31.601099532596166</v>
      </c>
      <c r="EM62" s="20">
        <f t="shared" si="19"/>
        <v>263.48682168593831</v>
      </c>
      <c r="EN62" s="59">
        <f t="shared" si="20"/>
        <v>542.13038825650096</v>
      </c>
      <c r="EO62" s="59">
        <f ca="1">AVERAGE(OFFSET($EN$3,0,0,'Données projet'!$E$15+1,1))-AVERAGE(OFFSET($H$3,0,0,'Données projet'!$E$15+1,1))</f>
        <v>205.83135724908942</v>
      </c>
      <c r="EP62" s="59">
        <f t="shared" si="46"/>
        <v>193.60053377311405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23.771083725886694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23.771083725886694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</v>
      </c>
      <c r="FE62" s="12">
        <f>IF('Données projet'!$A$218&gt;35,FE61+FD62-FM61,IF(A62&lt;'Données projet'!$A$218,$FB$205^A62,IF(A62='Données projet'!$A$218,'Données projet'!$B$218,FE61+FD62-FM61)))</f>
        <v>191.00000000000003</v>
      </c>
      <c r="FF62" s="17">
        <f>FE62*VLOOKUP('Données projet'!$B$16,Paramètres!$A$1:$I$89,3,0)*VLOOKUP('Données projet'!$B$16,Paramètres!$A$1:$I$89,5,0)</f>
        <v>125.14320000000002</v>
      </c>
      <c r="FG62" s="13">
        <f t="shared" si="47"/>
        <v>32.871620642334328</v>
      </c>
      <c r="FH62" s="20">
        <f t="shared" si="22"/>
        <v>275.20914595206563</v>
      </c>
      <c r="FI62" s="59">
        <f t="shared" si="23"/>
        <v>553.85271252262828</v>
      </c>
      <c r="FJ62" s="59">
        <f ca="1">AVERAGE(OFFSET($FI$3,0,0,'Données projet'!$E$16+1,1))-AVERAGE(OFFSET($H$3,0,0,'Données projet'!$E$16+1,1))</f>
        <v>242.76791261317206</v>
      </c>
      <c r="FK62" s="59">
        <f t="shared" si="48"/>
        <v>244.28580264867682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25.189507447429939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25.189507447429939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>
        <f>VLOOKUP(A62,'Données projet'!$A$243:$I$263,2,0)</f>
        <v>217.3</v>
      </c>
      <c r="FX62" s="12">
        <f>VLOOKUP(A62,'Données projet'!$A$243:$I$263,9,0)</f>
        <v>8.8225000000000016</v>
      </c>
      <c r="FY62" s="12">
        <f t="array" ref="FY62">INDEX(FX:FX,MIN(IF(ISNUMBER(FX62:FX258),ROW(FX62:FX258),"")))</f>
        <v>8.8225000000000016</v>
      </c>
      <c r="FZ62" s="12">
        <f>IF('Données projet'!$A$244&gt;35,FZ61+FY62-GH61,IF(A62&lt;'Données projet'!$A$244,$FW$205^A62,IF(A62='Données projet'!$A$244,'Données projet'!$B$244,FZ61+FY62-GH61)))</f>
        <v>217.3</v>
      </c>
      <c r="GA62" s="17">
        <f>FZ62*VLOOKUP('Données projet'!$B$17,Paramètres!$A$1:$I$89,3,0)*VLOOKUP('Données projet'!$B$17,Paramètres!$A$1:$I$89,5,0)</f>
        <v>206.78268</v>
      </c>
      <c r="GB62" s="13">
        <f t="shared" si="49"/>
        <v>51.231889835017043</v>
      </c>
      <c r="GC62" s="20">
        <f t="shared" si="25"/>
        <v>449.37537579598796</v>
      </c>
      <c r="GD62" s="59">
        <f t="shared" si="26"/>
        <v>728.01894236655062</v>
      </c>
      <c r="GE62" s="59">
        <f ca="1">AVERAGE(OFFSET($GD$3,0,0,'Données projet'!$E$17+1,1))-AVERAGE(OFFSET($H$3,0,0,'Données projet'!$E$17+1,1))</f>
        <v>512.71941256120977</v>
      </c>
      <c r="GF62" s="59">
        <f t="shared" si="50"/>
        <v>230.65031527019354</v>
      </c>
      <c r="GG62" s="15">
        <f>IF(ISNA(VLOOKUP(A62,'Données projet'!$A$243:$I$263,3,0)),0,VLOOKUP(A62,'Données projet'!$A$243:$I$263,3,0))</f>
        <v>3</v>
      </c>
      <c r="GH62" s="15">
        <f>IF(ISNA(VLOOKUP(A62,'Données projet'!$A$243:$I$263,4,0)),0,VLOOKUP(A62,'Données projet'!$A$243:$I$263,4,0))</f>
        <v>48.96</v>
      </c>
      <c r="GI62" s="16">
        <f>IF(ISNA(VLOOKUP(A62,'Données projet'!$A$243:$I$263,5,0)),0%,VLOOKUP(A62,'Données projet'!$A$243:$I$263,5,0)*VLOOKUP('Données projet'!$B$17,Paramètres!$A$1:$I$89,7,0))</f>
        <v>0.43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64.83022119791832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64.83022119791832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65.993699973789802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-5.6843418860808015E-14</v>
      </c>
      <c r="GV62" s="17">
        <f>GU62*VLOOKUP('Données projet'!$B$18,Paramètres!$A$1:$I$89,3,0)*VLOOKUP('Données projet'!$B$18,Paramètres!$A$1:$I$89,5,0)</f>
        <v>-2.5006556825246661E-14</v>
      </c>
      <c r="GW62" s="13" t="e">
        <f t="shared" si="51"/>
        <v>#NUM!</v>
      </c>
      <c r="GX62" s="20" t="e">
        <f t="shared" si="28"/>
        <v>#NUM!</v>
      </c>
      <c r="GY62" s="59" t="e">
        <f t="shared" si="29"/>
        <v>#NUM!</v>
      </c>
      <c r="GZ62" s="59">
        <f ca="1">AVERAGE(OFFSET($GY$3,0,0,'Données projet'!$E$18+1,1))-AVERAGE(OFFSET($H$3,0,0,'Données projet'!$E$18+1,1))</f>
        <v>180.68917161146683</v>
      </c>
      <c r="HA62" s="59">
        <f t="shared" si="52"/>
        <v>344.42126252322419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36.006275730327424</v>
      </c>
      <c r="HH62" s="21">
        <f>EXP(-LN(2)/25)*HH61+(1-EXP(-LN(2)/25))/(LN(2)/25)*Calculateur!HC62*Calculateur!HE62*VLOOKUP('Données projet'!$B$18,Paramètres!$A$1:$I$89,3,0)*0.475*44/12</f>
        <v>7.4127852051719705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43.419060935499395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2.25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8.25</v>
      </c>
      <c r="H63" s="66">
        <f t="shared" si="1"/>
        <v>223.66666666666666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8.0925000000000011</v>
      </c>
      <c r="N63" s="13">
        <f>IF('Données projet'!$A$36&gt;35,N62+M63-V62,IF(A63&lt;'Données projet'!$A$36,$K$205^A63,IF(A63='Données projet'!$A$36,'Données projet'!$B$36,N62+M63-V62)))</f>
        <v>176.4325</v>
      </c>
      <c r="O63" s="13">
        <f>N63*VLOOKUP('Données projet'!$B$9,Paramètres!$A$1:$I$89,3,0)*VLOOKUP('Données projet'!$B$9,Paramètres!$A$1:$I$89,5,0)</f>
        <v>159.63612599999999</v>
      </c>
      <c r="P63" s="13">
        <f t="shared" si="33"/>
        <v>40.760431738010503</v>
      </c>
      <c r="Q63" s="20">
        <f t="shared" si="53"/>
        <v>349.02400472703494</v>
      </c>
      <c r="R63" s="59">
        <f t="shared" si="0"/>
        <v>627.92240590953315</v>
      </c>
      <c r="S63" s="59">
        <f ca="1">AVERAGE(OFFSET($R$3,0,0,'Données projet'!$E$9+1,1))-AVERAGE(OFFSET($H$3,0,0,'Données projet'!$E$9+1,1))</f>
        <v>490.57849401500789</v>
      </c>
      <c r="T63" s="59">
        <f t="shared" si="34"/>
        <v>221.7570623669753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60.433090589507188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60.433090589507188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201.62</v>
      </c>
      <c r="AG63" s="12">
        <f>VLOOKUP(A63,'Données projet'!$A$61:$I$81,9,0)</f>
        <v>4.8292136753333335</v>
      </c>
      <c r="AH63" s="12">
        <f t="array" ref="AH63">INDEX(AG:AG,MIN(IF(ISNUMBER(AG63:AG259),ROW(AG63:AG259),"")))</f>
        <v>4.8292136753333335</v>
      </c>
      <c r="AI63" s="13">
        <f>IF('Données projet'!$A$62&gt;35,AI62+AH63-AQ62,IF(A63&lt;'Données projet'!$A$62,$AF$205^A63,IF(A63='Données projet'!$A$62,'Données projet'!$B$62,AI62+AH63-AQ62)))</f>
        <v>201.62000000000003</v>
      </c>
      <c r="AJ63" s="13">
        <f>AI63*VLOOKUP('Données projet'!$B$10,Paramètres!$A$1:$I$89,3,0)*VLOOKUP('Données projet'!$B$10,Paramètres!$A$1:$I$89,5,0)</f>
        <v>135.24669600000004</v>
      </c>
      <c r="AK63" s="13">
        <f t="shared" si="35"/>
        <v>35.205910897132611</v>
      </c>
      <c r="AL63" s="20">
        <f t="shared" si="4"/>
        <v>296.87162367917267</v>
      </c>
      <c r="AM63" s="59">
        <f t="shared" si="5"/>
        <v>575.77002486167089</v>
      </c>
      <c r="AN63" s="59">
        <f ca="1">AVERAGE(OFFSET($AM$3,0,0,'Données projet'!$E$10+1,1))-AVERAGE(OFFSET($H$3,0,0,'Données projet'!$E$10+1,1))</f>
        <v>377.00534440335832</v>
      </c>
      <c r="AO63" s="59">
        <f t="shared" si="36"/>
        <v>131.56029120000656</v>
      </c>
      <c r="AP63" s="15">
        <f>IF(ISNA(VLOOKUP(A63,'Données projet'!$A$61:$I$81,3,0)),0,VLOOKUP(A63,'Données projet'!$A$61:$I$81,3,0))</f>
        <v>1</v>
      </c>
      <c r="AQ63" s="15">
        <f>IF(ISNA(VLOOKUP(A63,'Données projet'!$A$61:$I$81,4,0)),0,VLOOKUP(A63,'Données projet'!$A$61:$I$81,4,0))</f>
        <v>69.84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27.448604184720988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27.448604184720988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189</v>
      </c>
      <c r="BB63" s="12">
        <f>VLOOKUP(A63,'Données projet'!$A$87:$I$107,9,0)</f>
        <v>5</v>
      </c>
      <c r="BC63" s="12">
        <f t="array" ref="BC63">INDEX(BB:BB,MIN(IF(ISNUMBER(BB63:BB259),ROW(BB63:BB259),"")))</f>
        <v>5</v>
      </c>
      <c r="BD63" s="12">
        <f>IF('Données projet'!$A$88&gt;35,BD62+BC63-BL62,IF(A63&lt;'Données projet'!$A$88,$BA$205^A63,IF(A63='Données projet'!$A$88,'Données projet'!$B$88,BD62+BC63-BL62)))</f>
        <v>188.99999999999997</v>
      </c>
      <c r="BE63" s="13">
        <f>BD63*VLOOKUP('Données projet'!$B$11,Paramètres!$A$1:$I$89,3,0)*VLOOKUP('Données projet'!$B$11,Paramètres!$A$1:$I$89,5,0)</f>
        <v>165.1104</v>
      </c>
      <c r="BF63" s="13">
        <f t="shared" si="37"/>
        <v>41.993062739333446</v>
      </c>
      <c r="BG63" s="20">
        <f t="shared" si="7"/>
        <v>360.70519760433905</v>
      </c>
      <c r="BH63" s="59">
        <f t="shared" si="8"/>
        <v>639.60359878683721</v>
      </c>
      <c r="BI63" s="59">
        <f ca="1">AVERAGE(OFFSET($BH$3,0,0,'Données projet'!$E$11+1,1))-AVERAGE(OFFSET($H$3,0,0,'Données projet'!$E$11+1,1))</f>
        <v>314.1123649635374</v>
      </c>
      <c r="BJ63" s="59">
        <f t="shared" si="38"/>
        <v>274.92342227914889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16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35.6837170071964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35.6837170071964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703.07872647522413</v>
      </c>
      <c r="CD63" s="59">
        <f ca="1">AVERAGE(OFFSET($CC$3,0,0,'Données projet'!$E$12+1,1))-AVERAGE(OFFSET($H$3,0,0,'Données projet'!$E$12+1,1))</f>
        <v>309.86296291630748</v>
      </c>
      <c r="CE63" s="59">
        <f t="shared" si="40"/>
        <v>301.17633325088661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41.941005311227265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41.941005311227265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270</v>
      </c>
      <c r="CR63" s="12">
        <f>VLOOKUP(A63,'Données projet'!$A$139:$I$159,9,0)</f>
        <v>10.8</v>
      </c>
      <c r="CS63" s="12">
        <f t="array" ref="CS63">INDEX(CR:CR,MIN(IF(ISNUMBER(CR63:CR259),ROW(CR63:CR259),"")))</f>
        <v>10.8</v>
      </c>
      <c r="CT63" s="12">
        <f>IF('Données projet'!$A$140&gt;35,CT62+CS63-DB62,IF(A63&lt;'Données projet'!$A$140,$CQ$205^A63,IF(A63='Données projet'!$A$140,'Données projet'!$B$140,CT62+CS63-DB62)))</f>
        <v>270.00000000000006</v>
      </c>
      <c r="CU63" s="17">
        <f>CT63*VLOOKUP('Données projet'!$B$13,Paramètres!$A$1:$I$89,3,0)*VLOOKUP('Données projet'!$B$13,Paramètres!$A$1:$I$89,5,0)</f>
        <v>231.66000000000011</v>
      </c>
      <c r="CV63" s="13">
        <f t="shared" si="41"/>
        <v>56.641461975682823</v>
      </c>
      <c r="CW63" s="20">
        <f t="shared" si="13"/>
        <v>502.1250462743144</v>
      </c>
      <c r="CX63" s="59">
        <f t="shared" si="14"/>
        <v>781.02344745681262</v>
      </c>
      <c r="CY63" s="59">
        <f ca="1">AVERAGE(OFFSET($CX$3,0,0,'Données projet'!$E$13+1,1))-AVERAGE(OFFSET($H$3,0,0,'Données projet'!$E$13+1,1))</f>
        <v>462.66388549889928</v>
      </c>
      <c r="CZ63" s="59">
        <f t="shared" si="42"/>
        <v>265.3725203415089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0.53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66.880610544605474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66.880610544605474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190.3846154</v>
      </c>
      <c r="DM63" s="12">
        <f>VLOOKUP(A63,'Données projet'!$A$165:$I$185,9,0)</f>
        <v>6.0096153837500026</v>
      </c>
      <c r="DN63" s="12">
        <f t="array" ref="DN63">INDEX(DM:DM,MIN(IF(ISNUMBER(DM63:DM259),ROW(DM63:DM259),"")))</f>
        <v>6.0096153837500026</v>
      </c>
      <c r="DO63" s="12">
        <f>IF('Données projet'!$A$166&gt;35,DO62+DN63-DW62,IF(A63&lt;'Données projet'!$A$166,$DL$205^A63,IF(A63='Données projet'!$A$166,'Données projet'!$B$166,DO62+DN63-DW62)))</f>
        <v>190.38461540000006</v>
      </c>
      <c r="DP63" s="17">
        <f>DO63*VLOOKUP('Données projet'!$B$14,Paramètres!$A$1:$I$89,3,0)*VLOOKUP('Données projet'!$B$14,Paramètres!$A$1:$I$89,5,0)</f>
        <v>148.50000001200004</v>
      </c>
      <c r="DQ63" s="13">
        <f t="shared" si="43"/>
        <v>38.23750610644047</v>
      </c>
      <c r="DR63" s="20">
        <f t="shared" si="16"/>
        <v>325.23448982295054</v>
      </c>
      <c r="DS63" s="59">
        <f t="shared" si="17"/>
        <v>604.13289100544876</v>
      </c>
      <c r="DT63" s="59">
        <f ca="1">AVERAGE(OFFSET($DS$3,0,0,'Données projet'!$E$14+1,1))-AVERAGE(OFFSET($H$3,0,0,'Données projet'!$E$14+1,1))</f>
        <v>206.5241977687125</v>
      </c>
      <c r="DU63" s="59">
        <f t="shared" si="44"/>
        <v>205.25001043771269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30.128205130000001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38.596060618047858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38.596060618047858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140</v>
      </c>
      <c r="EH63" s="12">
        <f>VLOOKUP(A63,'Données projet'!$A$191:$I$211,9,0)</f>
        <v>3</v>
      </c>
      <c r="EI63" s="12">
        <f t="array" ref="EI63">INDEX(EH:EH,MIN(IF(ISNUMBER(EH63:EH259),ROW(EH63:EH259),"")))</f>
        <v>3</v>
      </c>
      <c r="EJ63" s="12">
        <f>IF('Données projet'!$A$192&gt;35,EJ62+EI63-ER62,IF(A63&lt;'Données projet'!$A$192,$EG$205^A63,IF(A63='Données projet'!$A$192,'Données projet'!$B$192,EJ62+EI63-ER62)))</f>
        <v>139.99999999999997</v>
      </c>
      <c r="EK63" s="17">
        <f>EJ63*VLOOKUP('Données projet'!$B$15,Paramètres!$A$1:$I$89,3,0)*VLOOKUP('Données projet'!$B$15,Paramètres!$A$1:$I$89,5,0)</f>
        <v>122.30399999999999</v>
      </c>
      <c r="EL63" s="13">
        <f t="shared" si="45"/>
        <v>32.211773226559373</v>
      </c>
      <c r="EM63" s="20">
        <f t="shared" si="19"/>
        <v>269.11497170292421</v>
      </c>
      <c r="EN63" s="59">
        <f t="shared" si="20"/>
        <v>548.01337288542243</v>
      </c>
      <c r="EO63" s="59">
        <f ca="1">AVERAGE(OFFSET($EN$3,0,0,'Données projet'!$E$15+1,1))-AVERAGE(OFFSET($H$3,0,0,'Données projet'!$E$15+1,1))</f>
        <v>205.83135724908942</v>
      </c>
      <c r="EP63" s="59">
        <f t="shared" si="46"/>
        <v>193.60053377311405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7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26.887838679359021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26.887838679359021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196</v>
      </c>
      <c r="FC63" s="12">
        <f>VLOOKUP(A63,'Données projet'!$A$217:$I$237,9,0)</f>
        <v>5</v>
      </c>
      <c r="FD63" s="12">
        <f t="array" ref="FD63">INDEX(FC:FC,MIN(IF(ISNUMBER(FC63:FC259),ROW(FC63:FC259),"")))</f>
        <v>5</v>
      </c>
      <c r="FE63" s="12">
        <f>IF('Données projet'!$A$218&gt;35,FE62+FD63-FM62,IF(A63&lt;'Données projet'!$A$218,$FB$205^A63,IF(A63='Données projet'!$A$218,'Données projet'!$B$218,FE62+FD63-FM62)))</f>
        <v>196.00000000000003</v>
      </c>
      <c r="FF63" s="17">
        <f>FE63*VLOOKUP('Données projet'!$B$16,Paramètres!$A$1:$I$89,3,0)*VLOOKUP('Données projet'!$B$16,Paramètres!$A$1:$I$89,5,0)</f>
        <v>128.41920000000002</v>
      </c>
      <c r="FG63" s="13">
        <f t="shared" si="47"/>
        <v>33.630823177860762</v>
      </c>
      <c r="FH63" s="20">
        <f t="shared" si="22"/>
        <v>282.23712370144091</v>
      </c>
      <c r="FI63" s="59">
        <f t="shared" si="23"/>
        <v>561.13552488393907</v>
      </c>
      <c r="FJ63" s="59">
        <f ca="1">AVERAGE(OFFSET($FI$3,0,0,'Données projet'!$E$16+1,1))-AVERAGE(OFFSET($H$3,0,0,'Données projet'!$E$16+1,1))</f>
        <v>242.76791261317206</v>
      </c>
      <c r="FK63" s="59">
        <f t="shared" si="48"/>
        <v>244.28580264867682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19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30.613121824582112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30.613121824582112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8.0925000000000011</v>
      </c>
      <c r="FZ63" s="12">
        <f>IF('Données projet'!$A$244&gt;35,FZ62+FY63-GH62,IF(A63&lt;'Données projet'!$A$244,$FW$205^A63,IF(A63='Données projet'!$A$244,'Données projet'!$B$244,FZ62+FY63-GH62)))</f>
        <v>176.4325</v>
      </c>
      <c r="GA63" s="17">
        <f>FZ63*VLOOKUP('Données projet'!$B$17,Paramètres!$A$1:$I$89,3,0)*VLOOKUP('Données projet'!$B$17,Paramètres!$A$1:$I$89,5,0)</f>
        <v>167.89316700000001</v>
      </c>
      <c r="GB63" s="13">
        <f t="shared" si="49"/>
        <v>42.617821154701673</v>
      </c>
      <c r="GC63" s="20">
        <f t="shared" si="25"/>
        <v>366.63997103610541</v>
      </c>
      <c r="GD63" s="59">
        <f t="shared" si="26"/>
        <v>645.53837221860363</v>
      </c>
      <c r="GE63" s="59">
        <f ca="1">AVERAGE(OFFSET($GD$3,0,0,'Données projet'!$E$17+1,1))-AVERAGE(OFFSET($H$3,0,0,'Données projet'!$E$17+1,1))</f>
        <v>512.71941256120977</v>
      </c>
      <c r="GF63" s="59">
        <f t="shared" si="50"/>
        <v>230.65031527019354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63.558940102757575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63.558940102757575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66.063200322499512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-5.6843418860808015E-14</v>
      </c>
      <c r="GV63" s="17">
        <f>GU63*VLOOKUP('Données projet'!$B$18,Paramètres!$A$1:$I$89,3,0)*VLOOKUP('Données projet'!$B$18,Paramètres!$A$1:$I$89,5,0)</f>
        <v>-2.5006556825246661E-14</v>
      </c>
      <c r="GW63" s="13" t="e">
        <f t="shared" si="51"/>
        <v>#NUM!</v>
      </c>
      <c r="GX63" s="20" t="e">
        <f t="shared" si="28"/>
        <v>#NUM!</v>
      </c>
      <c r="GY63" s="59" t="e">
        <f t="shared" si="29"/>
        <v>#NUM!</v>
      </c>
      <c r="GZ63" s="59">
        <f ca="1">AVERAGE(OFFSET($GY$3,0,0,'Données projet'!$E$18+1,1))-AVERAGE(OFFSET($H$3,0,0,'Données projet'!$E$18+1,1))</f>
        <v>180.68917161146683</v>
      </c>
      <c r="HA63" s="59">
        <f t="shared" si="52"/>
        <v>344.42126252322419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35.300214624915363</v>
      </c>
      <c r="HH63" s="21">
        <f>EXP(-LN(2)/25)*HH62+(1-EXP(-LN(2)/25))/(LN(2)/25)*Calculateur!HC63*Calculateur!HE63*VLOOKUP('Données projet'!$B$18,Paramètres!$A$1:$I$89,3,0)*0.475*44/12</f>
        <v>7.2100822039151113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42.510296828830477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2.25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8.25</v>
      </c>
      <c r="H64" s="66">
        <f t="shared" si="1"/>
        <v>223.66666666666666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8.0925000000000011</v>
      </c>
      <c r="N64" s="13">
        <f>IF('Données projet'!$A$36&gt;35,N63+M64-V63,IF(A64&lt;'Données projet'!$A$36,$K$205^A64,IF(A64='Données projet'!$A$36,'Données projet'!$B$36,N63+M64-V63)))</f>
        <v>184.52500000000001</v>
      </c>
      <c r="O64" s="13">
        <f>N64*VLOOKUP('Données projet'!$B$9,Paramètres!$A$1:$I$89,3,0)*VLOOKUP('Données projet'!$B$9,Paramètres!$A$1:$I$89,5,0)</f>
        <v>166.95821999999998</v>
      </c>
      <c r="P64" s="13">
        <f t="shared" si="33"/>
        <v>42.408051847144591</v>
      </c>
      <c r="Q64" s="20">
        <f t="shared" si="53"/>
        <v>364.64625680044338</v>
      </c>
      <c r="R64" s="59">
        <f t="shared" si="0"/>
        <v>643.79507178408494</v>
      </c>
      <c r="S64" s="59">
        <f ca="1">AVERAGE(OFFSET($R$3,0,0,'Données projet'!$E$9+1,1))-AVERAGE(OFFSET($H$3,0,0,'Données projet'!$E$9+1,1))</f>
        <v>490.57849401500789</v>
      </c>
      <c r="T64" s="59">
        <f t="shared" si="34"/>
        <v>221.7570623669753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59.248034543592532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59.248034543592532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6.5566666666666658</v>
      </c>
      <c r="AI64" s="13">
        <f>IF('Données projet'!$A$62&gt;35,AI63+AH64-AQ63,IF(A64&lt;'Données projet'!$A$62,$AF$205^A64,IF(A64='Données projet'!$A$62,'Données projet'!$B$62,AI63+AH64-AQ63)))</f>
        <v>138.3366666666667</v>
      </c>
      <c r="AJ64" s="13">
        <f>AI64*VLOOKUP('Données projet'!$B$10,Paramètres!$A$1:$I$89,3,0)*VLOOKUP('Données projet'!$B$10,Paramètres!$A$1:$I$89,5,0)</f>
        <v>92.796236000000022</v>
      </c>
      <c r="AK64" s="13">
        <f t="shared" si="35"/>
        <v>25.238404211059713</v>
      </c>
      <c r="AL64" s="20">
        <f t="shared" si="4"/>
        <v>205.57699836759571</v>
      </c>
      <c r="AM64" s="59">
        <f t="shared" si="5"/>
        <v>484.72581335123726</v>
      </c>
      <c r="AN64" s="59">
        <f ca="1">AVERAGE(OFFSET($AM$3,0,0,'Données projet'!$E$10+1,1))-AVERAGE(OFFSET($H$3,0,0,'Données projet'!$E$10+1,1))</f>
        <v>377.00534440335832</v>
      </c>
      <c r="AO64" s="59">
        <f t="shared" si="36"/>
        <v>131.56029120000656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26.910353798654029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26.910353798654029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177.39999999999998</v>
      </c>
      <c r="BE64" s="13">
        <f>BD64*VLOOKUP('Données projet'!$B$11,Paramètres!$A$1:$I$89,3,0)*VLOOKUP('Données projet'!$B$11,Paramètres!$A$1:$I$89,5,0)</f>
        <v>154.97664</v>
      </c>
      <c r="BF64" s="13">
        <f t="shared" si="37"/>
        <v>39.707387607123913</v>
      </c>
      <c r="BG64" s="20">
        <f t="shared" si="7"/>
        <v>339.07468141574077</v>
      </c>
      <c r="BH64" s="59">
        <f t="shared" si="8"/>
        <v>618.22349639938238</v>
      </c>
      <c r="BI64" s="59">
        <f ca="1">AVERAGE(OFFSET($BH$3,0,0,'Données projet'!$E$11+1,1))-AVERAGE(OFFSET($H$3,0,0,'Données projet'!$E$11+1,1))</f>
        <v>314.1123649635374</v>
      </c>
      <c r="BJ64" s="59">
        <f t="shared" si="38"/>
        <v>274.92342227914889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34.983981081603545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34.983981081603545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690.4724541396979</v>
      </c>
      <c r="CD64" s="59">
        <f ca="1">AVERAGE(OFFSET($CC$3,0,0,'Données projet'!$E$12+1,1))-AVERAGE(OFFSET($H$3,0,0,'Données projet'!$E$12+1,1))</f>
        <v>309.86296291630748</v>
      </c>
      <c r="CE64" s="59">
        <f t="shared" si="40"/>
        <v>301.17633325088661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41.118567778561378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41.118567778561378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10.4</v>
      </c>
      <c r="CT64" s="12">
        <f>IF('Données projet'!$A$140&gt;35,CT63+CS64-DB63,IF(A64&lt;'Données projet'!$A$140,$CQ$205^A64,IF(A64='Données projet'!$A$140,'Données projet'!$B$140,CT63+CS64-DB63)))</f>
        <v>252.40000000000003</v>
      </c>
      <c r="CU64" s="17">
        <f>CT64*VLOOKUP('Données projet'!$B$13,Paramètres!$A$1:$I$89,3,0)*VLOOKUP('Données projet'!$B$13,Paramètres!$A$1:$I$89,5,0)</f>
        <v>216.55920000000003</v>
      </c>
      <c r="CV64" s="13">
        <f t="shared" si="41"/>
        <v>53.366360125240483</v>
      </c>
      <c r="CW64" s="20">
        <f t="shared" si="13"/>
        <v>470.12035055146049</v>
      </c>
      <c r="CX64" s="59">
        <f t="shared" si="14"/>
        <v>749.26916553510205</v>
      </c>
      <c r="CY64" s="59">
        <f ca="1">AVERAGE(OFFSET($CX$3,0,0,'Données projet'!$E$13+1,1))-AVERAGE(OFFSET($H$3,0,0,'Données projet'!$E$13+1,1))</f>
        <v>462.66388549889928</v>
      </c>
      <c r="CZ64" s="59">
        <f t="shared" si="42"/>
        <v>265.3725203415089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65.569122564970201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65.569122564970201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5.5555555588888881</v>
      </c>
      <c r="DO64" s="12">
        <f>IF('Données projet'!$A$166&gt;35,DO63+DN64-DW63,IF(A64&lt;'Données projet'!$A$166,$DL$205^A64,IF(A64='Données projet'!$A$166,'Données projet'!$B$166,DO63+DN64-DW63)))</f>
        <v>165.81196582888896</v>
      </c>
      <c r="DP64" s="17">
        <f>DO64*VLOOKUP('Données projet'!$B$14,Paramètres!$A$1:$I$89,3,0)*VLOOKUP('Données projet'!$B$14,Paramètres!$A$1:$I$89,5,0)</f>
        <v>129.33333334653338</v>
      </c>
      <c r="DQ64" s="13">
        <f t="shared" si="43"/>
        <v>33.842266177437295</v>
      </c>
      <c r="DR64" s="20">
        <f t="shared" si="16"/>
        <v>284.19750250424892</v>
      </c>
      <c r="DS64" s="59">
        <f t="shared" si="17"/>
        <v>563.34631748789047</v>
      </c>
      <c r="DT64" s="59">
        <f ca="1">AVERAGE(OFFSET($DS$3,0,0,'Données projet'!$E$14+1,1))-AVERAGE(OFFSET($H$3,0,0,'Données projet'!$E$14+1,1))</f>
        <v>206.5241977687125</v>
      </c>
      <c r="DU64" s="59">
        <f t="shared" si="44"/>
        <v>205.25001043771269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37.83921541060041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37.83921541060041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2.6</v>
      </c>
      <c r="EJ64" s="12">
        <f>IF('Données projet'!$A$192&gt;35,EJ63+EI64-ER63,IF(A64&lt;'Données projet'!$A$192,$EG$205^A64,IF(A64='Données projet'!$A$192,'Données projet'!$B$192,EJ63+EI64-ER63)))</f>
        <v>135.59999999999997</v>
      </c>
      <c r="EK64" s="17">
        <f>EJ64*VLOOKUP('Données projet'!$B$15,Paramètres!$A$1:$I$89,3,0)*VLOOKUP('Données projet'!$B$15,Paramètres!$A$1:$I$89,5,0)</f>
        <v>118.46015999999999</v>
      </c>
      <c r="EL64" s="13">
        <f t="shared" si="45"/>
        <v>31.315587396029674</v>
      </c>
      <c r="EM64" s="20">
        <f t="shared" si="19"/>
        <v>260.85942671475163</v>
      </c>
      <c r="EN64" s="59">
        <f t="shared" si="20"/>
        <v>540.00824169839325</v>
      </c>
      <c r="EO64" s="59">
        <f ca="1">AVERAGE(OFFSET($EN$3,0,0,'Données projet'!$E$15+1,1))-AVERAGE(OFFSET($H$3,0,0,'Données projet'!$E$15+1,1))</f>
        <v>205.83135724908942</v>
      </c>
      <c r="EP64" s="59">
        <f t="shared" si="46"/>
        <v>193.60053377311405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26.360584562819025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26.360584562819025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4.8</v>
      </c>
      <c r="FE64" s="12">
        <f>IF('Données projet'!$A$218&gt;35,FE63+FD64-FM63,IF(A64&lt;'Données projet'!$A$218,$FB$205^A64,IF(A64='Données projet'!$A$218,'Données projet'!$B$218,FE63+FD64-FM63)))</f>
        <v>181.80000000000004</v>
      </c>
      <c r="FF64" s="17">
        <f>FE64*VLOOKUP('Données projet'!$B$16,Paramètres!$A$1:$I$89,3,0)*VLOOKUP('Données projet'!$B$16,Paramètres!$A$1:$I$89,5,0)</f>
        <v>119.11536000000002</v>
      </c>
      <c r="FG64" s="13">
        <f t="shared" si="47"/>
        <v>31.468582772748093</v>
      </c>
      <c r="FH64" s="20">
        <f t="shared" si="22"/>
        <v>262.26703366253628</v>
      </c>
      <c r="FI64" s="59">
        <f t="shared" si="23"/>
        <v>541.41584864617789</v>
      </c>
      <c r="FJ64" s="59">
        <f ca="1">AVERAGE(OFFSET($FI$3,0,0,'Données projet'!$E$16+1,1))-AVERAGE(OFFSET($H$3,0,0,'Données projet'!$E$16+1,1))</f>
        <v>242.76791261317206</v>
      </c>
      <c r="FK64" s="59">
        <f t="shared" si="48"/>
        <v>244.28580264867682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30.012817177762649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30.012817177762649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8.0925000000000011</v>
      </c>
      <c r="FZ64" s="12">
        <f>IF('Données projet'!$A$244&gt;35,FZ63+FY64-GH63,IF(A64&lt;'Données projet'!$A$244,$FW$205^A64,IF(A64='Données projet'!$A$244,'Données projet'!$B$244,FZ63+FY64-GH63)))</f>
        <v>184.52500000000001</v>
      </c>
      <c r="GA64" s="17">
        <f>FZ64*VLOOKUP('Données projet'!$B$17,Paramètres!$A$1:$I$89,3,0)*VLOOKUP('Données projet'!$B$17,Paramètres!$A$1:$I$89,5,0)</f>
        <v>175.59398999999999</v>
      </c>
      <c r="GB64" s="13">
        <f t="shared" si="49"/>
        <v>44.34052074712244</v>
      </c>
      <c r="GC64" s="20">
        <f t="shared" si="25"/>
        <v>383.05260621790489</v>
      </c>
      <c r="GD64" s="59">
        <f t="shared" si="26"/>
        <v>662.20142120154651</v>
      </c>
      <c r="GE64" s="59">
        <f ca="1">AVERAGE(OFFSET($GD$3,0,0,'Données projet'!$E$17+1,1))-AVERAGE(OFFSET($H$3,0,0,'Données projet'!$E$17+1,1))</f>
        <v>512.71941256120977</v>
      </c>
      <c r="GF64" s="59">
        <f t="shared" si="50"/>
        <v>230.65031527019354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62.312588054468023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62.312588054468023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66.131494995538603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-5.6843418860808015E-14</v>
      </c>
      <c r="GV64" s="17">
        <f>GU64*VLOOKUP('Données projet'!$B$18,Paramètres!$A$1:$I$89,3,0)*VLOOKUP('Données projet'!$B$18,Paramètres!$A$1:$I$89,5,0)</f>
        <v>-2.5006556825246661E-14</v>
      </c>
      <c r="GW64" s="13" t="e">
        <f t="shared" si="51"/>
        <v>#NUM!</v>
      </c>
      <c r="GX64" s="20" t="e">
        <f t="shared" si="28"/>
        <v>#NUM!</v>
      </c>
      <c r="GY64" s="59" t="e">
        <f t="shared" si="29"/>
        <v>#NUM!</v>
      </c>
      <c r="GZ64" s="59">
        <f ca="1">AVERAGE(OFFSET($GY$3,0,0,'Données projet'!$E$18+1,1))-AVERAGE(OFFSET($H$3,0,0,'Données projet'!$E$18+1,1))</f>
        <v>180.68917161146683</v>
      </c>
      <c r="HA64" s="59">
        <f t="shared" si="52"/>
        <v>344.42126252322419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34.607998947125687</v>
      </c>
      <c r="HH64" s="21">
        <f>EXP(-LN(2)/25)*HH63+(1-EXP(-LN(2)/25))/(LN(2)/25)*Calculateur!HC64*Calculateur!HE64*VLOOKUP('Données projet'!$B$18,Paramètres!$A$1:$I$89,3,0)*0.475*44/12</f>
        <v>7.0129221268873083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41.620921074012998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2.25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8.25</v>
      </c>
      <c r="H65" s="66">
        <f t="shared" si="1"/>
        <v>223.66666666666666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8.0925000000000011</v>
      </c>
      <c r="N65" s="13">
        <f>IF('Données projet'!$A$36&gt;35,N64+M65-V64,IF(A65&lt;'Données projet'!$A$36,$K$205^A65,IF(A65='Données projet'!$A$36,'Données projet'!$B$36,N64+M65-V64)))</f>
        <v>192.61750000000001</v>
      </c>
      <c r="O65" s="13">
        <f>N65*VLOOKUP('Données projet'!$B$9,Paramètres!$A$1:$I$89,3,0)*VLOOKUP('Données projet'!$B$9,Paramètres!$A$1:$I$89,5,0)</f>
        <v>174.280314</v>
      </c>
      <c r="P65" s="13">
        <f t="shared" si="33"/>
        <v>44.047279741928541</v>
      </c>
      <c r="Q65" s="20">
        <f t="shared" si="53"/>
        <v>380.25389243385894</v>
      </c>
      <c r="R65" s="59">
        <f t="shared" si="0"/>
        <v>659.64877709903533</v>
      </c>
      <c r="S65" s="59">
        <f ca="1">AVERAGE(OFFSET($R$3,0,0,'Données projet'!$E$9+1,1))-AVERAGE(OFFSET($H$3,0,0,'Données projet'!$E$9+1,1))</f>
        <v>490.57849401500789</v>
      </c>
      <c r="T65" s="59">
        <f t="shared" si="34"/>
        <v>221.7570623669753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58.086216723925446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58.086216723925446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6.5566666666666658</v>
      </c>
      <c r="AI65" s="13">
        <f>IF('Données projet'!$A$62&gt;35,AI64+AH65-AQ64,IF(A65&lt;'Données projet'!$A$62,$AF$205^A65,IF(A65='Données projet'!$A$62,'Données projet'!$B$62,AI64+AH65-AQ64)))</f>
        <v>144.89333333333337</v>
      </c>
      <c r="AJ65" s="13">
        <f>AI65*VLOOKUP('Données projet'!$B$10,Paramètres!$A$1:$I$89,3,0)*VLOOKUP('Données projet'!$B$10,Paramètres!$A$1:$I$89,5,0)</f>
        <v>97.194448000000023</v>
      </c>
      <c r="AK65" s="13">
        <f t="shared" si="35"/>
        <v>26.292510547185216</v>
      </c>
      <c r="AL65" s="20">
        <f t="shared" si="4"/>
        <v>215.07311946968096</v>
      </c>
      <c r="AM65" s="59">
        <f t="shared" si="5"/>
        <v>494.46800413485732</v>
      </c>
      <c r="AN65" s="59">
        <f ca="1">AVERAGE(OFFSET($AM$3,0,0,'Données projet'!$E$10+1,1))-AVERAGE(OFFSET($H$3,0,0,'Données projet'!$E$10+1,1))</f>
        <v>377.00534440335832</v>
      </c>
      <c r="AO65" s="59">
        <f t="shared" si="36"/>
        <v>131.56029120000656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26.382658174357523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26.382658174357523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181.79999999999998</v>
      </c>
      <c r="BE65" s="13">
        <f>BD65*VLOOKUP('Données projet'!$B$11,Paramètres!$A$1:$I$89,3,0)*VLOOKUP('Données projet'!$B$11,Paramètres!$A$1:$I$89,5,0)</f>
        <v>158.82048</v>
      </c>
      <c r="BF65" s="13">
        <f t="shared" si="37"/>
        <v>40.57635691759311</v>
      </c>
      <c r="BG65" s="20">
        <f t="shared" si="7"/>
        <v>347.28282429814129</v>
      </c>
      <c r="BH65" s="59">
        <f t="shared" si="8"/>
        <v>626.67770896331763</v>
      </c>
      <c r="BI65" s="59">
        <f ca="1">AVERAGE(OFFSET($BH$3,0,0,'Données projet'!$E$11+1,1))-AVERAGE(OFFSET($H$3,0,0,'Données projet'!$E$11+1,1))</f>
        <v>314.1123649635374</v>
      </c>
      <c r="BJ65" s="59">
        <f t="shared" si="38"/>
        <v>274.92342227914889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34.297966550714797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34.297966550714797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698.1629071164557</v>
      </c>
      <c r="CD65" s="59">
        <f ca="1">AVERAGE(OFFSET($CC$3,0,0,'Données projet'!$E$12+1,1))-AVERAGE(OFFSET($H$3,0,0,'Données projet'!$E$12+1,1))</f>
        <v>309.86296291630748</v>
      </c>
      <c r="CE65" s="59">
        <f t="shared" si="40"/>
        <v>301.17633325088661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40.312257744273701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40.312257744273701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10.4</v>
      </c>
      <c r="CT65" s="12">
        <f>IF('Données projet'!$A$140&gt;35,CT64+CS65-DB64,IF(A65&lt;'Données projet'!$A$140,$CQ$205^A65,IF(A65='Données projet'!$A$140,'Données projet'!$B$140,CT64+CS65-DB64)))</f>
        <v>262.8</v>
      </c>
      <c r="CU65" s="17">
        <f>CT65*VLOOKUP('Données projet'!$B$13,Paramètres!$A$1:$I$89,3,0)*VLOOKUP('Données projet'!$B$13,Paramètres!$A$1:$I$89,5,0)</f>
        <v>225.48240000000004</v>
      </c>
      <c r="CV65" s="13">
        <f t="shared" si="41"/>
        <v>55.304745901414371</v>
      </c>
      <c r="CW65" s="20">
        <f t="shared" si="13"/>
        <v>489.03761244496349</v>
      </c>
      <c r="CX65" s="59">
        <f t="shared" si="14"/>
        <v>768.43249711013982</v>
      </c>
      <c r="CY65" s="59">
        <f ca="1">AVERAGE(OFFSET($CX$3,0,0,'Données projet'!$E$13+1,1))-AVERAGE(OFFSET($H$3,0,0,'Données projet'!$E$13+1,1))</f>
        <v>462.66388549889928</v>
      </c>
      <c r="CZ65" s="59">
        <f t="shared" si="42"/>
        <v>265.3725203415089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64.283352064686895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64.283352064686895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5.5555555588888881</v>
      </c>
      <c r="DO65" s="12">
        <f>IF('Données projet'!$A$166&gt;35,DO64+DN65-DW64,IF(A65&lt;'Données projet'!$A$166,$DL$205^A65,IF(A65='Données projet'!$A$166,'Données projet'!$B$166,DO64+DN65-DW64)))</f>
        <v>171.36752138777786</v>
      </c>
      <c r="DP65" s="17">
        <f>DO65*VLOOKUP('Données projet'!$B$14,Paramètres!$A$1:$I$89,3,0)*VLOOKUP('Données projet'!$B$14,Paramètres!$A$1:$I$89,5,0)</f>
        <v>133.66666668246674</v>
      </c>
      <c r="DQ65" s="13">
        <f t="shared" si="43"/>
        <v>34.842241922344392</v>
      </c>
      <c r="DR65" s="20">
        <f t="shared" si="16"/>
        <v>293.48634915337936</v>
      </c>
      <c r="DS65" s="59">
        <f t="shared" si="17"/>
        <v>572.88123381855576</v>
      </c>
      <c r="DT65" s="59">
        <f ca="1">AVERAGE(OFFSET($DS$3,0,0,'Données projet'!$E$14+1,1))-AVERAGE(OFFSET($H$3,0,0,'Données projet'!$E$14+1,1))</f>
        <v>206.5241977687125</v>
      </c>
      <c r="DU65" s="59">
        <f t="shared" si="44"/>
        <v>205.25001043771269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37.097211476041011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37.097211476041011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2.6</v>
      </c>
      <c r="EJ65" s="12">
        <f>IF('Données projet'!$A$192&gt;35,EJ64+EI65-ER64,IF(A65&lt;'Données projet'!$A$192,$EG$205^A65,IF(A65='Données projet'!$A$192,'Données projet'!$B$192,EJ64+EI65-ER64)))</f>
        <v>138.19999999999996</v>
      </c>
      <c r="EK65" s="17">
        <f>EJ65*VLOOKUP('Données projet'!$B$15,Paramètres!$A$1:$I$89,3,0)*VLOOKUP('Données projet'!$B$15,Paramètres!$A$1:$I$89,5,0)</f>
        <v>120.73151999999997</v>
      </c>
      <c r="EL65" s="13">
        <f t="shared" si="45"/>
        <v>31.845553926050336</v>
      </c>
      <c r="EM65" s="20">
        <f t="shared" si="19"/>
        <v>265.73840375453761</v>
      </c>
      <c r="EN65" s="59">
        <f t="shared" si="20"/>
        <v>545.13328841971406</v>
      </c>
      <c r="EO65" s="59">
        <f ca="1">AVERAGE(OFFSET($EN$3,0,0,'Données projet'!$E$15+1,1))-AVERAGE(OFFSET($H$3,0,0,'Données projet'!$E$15+1,1))</f>
        <v>205.83135724908942</v>
      </c>
      <c r="EP65" s="59">
        <f t="shared" si="46"/>
        <v>193.60053377311405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25.843669577911118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25.843669577911118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4.8</v>
      </c>
      <c r="FE65" s="12">
        <f>IF('Données projet'!$A$218&gt;35,FE64+FD65-FM64,IF(A65&lt;'Données projet'!$A$218,$FB$205^A65,IF(A65='Données projet'!$A$218,'Données projet'!$B$218,FE64+FD65-FM64)))</f>
        <v>186.60000000000005</v>
      </c>
      <c r="FF65" s="17">
        <f>FE65*VLOOKUP('Données projet'!$B$16,Paramètres!$A$1:$I$89,3,0)*VLOOKUP('Données projet'!$B$16,Paramètres!$A$1:$I$89,5,0)</f>
        <v>122.26032000000002</v>
      </c>
      <c r="FG65" s="13">
        <f t="shared" si="47"/>
        <v>32.2016078999482</v>
      </c>
      <c r="FH65" s="20">
        <f t="shared" si="22"/>
        <v>269.02119109240982</v>
      </c>
      <c r="FI65" s="59">
        <f t="shared" si="23"/>
        <v>548.41607575758621</v>
      </c>
      <c r="FJ65" s="59">
        <f ca="1">AVERAGE(OFFSET($FI$3,0,0,'Données projet'!$E$16+1,1))-AVERAGE(OFFSET($H$3,0,0,'Données projet'!$E$16+1,1))</f>
        <v>242.76791261317206</v>
      </c>
      <c r="FK65" s="59">
        <f t="shared" si="48"/>
        <v>244.28580264867682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29.424284138917635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29.424284138917635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8.0925000000000011</v>
      </c>
      <c r="FZ65" s="12">
        <f>IF('Données projet'!$A$244&gt;35,FZ64+FY65-GH64,IF(A65&lt;'Données projet'!$A$244,$FW$205^A65,IF(A65='Données projet'!$A$244,'Données projet'!$B$244,FZ64+FY65-GH64)))</f>
        <v>192.61750000000001</v>
      </c>
      <c r="GA65" s="17">
        <f>FZ65*VLOOKUP('Données projet'!$B$17,Paramètres!$A$1:$I$89,3,0)*VLOOKUP('Données projet'!$B$17,Paramètres!$A$1:$I$89,5,0)</f>
        <v>183.294813</v>
      </c>
      <c r="GB65" s="13">
        <f t="shared" si="49"/>
        <v>46.054445705050568</v>
      </c>
      <c r="GC65" s="20">
        <f t="shared" si="25"/>
        <v>399.44995891129639</v>
      </c>
      <c r="GD65" s="59">
        <f t="shared" si="26"/>
        <v>678.84484357647284</v>
      </c>
      <c r="GE65" s="59">
        <f ca="1">AVERAGE(OFFSET($GD$3,0,0,'Données projet'!$E$17+1,1))-AVERAGE(OFFSET($H$3,0,0,'Données projet'!$E$17+1,1))</f>
        <v>512.71941256120977</v>
      </c>
      <c r="GF65" s="59">
        <f t="shared" si="50"/>
        <v>230.65031527019354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61.090676209645743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61.090676209645743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66.198604908684473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-5.6843418860808015E-14</v>
      </c>
      <c r="GV65" s="17">
        <f>GU65*VLOOKUP('Données projet'!$B$18,Paramètres!$A$1:$I$89,3,0)*VLOOKUP('Données projet'!$B$18,Paramètres!$A$1:$I$89,5,0)</f>
        <v>-2.5006556825246661E-14</v>
      </c>
      <c r="GW65" s="13" t="e">
        <f t="shared" si="51"/>
        <v>#NUM!</v>
      </c>
      <c r="GX65" s="20" t="e">
        <f t="shared" si="28"/>
        <v>#NUM!</v>
      </c>
      <c r="GY65" s="59" t="e">
        <f t="shared" si="29"/>
        <v>#NUM!</v>
      </c>
      <c r="GZ65" s="59">
        <f ca="1">AVERAGE(OFFSET($GY$3,0,0,'Données projet'!$E$18+1,1))-AVERAGE(OFFSET($H$3,0,0,'Données projet'!$E$18+1,1))</f>
        <v>180.68917161146683</v>
      </c>
      <c r="HA65" s="59">
        <f t="shared" si="52"/>
        <v>344.42126252322419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33.929357196567587</v>
      </c>
      <c r="HH65" s="21">
        <f>EXP(-LN(2)/25)*HH64+(1-EXP(-LN(2)/25))/(LN(2)/25)*Calculateur!HC65*Calculateur!HE65*VLOOKUP('Données projet'!$B$18,Paramètres!$A$1:$I$89,3,0)*0.475*44/12</f>
        <v>6.8211534025340281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40.750510599101617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2.25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8.25</v>
      </c>
      <c r="H66" s="66">
        <f t="shared" si="1"/>
        <v>223.66666666666666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8.0925000000000011</v>
      </c>
      <c r="N66" s="13">
        <f>IF('Données projet'!$A$36&gt;35,N65+M66-V65,IF(A66&lt;'Données projet'!$A$36,$K$205^A66,IF(A66='Données projet'!$A$36,'Données projet'!$B$36,N65+M66-V65)))</f>
        <v>200.71</v>
      </c>
      <c r="O66" s="13">
        <f>N66*VLOOKUP('Données projet'!$B$9,Paramètres!$A$1:$I$89,3,0)*VLOOKUP('Données projet'!$B$9,Paramètres!$A$1:$I$89,5,0)</f>
        <v>181.602408</v>
      </c>
      <c r="P66" s="13">
        <f t="shared" si="33"/>
        <v>45.678508322853858</v>
      </c>
      <c r="Q66" s="20">
        <f t="shared" si="53"/>
        <v>395.84759592897041</v>
      </c>
      <c r="R66" s="59">
        <f t="shared" si="0"/>
        <v>675.48428151683652</v>
      </c>
      <c r="S66" s="59">
        <f ca="1">AVERAGE(OFFSET($R$3,0,0,'Données projet'!$E$9+1,1))-AVERAGE(OFFSET($H$3,0,0,'Données projet'!$E$9+1,1))</f>
        <v>490.57849401500789</v>
      </c>
      <c r="T66" s="59">
        <f t="shared" si="34"/>
        <v>221.7570623669753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56.947181443063137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56.947181443063137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6.5566666666666658</v>
      </c>
      <c r="AI66" s="13">
        <f>IF('Données projet'!$A$62&gt;35,AI65+AH66-AQ65,IF(A66&lt;'Données projet'!$A$62,$AF$205^A66,IF(A66='Données projet'!$A$62,'Données projet'!$B$62,AI65+AH66-AQ65)))</f>
        <v>151.45000000000005</v>
      </c>
      <c r="AJ66" s="13">
        <f>AI66*VLOOKUP('Données projet'!$B$10,Paramètres!$A$1:$I$89,3,0)*VLOOKUP('Données projet'!$B$10,Paramètres!$A$1:$I$89,5,0)</f>
        <v>101.59266000000004</v>
      </c>
      <c r="AK66" s="13">
        <f t="shared" si="35"/>
        <v>27.341077194525894</v>
      </c>
      <c r="AL66" s="20">
        <f t="shared" si="4"/>
        <v>224.55959228046595</v>
      </c>
      <c r="AM66" s="59">
        <f t="shared" si="5"/>
        <v>504.19627786833206</v>
      </c>
      <c r="AN66" s="59">
        <f ca="1">AVERAGE(OFFSET($AM$3,0,0,'Données projet'!$E$10+1,1))-AVERAGE(OFFSET($H$3,0,0,'Données projet'!$E$10+1,1))</f>
        <v>377.00534440335832</v>
      </c>
      <c r="AO66" s="59">
        <f t="shared" si="36"/>
        <v>131.56029120000656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25.865310339390923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25.865310339390923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186.2</v>
      </c>
      <c r="BE66" s="13">
        <f>BD66*VLOOKUP('Données projet'!$B$11,Paramètres!$A$1:$I$89,3,0)*VLOOKUP('Données projet'!$B$11,Paramètres!$A$1:$I$89,5,0)</f>
        <v>162.66432</v>
      </c>
      <c r="BF66" s="13">
        <f t="shared" si="37"/>
        <v>41.442881393745317</v>
      </c>
      <c r="BG66" s="20">
        <f t="shared" si="7"/>
        <v>355.4867090941064</v>
      </c>
      <c r="BH66" s="59">
        <f t="shared" si="8"/>
        <v>635.12339468197251</v>
      </c>
      <c r="BI66" s="59">
        <f ca="1">AVERAGE(OFFSET($BH$3,0,0,'Données projet'!$E$11+1,1))-AVERAGE(OFFSET($H$3,0,0,'Données projet'!$E$11+1,1))</f>
        <v>314.1123649635374</v>
      </c>
      <c r="BJ66" s="59">
        <f t="shared" si="38"/>
        <v>274.92342227914889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33.625404346349228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33.625404346349228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705.84624016670682</v>
      </c>
      <c r="CD66" s="59">
        <f ca="1">AVERAGE(OFFSET($CC$3,0,0,'Données projet'!$E$12+1,1))-AVERAGE(OFFSET($H$3,0,0,'Données projet'!$E$12+1,1))</f>
        <v>309.86296291630748</v>
      </c>
      <c r="CE66" s="59">
        <f t="shared" si="40"/>
        <v>301.17633325088661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39.52175895795785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39.52175895795785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10.4</v>
      </c>
      <c r="CT66" s="12">
        <f>IF('Données projet'!$A$140&gt;35,CT65+CS66-DB65,IF(A66&lt;'Données projet'!$A$140,$CQ$205^A66,IF(A66='Données projet'!$A$140,'Données projet'!$B$140,CT65+CS66-DB65)))</f>
        <v>273.2</v>
      </c>
      <c r="CU66" s="17">
        <f>CT66*VLOOKUP('Données projet'!$B$13,Paramètres!$A$1:$I$89,3,0)*VLOOKUP('Données projet'!$B$13,Paramètres!$A$1:$I$89,5,0)</f>
        <v>234.40560000000005</v>
      </c>
      <c r="CV66" s="13">
        <f t="shared" si="41"/>
        <v>57.234220788626125</v>
      </c>
      <c r="CW66" s="20">
        <f t="shared" si="13"/>
        <v>507.93935454019061</v>
      </c>
      <c r="CX66" s="59">
        <f t="shared" si="14"/>
        <v>787.57604012805677</v>
      </c>
      <c r="CY66" s="59">
        <f ca="1">AVERAGE(OFFSET($CX$3,0,0,'Données projet'!$E$13+1,1))-AVERAGE(OFFSET($H$3,0,0,'Données projet'!$E$13+1,1))</f>
        <v>462.66388549889928</v>
      </c>
      <c r="CZ66" s="59">
        <f t="shared" si="42"/>
        <v>265.3725203415089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63.022794739671582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63.022794739671582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5.5555555588888881</v>
      </c>
      <c r="DO66" s="12">
        <f>IF('Données projet'!$A$166&gt;35,DO65+DN66-DW65,IF(A66&lt;'Données projet'!$A$166,$DL$205^A66,IF(A66='Données projet'!$A$166,'Données projet'!$B$166,DO65+DN66-DW65)))</f>
        <v>176.92307694666675</v>
      </c>
      <c r="DP66" s="17">
        <f>DO66*VLOOKUP('Données projet'!$B$14,Paramètres!$A$1:$I$89,3,0)*VLOOKUP('Données projet'!$B$14,Paramètres!$A$1:$I$89,5,0)</f>
        <v>138.00000001840007</v>
      </c>
      <c r="DQ66" s="13">
        <f t="shared" si="43"/>
        <v>35.838450606352851</v>
      </c>
      <c r="DR66" s="20">
        <f t="shared" si="16"/>
        <v>302.76863483811127</v>
      </c>
      <c r="DS66" s="59">
        <f t="shared" si="17"/>
        <v>582.40532042597738</v>
      </c>
      <c r="DT66" s="59">
        <f ca="1">AVERAGE(OFFSET($DS$3,0,0,'Données projet'!$E$14+1,1))-AVERAGE(OFFSET($H$3,0,0,'Données projet'!$E$14+1,1))</f>
        <v>206.5241977687125</v>
      </c>
      <c r="DU66" s="59">
        <f t="shared" si="44"/>
        <v>205.25001043771269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36.36975778606061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36.36975778606061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2.6</v>
      </c>
      <c r="EJ66" s="12">
        <f>IF('Données projet'!$A$192&gt;35,EJ65+EI66-ER65,IF(A66&lt;'Données projet'!$A$192,$EG$205^A66,IF(A66='Données projet'!$A$192,'Données projet'!$B$192,EJ65+EI66-ER65)))</f>
        <v>140.79999999999995</v>
      </c>
      <c r="EK66" s="17">
        <f>EJ66*VLOOKUP('Données projet'!$B$15,Paramètres!$A$1:$I$89,3,0)*VLOOKUP('Données projet'!$B$15,Paramètres!$A$1:$I$89,5,0)</f>
        <v>123.00287999999998</v>
      </c>
      <c r="EL66" s="13">
        <f t="shared" si="45"/>
        <v>32.374361095906167</v>
      </c>
      <c r="EM66" s="20">
        <f t="shared" si="19"/>
        <v>270.61536157536983</v>
      </c>
      <c r="EN66" s="59">
        <f t="shared" si="20"/>
        <v>550.25204716323594</v>
      </c>
      <c r="EO66" s="59">
        <f ca="1">AVERAGE(OFFSET($EN$3,0,0,'Données projet'!$E$15+1,1))-AVERAGE(OFFSET($H$3,0,0,'Données projet'!$E$15+1,1))</f>
        <v>205.83135724908942</v>
      </c>
      <c r="EP66" s="59">
        <f t="shared" si="46"/>
        <v>193.60053377311405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25.336890980570249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25.336890980570249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4.8</v>
      </c>
      <c r="FE66" s="12">
        <f>IF('Données projet'!$A$218&gt;35,FE65+FD66-FM65,IF(A66&lt;'Données projet'!$A$218,$FB$205^A66,IF(A66='Données projet'!$A$218,'Données projet'!$B$218,FE65+FD66-FM65)))</f>
        <v>191.40000000000006</v>
      </c>
      <c r="FF66" s="17">
        <f>FE66*VLOOKUP('Données projet'!$B$16,Paramètres!$A$1:$I$89,3,0)*VLOOKUP('Données projet'!$B$16,Paramètres!$A$1:$I$89,5,0)</f>
        <v>125.40528000000003</v>
      </c>
      <c r="FG66" s="13">
        <f t="shared" si="47"/>
        <v>32.932441221531526</v>
      </c>
      <c r="FH66" s="20">
        <f t="shared" si="22"/>
        <v>275.77153112750079</v>
      </c>
      <c r="FI66" s="59">
        <f t="shared" si="23"/>
        <v>555.40821671536696</v>
      </c>
      <c r="FJ66" s="59">
        <f ca="1">AVERAGE(OFFSET($FI$3,0,0,'Données projet'!$E$16+1,1))-AVERAGE(OFFSET($H$3,0,0,'Données projet'!$E$16+1,1))</f>
        <v>242.76791261317206</v>
      </c>
      <c r="FK66" s="59">
        <f t="shared" si="48"/>
        <v>244.28580264867682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28.84729187399466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28.84729187399466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8.0925000000000011</v>
      </c>
      <c r="FZ66" s="12">
        <f>IF('Données projet'!$A$244&gt;35,FZ65+FY66-GH65,IF(A66&lt;'Données projet'!$A$244,$FW$205^A66,IF(A66='Données projet'!$A$244,'Données projet'!$B$244,FZ65+FY66-GH65)))</f>
        <v>200.71</v>
      </c>
      <c r="GA66" s="17">
        <f>FZ66*VLOOKUP('Données projet'!$B$17,Paramètres!$A$1:$I$89,3,0)*VLOOKUP('Données projet'!$B$17,Paramètres!$A$1:$I$89,5,0)</f>
        <v>190.99563599999999</v>
      </c>
      <c r="GB66" s="13">
        <f t="shared" si="49"/>
        <v>47.760006832841128</v>
      </c>
      <c r="GC66" s="20">
        <f t="shared" si="25"/>
        <v>415.83274460053161</v>
      </c>
      <c r="GD66" s="59">
        <f t="shared" si="26"/>
        <v>695.46943018839772</v>
      </c>
      <c r="GE66" s="59">
        <f ca="1">AVERAGE(OFFSET($GD$3,0,0,'Données projet'!$E$17+1,1))-AVERAGE(OFFSET($H$3,0,0,'Données projet'!$E$17+1,1))</f>
        <v>512.71941256120977</v>
      </c>
      <c r="GF66" s="59">
        <f t="shared" si="50"/>
        <v>230.65031527019354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59.892725310807798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59.892725310807798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66.264550614872576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-5.6843418860808015E-14</v>
      </c>
      <c r="GV66" s="17">
        <f>GU66*VLOOKUP('Données projet'!$B$18,Paramètres!$A$1:$I$89,3,0)*VLOOKUP('Données projet'!$B$18,Paramètres!$A$1:$I$89,5,0)</f>
        <v>-2.5006556825246661E-14</v>
      </c>
      <c r="GW66" s="13" t="e">
        <f t="shared" si="51"/>
        <v>#NUM!</v>
      </c>
      <c r="GX66" s="20" t="e">
        <f t="shared" si="28"/>
        <v>#NUM!</v>
      </c>
      <c r="GY66" s="59" t="e">
        <f t="shared" si="29"/>
        <v>#NUM!</v>
      </c>
      <c r="GZ66" s="59">
        <f ca="1">AVERAGE(OFFSET($GY$3,0,0,'Données projet'!$E$18+1,1))-AVERAGE(OFFSET($H$3,0,0,'Données projet'!$E$18+1,1))</f>
        <v>180.68917161146683</v>
      </c>
      <c r="HA66" s="59">
        <f t="shared" si="52"/>
        <v>344.42126252322419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33.264023196807337</v>
      </c>
      <c r="HH66" s="21">
        <f>EXP(-LN(2)/25)*HH65+(1-EXP(-LN(2)/25))/(LN(2)/25)*Calculateur!HC66*Calculateur!HE66*VLOOKUP('Données projet'!$B$18,Paramètres!$A$1:$I$89,3,0)*0.475*44/12</f>
        <v>6.6346286040328675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39.898651800840206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2.25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8.25</v>
      </c>
      <c r="H67" s="66">
        <f t="shared" si="1"/>
        <v>223.66666666666666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8.0925000000000011</v>
      </c>
      <c r="N67" s="13">
        <f>IF('Données projet'!$A$36&gt;35,N66+M67-V66,IF(A67&lt;'Données projet'!$A$36,$K$205^A67,IF(A67='Données projet'!$A$36,'Données projet'!$B$36,N66+M67-V66)))</f>
        <v>208.80250000000001</v>
      </c>
      <c r="O67" s="13">
        <f>N67*VLOOKUP('Données projet'!$B$9,Paramètres!$A$1:$I$89,3,0)*VLOOKUP('Données projet'!$B$9,Paramètres!$A$1:$I$89,5,0)</f>
        <v>188.92450199999999</v>
      </c>
      <c r="P67" s="13">
        <f t="shared" si="33"/>
        <v>47.302097014229012</v>
      </c>
      <c r="Q67" s="20">
        <f t="shared" ref="Q67:Q98" si="54">(O67+P67)*0.475*44/12</f>
        <v>411.42799328311548</v>
      </c>
      <c r="R67" s="59">
        <f t="shared" ref="R67:R130" si="55">Q67+(I67+J67)*44/12</f>
        <v>691.30228508824848</v>
      </c>
      <c r="S67" s="59">
        <f ca="1">AVERAGE(OFFSET($R$3,0,0,'Données projet'!$E$9+1,1))-AVERAGE(OFFSET($H$3,0,0,'Données projet'!$E$9+1,1))</f>
        <v>490.57849401500789</v>
      </c>
      <c r="T67" s="59">
        <f t="shared" si="34"/>
        <v>221.7570623669753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55.830481949315619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55.830481949315619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6.5566666666666658</v>
      </c>
      <c r="AI67" s="13">
        <f>IF('Données projet'!$A$62&gt;35,AI66+AH67-AQ66,IF(A67&lt;'Données projet'!$A$62,$AF$205^A67,IF(A67='Données projet'!$A$62,'Données projet'!$B$62,AI66+AH67-AQ66)))</f>
        <v>158.00666666666672</v>
      </c>
      <c r="AJ67" s="13">
        <f>AI67*VLOOKUP('Données projet'!$B$10,Paramètres!$A$1:$I$89,3,0)*VLOOKUP('Données projet'!$B$10,Paramètres!$A$1:$I$89,5,0)</f>
        <v>105.99087200000004</v>
      </c>
      <c r="AK67" s="13">
        <f t="shared" si="35"/>
        <v>28.384371393550918</v>
      </c>
      <c r="AL67" s="20">
        <f t="shared" si="4"/>
        <v>234.03688224376791</v>
      </c>
      <c r="AM67" s="59">
        <f t="shared" si="5"/>
        <v>513.91117404890088</v>
      </c>
      <c r="AN67" s="59">
        <f ca="1">AVERAGE(OFFSET($AM$3,0,0,'Données projet'!$E$10+1,1))-AVERAGE(OFFSET($H$3,0,0,'Données projet'!$E$10+1,1))</f>
        <v>377.00534440335832</v>
      </c>
      <c r="AO67" s="59">
        <f t="shared" si="36"/>
        <v>131.56029120000656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25.358107379916994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25.358107379916994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190.6</v>
      </c>
      <c r="BE67" s="13">
        <f>BD67*VLOOKUP('Données projet'!$B$11,Paramètres!$A$1:$I$89,3,0)*VLOOKUP('Données projet'!$B$11,Paramètres!$A$1:$I$89,5,0)</f>
        <v>166.50816</v>
      </c>
      <c r="BF67" s="13">
        <f t="shared" si="37"/>
        <v>42.307025456487715</v>
      </c>
      <c r="BG67" s="20">
        <f t="shared" si="7"/>
        <v>363.68644800338274</v>
      </c>
      <c r="BH67" s="59">
        <f t="shared" si="8"/>
        <v>643.56073980851568</v>
      </c>
      <c r="BI67" s="59">
        <f ca="1">AVERAGE(OFFSET($BH$3,0,0,'Données projet'!$E$11+1,1))-AVERAGE(OFFSET($H$3,0,0,'Données projet'!$E$11+1,1))</f>
        <v>314.1123649635374</v>
      </c>
      <c r="BJ67" s="59">
        <f t="shared" si="38"/>
        <v>274.92342227914889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32.966030676588829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32.966030676588829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713.52258417708288</v>
      </c>
      <c r="CD67" s="59">
        <f ca="1">AVERAGE(OFFSET($CC$3,0,0,'Données projet'!$E$12+1,1))-AVERAGE(OFFSET($H$3,0,0,'Données projet'!$E$12+1,1))</f>
        <v>309.86296291630748</v>
      </c>
      <c r="CE67" s="59">
        <f t="shared" si="40"/>
        <v>301.17633325088661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38.746761370685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38.746761370685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10.4</v>
      </c>
      <c r="CT67" s="12">
        <f>IF('Données projet'!$A$140&gt;35,CT66+CS67-DB66,IF(A67&lt;'Données projet'!$A$140,$CQ$205^A67,IF(A67='Données projet'!$A$140,'Données projet'!$B$140,CT66+CS67-DB66)))</f>
        <v>283.59999999999997</v>
      </c>
      <c r="CU67" s="17">
        <f>CT67*VLOOKUP('Données projet'!$B$13,Paramètres!$A$1:$I$89,3,0)*VLOOKUP('Données projet'!$B$13,Paramètres!$A$1:$I$89,5,0)</f>
        <v>243.3288</v>
      </c>
      <c r="CV67" s="13">
        <f t="shared" si="41"/>
        <v>59.155162833418565</v>
      </c>
      <c r="CW67" s="20">
        <f t="shared" si="13"/>
        <v>526.82623526820396</v>
      </c>
      <c r="CX67" s="59">
        <f t="shared" si="14"/>
        <v>806.70052707333684</v>
      </c>
      <c r="CY67" s="59">
        <f ca="1">AVERAGE(OFFSET($CX$3,0,0,'Données projet'!$E$13+1,1))-AVERAGE(OFFSET($H$3,0,0,'Données projet'!$E$13+1,1))</f>
        <v>462.66388549889928</v>
      </c>
      <c r="CZ67" s="59">
        <f t="shared" si="42"/>
        <v>265.3725203415089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61.786956174935767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61.786956174935767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5.5555555588888881</v>
      </c>
      <c r="DO67" s="12">
        <f>IF('Données projet'!$A$166&gt;35,DO66+DN67-DW66,IF(A67&lt;'Données projet'!$A$166,$DL$205^A67,IF(A67='Données projet'!$A$166,'Données projet'!$B$166,DO66+DN67-DW66)))</f>
        <v>182.47863250555565</v>
      </c>
      <c r="DP67" s="17">
        <f>DO67*VLOOKUP('Données projet'!$B$14,Paramètres!$A$1:$I$89,3,0)*VLOOKUP('Données projet'!$B$14,Paramètres!$A$1:$I$89,5,0)</f>
        <v>142.3333333543334</v>
      </c>
      <c r="DQ67" s="13">
        <f t="shared" si="43"/>
        <v>36.831024090620843</v>
      </c>
      <c r="DR67" s="20">
        <f t="shared" si="16"/>
        <v>312.04458921662859</v>
      </c>
      <c r="DS67" s="59">
        <f t="shared" si="17"/>
        <v>591.91888102176154</v>
      </c>
      <c r="DT67" s="59">
        <f ca="1">AVERAGE(OFFSET($DS$3,0,0,'Données projet'!$E$14+1,1))-AVERAGE(OFFSET($H$3,0,0,'Données projet'!$E$14+1,1))</f>
        <v>206.5241977687125</v>
      </c>
      <c r="DU67" s="59">
        <f t="shared" si="44"/>
        <v>205.25001043771269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35.656569019237786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35.656569019237786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2.6</v>
      </c>
      <c r="EJ67" s="12">
        <f>IF('Données projet'!$A$192&gt;35,EJ66+EI67-ER66,IF(A67&lt;'Données projet'!$A$192,$EG$205^A67,IF(A67='Données projet'!$A$192,'Données projet'!$B$192,EJ66+EI67-ER66)))</f>
        <v>143.39999999999995</v>
      </c>
      <c r="EK67" s="17">
        <f>EJ67*VLOOKUP('Données projet'!$B$15,Paramètres!$A$1:$I$89,3,0)*VLOOKUP('Données projet'!$B$15,Paramètres!$A$1:$I$89,5,0)</f>
        <v>125.27423999999996</v>
      </c>
      <c r="EL67" s="13">
        <f t="shared" si="45"/>
        <v>32.902032783270997</v>
      </c>
      <c r="EM67" s="20">
        <f t="shared" si="19"/>
        <v>275.49034176419696</v>
      </c>
      <c r="EN67" s="59">
        <f t="shared" si="20"/>
        <v>555.36463356932995</v>
      </c>
      <c r="EO67" s="59">
        <f ca="1">AVERAGE(OFFSET($EN$3,0,0,'Données projet'!$E$15+1,1))-AVERAGE(OFFSET($H$3,0,0,'Données projet'!$E$15+1,1))</f>
        <v>205.83135724908942</v>
      </c>
      <c r="EP67" s="59">
        <f t="shared" si="46"/>
        <v>193.60053377311405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24.84005000241881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24.84005000241881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4.8</v>
      </c>
      <c r="FE67" s="12">
        <f>IF('Données projet'!$A$218&gt;35,FE66+FD67-FM66,IF(A67&lt;'Données projet'!$A$218,$FB$205^A67,IF(A67='Données projet'!$A$218,'Données projet'!$B$218,FE66+FD67-FM66)))</f>
        <v>196.20000000000007</v>
      </c>
      <c r="FF67" s="17">
        <f>FE67*VLOOKUP('Données projet'!$B$16,Paramètres!$A$1:$I$89,3,0)*VLOOKUP('Données projet'!$B$16,Paramètres!$A$1:$I$89,5,0)</f>
        <v>128.55024000000003</v>
      </c>
      <c r="FG67" s="13">
        <f t="shared" si="47"/>
        <v>33.661144026076663</v>
      </c>
      <c r="FH67" s="20">
        <f t="shared" si="22"/>
        <v>282.51816051208363</v>
      </c>
      <c r="FI67" s="59">
        <f t="shared" si="23"/>
        <v>562.39245231721657</v>
      </c>
      <c r="FJ67" s="59">
        <f ca="1">AVERAGE(OFFSET($FI$3,0,0,'Données projet'!$E$16+1,1))-AVERAGE(OFFSET($H$3,0,0,'Données projet'!$E$16+1,1))</f>
        <v>242.76791261317206</v>
      </c>
      <c r="FK67" s="59">
        <f t="shared" si="48"/>
        <v>244.28580264867682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28.281614075456297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28.281614075456297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8.0925000000000011</v>
      </c>
      <c r="FZ67" s="12">
        <f>IF('Données projet'!$A$244&gt;35,FZ66+FY67-GH66,IF(A67&lt;'Données projet'!$A$244,$FW$205^A67,IF(A67='Données projet'!$A$244,'Données projet'!$B$244,FZ66+FY67-GH66)))</f>
        <v>208.80250000000001</v>
      </c>
      <c r="GA67" s="17">
        <f>FZ67*VLOOKUP('Données projet'!$B$17,Paramètres!$A$1:$I$89,3,0)*VLOOKUP('Données projet'!$B$17,Paramètres!$A$1:$I$89,5,0)</f>
        <v>198.696459</v>
      </c>
      <c r="GB67" s="13">
        <f t="shared" si="49"/>
        <v>49.457579933208876</v>
      </c>
      <c r="GC67" s="20">
        <f t="shared" si="25"/>
        <v>432.2016178086721</v>
      </c>
      <c r="GD67" s="59">
        <f t="shared" si="26"/>
        <v>712.07590961380504</v>
      </c>
      <c r="GE67" s="59">
        <f ca="1">AVERAGE(OFFSET($GD$3,0,0,'Données projet'!$E$17+1,1))-AVERAGE(OFFSET($H$3,0,0,'Données projet'!$E$17+1,1))</f>
        <v>512.71941256120977</v>
      </c>
      <c r="GF67" s="59">
        <f t="shared" si="50"/>
        <v>230.65031527019354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58.718265498418162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58.718265498418162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66.329352310490805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-5.6843418860808015E-14</v>
      </c>
      <c r="GV67" s="17">
        <f>GU67*VLOOKUP('Données projet'!$B$18,Paramètres!$A$1:$I$89,3,0)*VLOOKUP('Données projet'!$B$18,Paramètres!$A$1:$I$89,5,0)</f>
        <v>-2.5006556825246661E-14</v>
      </c>
      <c r="GW67" s="13" t="e">
        <f t="shared" si="51"/>
        <v>#NUM!</v>
      </c>
      <c r="GX67" s="20" t="e">
        <f t="shared" si="28"/>
        <v>#NUM!</v>
      </c>
      <c r="GY67" s="59" t="e">
        <f t="shared" si="29"/>
        <v>#NUM!</v>
      </c>
      <c r="GZ67" s="59">
        <f ca="1">AVERAGE(OFFSET($GY$3,0,0,'Données projet'!$E$18+1,1))-AVERAGE(OFFSET($H$3,0,0,'Données projet'!$E$18+1,1))</f>
        <v>180.68917161146683</v>
      </c>
      <c r="HA67" s="59">
        <f t="shared" si="52"/>
        <v>344.42126252322419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32.611735990968718</v>
      </c>
      <c r="HH67" s="21">
        <f>EXP(-LN(2)/25)*HH66+(1-EXP(-LN(2)/25))/(LN(2)/25)*Calculateur!HC67*Calculateur!HE67*VLOOKUP('Données projet'!$B$18,Paramètres!$A$1:$I$89,3,0)*0.475*44/12</f>
        <v>6.4532043359556344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39.064940326924351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2.25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8.25</v>
      </c>
      <c r="H68" s="66">
        <f t="shared" ref="H68:H131" si="56">(B68+E68+F68)*44/12+(C68+D68)*0.475*44/12</f>
        <v>223.66666666666666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8.0925000000000011</v>
      </c>
      <c r="N68" s="13">
        <f>IF('Données projet'!$A$36&gt;35,N67+M68-V67,IF(A68&lt;'Données projet'!$A$36,$K$205^A68,IF(A68='Données projet'!$A$36,'Données projet'!$B$36,N67+M68-V67)))</f>
        <v>216.89500000000001</v>
      </c>
      <c r="O68" s="13">
        <f>N68*VLOOKUP('Données projet'!$B$9,Paramètres!$A$1:$I$89,3,0)*VLOOKUP('Données projet'!$B$9,Paramètres!$A$1:$I$89,5,0)</f>
        <v>196.24659600000001</v>
      </c>
      <c r="P68" s="13">
        <f t="shared" si="33"/>
        <v>48.918375802544958</v>
      </c>
      <c r="Q68" s="20">
        <f t="shared" si="54"/>
        <v>426.99565922276582</v>
      </c>
      <c r="R68" s="59">
        <f t="shared" si="55"/>
        <v>707.103435308504</v>
      </c>
      <c r="S68" s="59">
        <f ca="1">AVERAGE(OFFSET($R$3,0,0,'Données projet'!$E$9+1,1))-AVERAGE(OFFSET($H$3,0,0,'Données projet'!$E$9+1,1))</f>
        <v>490.57849401500789</v>
      </c>
      <c r="T68" s="59">
        <f t="shared" si="34"/>
        <v>221.7570623669753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54.735680251521053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54.735680251521053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6.5566666666666658</v>
      </c>
      <c r="AI68" s="13">
        <f>IF('Données projet'!$A$62&gt;35,AI67+AH68-AQ67,IF(A68&lt;'Données projet'!$A$62,$AF$205^A68,IF(A68='Données projet'!$A$62,'Données projet'!$B$62,AI67+AH68-AQ67)))</f>
        <v>164.56333333333339</v>
      </c>
      <c r="AJ68" s="13">
        <f>AI68*VLOOKUP('Données projet'!$B$10,Paramètres!$A$1:$I$89,3,0)*VLOOKUP('Données projet'!$B$10,Paramètres!$A$1:$I$89,5,0)</f>
        <v>110.38908400000004</v>
      </c>
      <c r="AK68" s="13">
        <f t="shared" si="35"/>
        <v>29.422636950983613</v>
      </c>
      <c r="AL68" s="20">
        <f t="shared" ref="AL68:AL131" si="58">(AJ68+AK68)*0.475*44/12</f>
        <v>243.50541398962983</v>
      </c>
      <c r="AM68" s="59">
        <f t="shared" ref="AM68:AM131" si="59">AL68+(AD68+AE68)*44/12</f>
        <v>523.61319007536804</v>
      </c>
      <c r="AN68" s="59">
        <f ca="1">AVERAGE(OFFSET($AM$3,0,0,'Données projet'!$E$10+1,1))-AVERAGE(OFFSET($H$3,0,0,'Données projet'!$E$10+1,1))</f>
        <v>377.00534440335832</v>
      </c>
      <c r="AO68" s="59">
        <f t="shared" si="36"/>
        <v>131.56029120000656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24.860850361115091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24.860850361115091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195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195</v>
      </c>
      <c r="BE68" s="13">
        <f>BD68*VLOOKUP('Données projet'!$B$11,Paramètres!$A$1:$I$89,3,0)*VLOOKUP('Données projet'!$B$11,Paramètres!$A$1:$I$89,5,0)</f>
        <v>170.35200000000003</v>
      </c>
      <c r="BF68" s="13">
        <f t="shared" si="37"/>
        <v>43.168850382694487</v>
      </c>
      <c r="BG68" s="20">
        <f t="shared" ref="BG68:BG131" si="61">(BE68+BF68)*0.475*44/12</f>
        <v>371.88214774985954</v>
      </c>
      <c r="BH68" s="59">
        <f t="shared" ref="BH68:BH131" si="62">BG68+(AY68+AZ68)*44/12</f>
        <v>651.98992383559766</v>
      </c>
      <c r="BI68" s="59">
        <f ca="1">AVERAGE(OFFSET($BH$3,0,0,'Données projet'!$E$11+1,1))-AVERAGE(OFFSET($H$3,0,0,'Données projet'!$E$11+1,1))</f>
        <v>314.1123649635374</v>
      </c>
      <c r="BJ68" s="59">
        <f t="shared" si="38"/>
        <v>274.92342227914889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15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38.548602979276112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38.548602979276112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721.19206663949569</v>
      </c>
      <c r="CD68" s="59">
        <f ca="1">AVERAGE(OFFSET($CC$3,0,0,'Données projet'!$E$12+1,1))-AVERAGE(OFFSET($H$3,0,0,'Données projet'!$E$12+1,1))</f>
        <v>309.86296291630748</v>
      </c>
      <c r="CE68" s="59">
        <f t="shared" si="40"/>
        <v>301.17633325088661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43.114517337362628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43.114517337362628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294</v>
      </c>
      <c r="CR68" s="12">
        <f>VLOOKUP(A68,'Données projet'!$A$139:$I$159,9,0)</f>
        <v>10.4</v>
      </c>
      <c r="CS68" s="12">
        <f t="array" ref="CS68">INDEX(CR:CR,MIN(IF(ISNUMBER(CR68:CR264),ROW(CR68:CR264),"")))</f>
        <v>10.4</v>
      </c>
      <c r="CT68" s="12">
        <f>IF('Données projet'!$A$140&gt;35,CT67+CS68-DB67,IF(A68&lt;'Données projet'!$A$140,$CQ$205^A68,IF(A68='Données projet'!$A$140,'Données projet'!$B$140,CT67+CS68-DB67)))</f>
        <v>293.99999999999994</v>
      </c>
      <c r="CU68" s="17">
        <f>CT68*VLOOKUP('Données projet'!$B$13,Paramètres!$A$1:$I$89,3,0)*VLOOKUP('Données projet'!$B$13,Paramètres!$A$1:$I$89,5,0)</f>
        <v>252.25199999999998</v>
      </c>
      <c r="CV68" s="13">
        <f t="shared" si="41"/>
        <v>61.067920784150822</v>
      </c>
      <c r="CW68" s="20">
        <f t="shared" ref="CW68:CW131" si="67">(CU68+CV68)*0.475*44/12</f>
        <v>545.69886203239594</v>
      </c>
      <c r="CX68" s="59">
        <f t="shared" ref="CX68:CX131" si="68">CW68+(CO68+CP68)*44/12</f>
        <v>825.80663811813406</v>
      </c>
      <c r="CY68" s="59">
        <f ca="1">AVERAGE(OFFSET($CX$3,0,0,'Données projet'!$E$13+1,1))-AVERAGE(OFFSET($H$3,0,0,'Données projet'!$E$13+1,1))</f>
        <v>462.66388549889928</v>
      </c>
      <c r="CZ68" s="59">
        <f t="shared" si="42"/>
        <v>265.3725203415089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28</v>
      </c>
      <c r="DC68" s="16">
        <f>IF(ISNA(VLOOKUP(A68,'Données projet'!$A$139:$I$159,5,0)),0%,VLOOKUP(A68,'Données projet'!$A$139:$I$159,5,0)*VLOOKUP('Données projet'!$B$13,Paramètres!$A$1:$I$89,7,0))</f>
        <v>0.53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74.650996461554115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74.650996461554115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5.5555555588888881</v>
      </c>
      <c r="DO68" s="12">
        <f>IF('Données projet'!$A$166&gt;35,DO67+DN68-DW67,IF(A68&lt;'Données projet'!$A$166,$DL$205^A68,IF(A68='Données projet'!$A$166,'Données projet'!$B$166,DO67+DN68-DW67)))</f>
        <v>188.03418806444455</v>
      </c>
      <c r="DP68" s="17">
        <f>DO68*VLOOKUP('Données projet'!$B$14,Paramètres!$A$1:$I$89,3,0)*VLOOKUP('Données projet'!$B$14,Paramètres!$A$1:$I$89,5,0)</f>
        <v>146.66666669026677</v>
      </c>
      <c r="DQ68" s="13">
        <f t="shared" si="43"/>
        <v>37.820085751063971</v>
      </c>
      <c r="DR68" s="20">
        <f t="shared" ref="DR68:DR131" si="70">(DP68+DQ68)*0.475*44/12</f>
        <v>321.31442716865104</v>
      </c>
      <c r="DS68" s="59">
        <f t="shared" ref="DS68:DS131" si="71">DR68+(DJ68+DK68)*44/12</f>
        <v>601.42220325438916</v>
      </c>
      <c r="DT68" s="59">
        <f ca="1">AVERAGE(OFFSET($DS$3,0,0,'Données projet'!$E$14+1,1))-AVERAGE(OFFSET($H$3,0,0,'Données projet'!$E$14+1,1))</f>
        <v>206.5241977687125</v>
      </c>
      <c r="DU68" s="59">
        <f t="shared" si="44"/>
        <v>205.25001043771269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34.957365449130165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34.957365449130165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146</v>
      </c>
      <c r="EH68" s="12">
        <f>VLOOKUP(A68,'Données projet'!$A$191:$I$211,9,0)</f>
        <v>2.6</v>
      </c>
      <c r="EI68" s="12">
        <f t="array" ref="EI68">INDEX(EH:EH,MIN(IF(ISNUMBER(EH68:EH264),ROW(EH68:EH264),"")))</f>
        <v>2.6</v>
      </c>
      <c r="EJ68" s="12">
        <f>IF('Données projet'!$A$192&gt;35,EJ67+EI68-ER67,IF(A68&lt;'Données projet'!$A$192,$EG$205^A68,IF(A68='Données projet'!$A$192,'Données projet'!$B$192,EJ67+EI68-ER67)))</f>
        <v>145.99999999999994</v>
      </c>
      <c r="EK68" s="17">
        <f>EJ68*VLOOKUP('Données projet'!$B$15,Paramètres!$A$1:$I$89,3,0)*VLOOKUP('Données projet'!$B$15,Paramètres!$A$1:$I$89,5,0)</f>
        <v>127.54559999999996</v>
      </c>
      <c r="EL68" s="13">
        <f t="shared" si="45"/>
        <v>33.428591950384806</v>
      </c>
      <c r="EM68" s="20">
        <f t="shared" ref="EM68:EM131" si="73">(EK68+EL68)*0.475*44/12</f>
        <v>280.36338431358683</v>
      </c>
      <c r="EN68" s="59">
        <f t="shared" ref="EN68:EN131" si="74">EM68+(EE68+EF68)*44/12</f>
        <v>560.47116039932507</v>
      </c>
      <c r="EO68" s="59">
        <f ca="1">AVERAGE(OFFSET($EN$3,0,0,'Données projet'!$E$15+1,1))-AVERAGE(OFFSET($H$3,0,0,'Données projet'!$E$15+1,1))</f>
        <v>205.83135724908942</v>
      </c>
      <c r="EP68" s="59">
        <f t="shared" si="46"/>
        <v>193.60053377311405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6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27.424001549726604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27.424001549726604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201</v>
      </c>
      <c r="FC68" s="12">
        <f>VLOOKUP(A68,'Données projet'!$A$217:$I$237,9,0)</f>
        <v>4.8</v>
      </c>
      <c r="FD68" s="12">
        <f t="array" ref="FD68">INDEX(FC:FC,MIN(IF(ISNUMBER(FC68:FC264),ROW(FC68:FC264),"")))</f>
        <v>4.8</v>
      </c>
      <c r="FE68" s="12">
        <f>IF('Données projet'!$A$218&gt;35,FE67+FD68-FM67,IF(A68&lt;'Données projet'!$A$218,$FB$205^A68,IF(A68='Données projet'!$A$218,'Données projet'!$B$218,FE67+FD68-FM67)))</f>
        <v>201.00000000000009</v>
      </c>
      <c r="FF68" s="17">
        <f>FE68*VLOOKUP('Données projet'!$B$16,Paramètres!$A$1:$I$89,3,0)*VLOOKUP('Données projet'!$B$16,Paramètres!$A$1:$I$89,5,0)</f>
        <v>131.69520000000006</v>
      </c>
      <c r="FG68" s="13">
        <f t="shared" si="47"/>
        <v>34.387774432362271</v>
      </c>
      <c r="FH68" s="20">
        <f t="shared" ref="FH68:FH131" si="76">(FF68+FG68)*0.475*44/12</f>
        <v>289.26118046969771</v>
      </c>
      <c r="FI68" s="59">
        <f t="shared" ref="FI68:FI131" si="77">FH68+(EZ68+FA68)*44/12</f>
        <v>569.36895655543594</v>
      </c>
      <c r="FJ68" s="59">
        <f ca="1">AVERAGE(OFFSET($FI$3,0,0,'Données projet'!$E$16+1,1))-AVERAGE(OFFSET($H$3,0,0,'Données projet'!$E$16+1,1))</f>
        <v>242.76791261317206</v>
      </c>
      <c r="FK68" s="59">
        <f t="shared" si="48"/>
        <v>244.28580264867682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18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33.333143324783592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33.333143324783592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8.0925000000000011</v>
      </c>
      <c r="FZ68" s="12">
        <f>IF('Données projet'!$A$244&gt;35,FZ67+FY68-GH67,IF(A68&lt;'Données projet'!$A$244,$FW$205^A68,IF(A68='Données projet'!$A$244,'Données projet'!$B$244,FZ67+FY68-GH67)))</f>
        <v>216.89500000000001</v>
      </c>
      <c r="GA68" s="17">
        <f>FZ68*VLOOKUP('Données projet'!$B$17,Paramètres!$A$1:$I$89,3,0)*VLOOKUP('Données projet'!$B$17,Paramètres!$A$1:$I$89,5,0)</f>
        <v>206.39728199999999</v>
      </c>
      <c r="GB68" s="13">
        <f t="shared" si="49"/>
        <v>51.147510029615376</v>
      </c>
      <c r="GC68" s="20">
        <f t="shared" ref="GC68:GC131" si="79">(GA68+GB68)*0.475*44/12</f>
        <v>448.55717945158</v>
      </c>
      <c r="GD68" s="59">
        <f t="shared" ref="GD68:GD131" si="80">GC68+(FU68+FV68)*44/12</f>
        <v>728.66495553731818</v>
      </c>
      <c r="GE68" s="59">
        <f ca="1">AVERAGE(OFFSET($GD$3,0,0,'Données projet'!$E$17+1,1))-AVERAGE(OFFSET($H$3,0,0,'Données projet'!$E$17+1,1))</f>
        <v>512.71941256120977</v>
      </c>
      <c r="GF68" s="59">
        <f t="shared" si="50"/>
        <v>230.65031527019354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57.566836126599739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57.566836126599739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66.393029841564953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-5.6843418860808015E-14</v>
      </c>
      <c r="GV68" s="17">
        <f>GU68*VLOOKUP('Données projet'!$B$18,Paramètres!$A$1:$I$89,3,0)*VLOOKUP('Données projet'!$B$18,Paramètres!$A$1:$I$89,5,0)</f>
        <v>-2.5006556825246661E-14</v>
      </c>
      <c r="GW68" s="13" t="e">
        <f t="shared" si="51"/>
        <v>#NUM!</v>
      </c>
      <c r="GX68" s="20" t="e">
        <f t="shared" ref="GX68:GX131" si="82">(GV68+GW68)*0.475*44/12</f>
        <v>#NUM!</v>
      </c>
      <c r="GY68" s="59" t="e">
        <f t="shared" ref="GY68:GY131" si="83">GX68+(GP68+GQ68)*44/12</f>
        <v>#NUM!</v>
      </c>
      <c r="GZ68" s="59">
        <f ca="1">AVERAGE(OFFSET($GY$3,0,0,'Données projet'!$E$18+1,1))-AVERAGE(OFFSET($H$3,0,0,'Données projet'!$E$18+1,1))</f>
        <v>180.68917161146683</v>
      </c>
      <c r="HA68" s="59">
        <f t="shared" si="52"/>
        <v>344.42126252322419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31.972239739380683</v>
      </c>
      <c r="HH68" s="21">
        <f>EXP(-LN(2)/25)*HH67+(1-EXP(-LN(2)/25))/(LN(2)/25)*Calculateur!HC68*Calculateur!HE68*VLOOKUP('Données projet'!$B$18,Paramètres!$A$1:$I$89,3,0)*0.475*44/12</f>
        <v>6.2767411240296607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38.248980863410345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2.25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8.25</v>
      </c>
      <c r="H69" s="66">
        <f t="shared" si="56"/>
        <v>223.66666666666666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8.0925000000000011</v>
      </c>
      <c r="N69" s="13">
        <f>IF('Données projet'!$A$36&gt;35,N68+M69-V68,IF(A69&lt;'Données projet'!$A$36,$K$205^A69,IF(A69='Données projet'!$A$36,'Données projet'!$B$36,N68+M69-V68)))</f>
        <v>224.98750000000001</v>
      </c>
      <c r="O69" s="13">
        <f>N69*VLOOKUP('Données projet'!$B$9,Paramètres!$A$1:$I$89,3,0)*VLOOKUP('Données projet'!$B$9,Paramètres!$A$1:$I$89,5,0)</f>
        <v>203.56869</v>
      </c>
      <c r="P69" s="13">
        <f t="shared" ref="P69:P132" si="87">EXP(-1.0587+0.8836*LN(O69)+0.284)</f>
        <v>50.527648655199286</v>
      </c>
      <c r="Q69" s="20">
        <f t="shared" si="54"/>
        <v>442.55112315780548</v>
      </c>
      <c r="R69" s="59">
        <f t="shared" si="55"/>
        <v>722.88833309387292</v>
      </c>
      <c r="S69" s="59">
        <f ca="1">AVERAGE(OFFSET($R$3,0,0,'Données projet'!$E$9+1,1))-AVERAGE(OFFSET($H$3,0,0,'Données projet'!$E$9+1,1))</f>
        <v>490.57849401500789</v>
      </c>
      <c r="T69" s="59">
        <f t="shared" ref="T69:T132" si="88">$T$3</f>
        <v>221.7570623669753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53.662346947257134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53.662346947257134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6.5566666666666658</v>
      </c>
      <c r="AI69" s="13">
        <f>IF('Données projet'!$A$62&gt;35,AI68+AH69-AQ68,IF(A69&lt;'Données projet'!$A$62,$AF$205^A69,IF(A69='Données projet'!$A$62,'Données projet'!$B$62,AI68+AH69-AQ68)))</f>
        <v>171.12000000000006</v>
      </c>
      <c r="AJ69" s="13">
        <f>AI69*VLOOKUP('Données projet'!$B$10,Paramètres!$A$1:$I$89,3,0)*VLOOKUP('Données projet'!$B$10,Paramètres!$A$1:$I$89,5,0)</f>
        <v>114.78729600000004</v>
      </c>
      <c r="AK69" s="13">
        <f t="shared" ref="AK69:AK132" si="89">EXP(-1.0587+0.8836*LN(AJ69)+0.284)</f>
        <v>30.456097145920385</v>
      </c>
      <c r="AL69" s="20">
        <f t="shared" si="58"/>
        <v>252.96557639581144</v>
      </c>
      <c r="AM69" s="59">
        <f t="shared" si="59"/>
        <v>533.30278633187891</v>
      </c>
      <c r="AN69" s="59">
        <f ca="1">AVERAGE(OFFSET($AM$3,0,0,'Données projet'!$E$10+1,1))-AVERAGE(OFFSET($H$3,0,0,'Données projet'!$E$10+1,1))</f>
        <v>377.00534440335832</v>
      </c>
      <c r="AO69" s="59">
        <f t="shared" ref="AO69:AO132" si="90">$AO$3</f>
        <v>131.56029120000656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24.37334424915506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24.37334424915506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4.2</v>
      </c>
      <c r="BD69" s="12">
        <f>IF('Données projet'!$A$88&gt;35,BD68+BC69-BL68,IF(A69&lt;'Données projet'!$A$88,$BA$205^A69,IF(A69='Données projet'!$A$88,'Données projet'!$B$88,BD68+BC69-BL68)))</f>
        <v>184.2</v>
      </c>
      <c r="BE69" s="13">
        <f>BD69*VLOOKUP('Données projet'!$B$11,Paramètres!$A$1:$I$89,3,0)*VLOOKUP('Données projet'!$B$11,Paramètres!$A$1:$I$89,5,0)</f>
        <v>160.91712000000001</v>
      </c>
      <c r="BF69" s="13">
        <f t="shared" ref="BF69:BF132" si="91">EXP(-1.0587+0.8836*LN(BE69)+0.284)</f>
        <v>41.049305520788089</v>
      </c>
      <c r="BG69" s="20">
        <f t="shared" si="61"/>
        <v>351.75819111537254</v>
      </c>
      <c r="BH69" s="59">
        <f t="shared" si="62"/>
        <v>632.09540105144004</v>
      </c>
      <c r="BI69" s="59">
        <f ca="1">AVERAGE(OFFSET($BH$3,0,0,'Données projet'!$E$11+1,1))-AVERAGE(OFFSET($H$3,0,0,'Données projet'!$E$11+1,1))</f>
        <v>314.1123649635374</v>
      </c>
      <c r="BJ69" s="59">
        <f t="shared" ref="BJ69:BJ132" si="92">$BJ$3</f>
        <v>274.92342227914889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37.792688387178679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37.792688387178679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709.25208046525336</v>
      </c>
      <c r="CD69" s="59">
        <f ca="1">AVERAGE(OFFSET($CC$3,0,0,'Données projet'!$E$12+1,1))-AVERAGE(OFFSET($H$3,0,0,'Données projet'!$E$12+1,1))</f>
        <v>309.86296291630748</v>
      </c>
      <c r="CE69" s="59">
        <f t="shared" ref="CE69:CE132" si="94">$CE$3</f>
        <v>301.17633325088661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42.269067949635883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42.269067949635883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10</v>
      </c>
      <c r="CT69" s="12">
        <f>IF('Données projet'!$A$140&gt;35,CT68+CS69-DB68,IF(A69&lt;'Données projet'!$A$140,$CQ$205^A69,IF(A69='Données projet'!$A$140,'Données projet'!$B$140,CT68+CS69-DB68)))</f>
        <v>275.99999999999994</v>
      </c>
      <c r="CU69" s="17">
        <f>CT69*VLOOKUP('Données projet'!$B$13,Paramètres!$A$1:$I$89,3,0)*VLOOKUP('Données projet'!$B$13,Paramètres!$A$1:$I$89,5,0)</f>
        <v>236.80799999999999</v>
      </c>
      <c r="CV69" s="13">
        <f t="shared" ref="CV69:CV132" si="95">EXP(-1.0587+0.8836*LN(CU69)+0.284)</f>
        <v>57.752221878398714</v>
      </c>
      <c r="CW69" s="20">
        <f t="shared" si="67"/>
        <v>513.02571977154435</v>
      </c>
      <c r="CX69" s="59">
        <f t="shared" si="68"/>
        <v>793.36292970761178</v>
      </c>
      <c r="CY69" s="59">
        <f ca="1">AVERAGE(OFFSET($CX$3,0,0,'Données projet'!$E$13+1,1))-AVERAGE(OFFSET($H$3,0,0,'Données projet'!$E$13+1,1))</f>
        <v>462.66388549889928</v>
      </c>
      <c r="CZ69" s="59">
        <f t="shared" ref="CZ69:CZ132" si="96">$CZ$3</f>
        <v>265.3725203415089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73.187135953554915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73.187135953554915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5.5555555588888881</v>
      </c>
      <c r="DO69" s="12">
        <f>IF('Données projet'!$A$166&gt;35,DO68+DN69-DW68,IF(A69&lt;'Données projet'!$A$166,$DL$205^A69,IF(A69='Données projet'!$A$166,'Données projet'!$B$166,DO68+DN69-DW68)))</f>
        <v>193.58974362333345</v>
      </c>
      <c r="DP69" s="17">
        <f>DO69*VLOOKUP('Données projet'!$B$14,Paramètres!$A$1:$I$89,3,0)*VLOOKUP('Données projet'!$B$14,Paramètres!$A$1:$I$89,5,0)</f>
        <v>151.0000000262001</v>
      </c>
      <c r="DQ69" s="13">
        <f t="shared" ref="DQ69:DQ132" si="97">EXP(-1.0587+0.8836*LN(DP69)+0.284)</f>
        <v>38.80575125875724</v>
      </c>
      <c r="DR69" s="20">
        <f t="shared" si="70"/>
        <v>330.57835015463405</v>
      </c>
      <c r="DS69" s="59">
        <f t="shared" si="71"/>
        <v>610.91556009070155</v>
      </c>
      <c r="DT69" s="59">
        <f ca="1">AVERAGE(OFFSET($DS$3,0,0,'Données projet'!$E$14+1,1))-AVERAGE(OFFSET($H$3,0,0,'Données projet'!$E$14+1,1))</f>
        <v>206.5241977687125</v>
      </c>
      <c r="DU69" s="59">
        <f t="shared" ref="DU69:DU132" si="98">$DU$3</f>
        <v>205.25001043771269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34.271872834560284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34.271872834560284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2.2000000000000002</v>
      </c>
      <c r="EJ69" s="12">
        <f>IF('Données projet'!$A$192&gt;35,EJ68+EI69-ER68,IF(A69&lt;'Données projet'!$A$192,$EG$205^A69,IF(A69='Données projet'!$A$192,'Données projet'!$B$192,EJ68+EI69-ER68)))</f>
        <v>142.19999999999993</v>
      </c>
      <c r="EK69" s="17">
        <f>EJ69*VLOOKUP('Données projet'!$B$15,Paramètres!$A$1:$I$89,3,0)*VLOOKUP('Données projet'!$B$15,Paramètres!$A$1:$I$89,5,0)</f>
        <v>124.22591999999995</v>
      </c>
      <c r="EL69" s="13">
        <f t="shared" ref="EL69:EL132" si="99">EXP(-1.0587+0.8836*LN(EK69)+0.284)</f>
        <v>32.658631616019996</v>
      </c>
      <c r="EM69" s="20">
        <f t="shared" si="73"/>
        <v>273.24059406456803</v>
      </c>
      <c r="EN69" s="59">
        <f t="shared" si="74"/>
        <v>553.57780400063552</v>
      </c>
      <c r="EO69" s="59">
        <f ca="1">AVERAGE(OFFSET($EN$3,0,0,'Données projet'!$E$15+1,1))-AVERAGE(OFFSET($H$3,0,0,'Données projet'!$E$15+1,1))</f>
        <v>205.83135724908942</v>
      </c>
      <c r="EP69" s="59">
        <f t="shared" ref="EP69:EP132" si="100">$EP$3</f>
        <v>193.60053377311405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26.886233606325757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26.886233606325757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4.4000000000000004</v>
      </c>
      <c r="FE69" s="12">
        <f>IF('Données projet'!$A$218&gt;35,FE68+FD69-FM68,IF(A69&lt;'Données projet'!$A$218,$FB$205^A69,IF(A69='Données projet'!$A$218,'Données projet'!$B$218,FE68+FD69-FM68)))</f>
        <v>187.40000000000009</v>
      </c>
      <c r="FF69" s="17">
        <f>FE69*VLOOKUP('Données projet'!$B$16,Paramètres!$A$1:$I$89,3,0)*VLOOKUP('Données projet'!$B$16,Paramètres!$A$1:$I$89,5,0)</f>
        <v>122.78448000000007</v>
      </c>
      <c r="FG69" s="13">
        <f t="shared" ref="FG69:FG132" si="101">EXP(-1.0587+0.8836*LN(FF69)+0.284)</f>
        <v>32.323563966100259</v>
      </c>
      <c r="FH69" s="20">
        <f t="shared" si="76"/>
        <v>270.1465099076247</v>
      </c>
      <c r="FI69" s="59">
        <f t="shared" si="77"/>
        <v>550.48371984369214</v>
      </c>
      <c r="FJ69" s="59">
        <f ca="1">AVERAGE(OFFSET($FI$3,0,0,'Données projet'!$E$16+1,1))-AVERAGE(OFFSET($H$3,0,0,'Données projet'!$E$16+1,1))</f>
        <v>242.76791261317206</v>
      </c>
      <c r="FK69" s="59">
        <f t="shared" ref="FK69:FK132" si="102">$FK$3</f>
        <v>244.28580264867682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32.679500715394475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32.679500715394475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8.0925000000000011</v>
      </c>
      <c r="FZ69" s="12">
        <f>IF('Données projet'!$A$244&gt;35,FZ68+FY69-GH68,IF(A69&lt;'Données projet'!$A$244,$FW$205^A69,IF(A69='Données projet'!$A$244,'Données projet'!$B$244,FZ68+FY69-GH68)))</f>
        <v>224.98750000000001</v>
      </c>
      <c r="GA69" s="17">
        <f>FZ69*VLOOKUP('Données projet'!$B$17,Paramètres!$A$1:$I$89,3,0)*VLOOKUP('Données projet'!$B$17,Paramètres!$A$1:$I$89,5,0)</f>
        <v>214.09810500000003</v>
      </c>
      <c r="GB69" s="13">
        <f t="shared" ref="GB69:GB132" si="103">EXP(-1.0587+0.8836*LN(GA69)+0.284)</f>
        <v>52.83011494077936</v>
      </c>
      <c r="GC69" s="20">
        <f t="shared" si="79"/>
        <v>464.89998306352408</v>
      </c>
      <c r="GD69" s="59">
        <f t="shared" si="80"/>
        <v>745.23719299959157</v>
      </c>
      <c r="GE69" s="59">
        <f ca="1">AVERAGE(OFFSET($GD$3,0,0,'Données projet'!$E$17+1,1))-AVERAGE(OFFSET($H$3,0,0,'Données projet'!$E$17+1,1))</f>
        <v>512.71941256120977</v>
      </c>
      <c r="GF69" s="59">
        <f t="shared" ref="GF69:GF132" si="104">$GF$3</f>
        <v>230.65031527019354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56.437985582460101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56.437985582460101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66.455602709836597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-5.6843418860808015E-14</v>
      </c>
      <c r="GV69" s="17">
        <f>GU69*VLOOKUP('Données projet'!$B$18,Paramètres!$A$1:$I$89,3,0)*VLOOKUP('Données projet'!$B$18,Paramètres!$A$1:$I$89,5,0)</f>
        <v>-2.5006556825246661E-14</v>
      </c>
      <c r="GW69" s="13" t="e">
        <f t="shared" ref="GW69:GW132" si="105">EXP(-1.0587+0.8836*LN(GV69)+0.284)</f>
        <v>#NUM!</v>
      </c>
      <c r="GX69" s="20" t="e">
        <f t="shared" si="82"/>
        <v>#NUM!</v>
      </c>
      <c r="GY69" s="59" t="e">
        <f t="shared" si="83"/>
        <v>#NUM!</v>
      </c>
      <c r="GZ69" s="59">
        <f ca="1">AVERAGE(OFFSET($GY$3,0,0,'Données projet'!$E$18+1,1))-AVERAGE(OFFSET($H$3,0,0,'Données projet'!$E$18+1,1))</f>
        <v>180.68917161146683</v>
      </c>
      <c r="HA69" s="59">
        <f t="shared" ref="HA69:HA132" si="106">$HA$3</f>
        <v>344.42126252322419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31.345283619232092</v>
      </c>
      <c r="HH69" s="21">
        <f>EXP(-LN(2)/25)*HH68+(1-EXP(-LN(2)/25))/(LN(2)/25)*Calculateur!HC69*Calculateur!HE69*VLOOKUP('Données projet'!$B$18,Paramètres!$A$1:$I$89,3,0)*0.475*44/12</f>
        <v>6.1051033079135992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37.450386927145694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2.25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8.25</v>
      </c>
      <c r="H70" s="66">
        <f t="shared" si="56"/>
        <v>223.66666666666666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233.08</v>
      </c>
      <c r="L70" s="12">
        <f>VLOOKUP(A70,'Données projet'!$A$35:$I$55,9,0)</f>
        <v>8.0925000000000011</v>
      </c>
      <c r="M70" s="12">
        <f t="array" ref="M70">INDEX(L:L,MIN(IF(ISNUMBER(L70:L266),ROW(L70:L266),"")))</f>
        <v>8.0925000000000011</v>
      </c>
      <c r="N70" s="13">
        <f>IF('Données projet'!$A$36&gt;35,N69+M70-V69,IF(A70&lt;'Données projet'!$A$36,$K$205^A70,IF(A70='Données projet'!$A$36,'Données projet'!$B$36,N69+M70-V69)))</f>
        <v>233.08</v>
      </c>
      <c r="O70" s="13">
        <f>N70*VLOOKUP('Données projet'!$B$9,Paramètres!$A$1:$I$89,3,0)*VLOOKUP('Données projet'!$B$9,Paramètres!$A$1:$I$89,5,0)</f>
        <v>210.890784</v>
      </c>
      <c r="P70" s="13">
        <f t="shared" si="87"/>
        <v>52.130196433529974</v>
      </c>
      <c r="Q70" s="20">
        <f t="shared" si="54"/>
        <v>458.09487425506472</v>
      </c>
      <c r="R70" s="59">
        <f t="shared" si="55"/>
        <v>738.65753787709559</v>
      </c>
      <c r="S70" s="59">
        <f ca="1">AVERAGE(OFFSET($R$3,0,0,'Données projet'!$E$9+1,1))-AVERAGE(OFFSET($H$3,0,0,'Données projet'!$E$9+1,1))</f>
        <v>490.57849401500789</v>
      </c>
      <c r="T70" s="59">
        <f t="shared" si="88"/>
        <v>221.7570623669753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40.630000000000003</v>
      </c>
      <c r="W70" s="16">
        <f>IF(ISNA(VLOOKUP(A70,'Données projet'!$A$35:$I$55,5,0)),0%,VLOOKUP(A70,'Données projet'!$A$35:$I$55,5,0)*VLOOKUP('Données projet'!$B$9,Paramètres!$A$1:$I$89,7,0))</f>
        <v>0.43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70.08497236260331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70.08497236260331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6.5566666666666658</v>
      </c>
      <c r="AI70" s="13">
        <f>IF('Données projet'!$A$62&gt;35,AI69+AH70-AQ69,IF(A70&lt;'Données projet'!$A$62,$AF$205^A70,IF(A70='Données projet'!$A$62,'Données projet'!$B$62,AI69+AH70-AQ69)))</f>
        <v>177.67666666666673</v>
      </c>
      <c r="AJ70" s="13">
        <f>AI70*VLOOKUP('Données projet'!$B$10,Paramètres!$A$1:$I$89,3,0)*VLOOKUP('Données projet'!$B$10,Paramètres!$A$1:$I$89,5,0)</f>
        <v>119.18550800000004</v>
      </c>
      <c r="AK70" s="13">
        <f t="shared" si="89"/>
        <v>31.484957178016451</v>
      </c>
      <c r="AL70" s="20">
        <f t="shared" si="58"/>
        <v>262.41772685171208</v>
      </c>
      <c r="AM70" s="59">
        <f t="shared" si="59"/>
        <v>542.980390473743</v>
      </c>
      <c r="AN70" s="59">
        <f ca="1">AVERAGE(OFFSET($AM$3,0,0,'Données projet'!$E$10+1,1))-AVERAGE(OFFSET($H$3,0,0,'Données projet'!$E$10+1,1))</f>
        <v>377.00534440335832</v>
      </c>
      <c r="AO70" s="59">
        <f t="shared" si="90"/>
        <v>131.56029120000656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23.8953978347012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23.8953978347012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4.2</v>
      </c>
      <c r="BD70" s="12">
        <f>IF('Données projet'!$A$88&gt;35,BD69+BC70-BL69,IF(A70&lt;'Données projet'!$A$88,$BA$205^A70,IF(A70='Données projet'!$A$88,'Données projet'!$B$88,BD69+BC70-BL69)))</f>
        <v>188.39999999999998</v>
      </c>
      <c r="BE70" s="13">
        <f>BD70*VLOOKUP('Données projet'!$B$11,Paramètres!$A$1:$I$89,3,0)*VLOOKUP('Données projet'!$B$11,Paramètres!$A$1:$I$89,5,0)</f>
        <v>164.58624</v>
      </c>
      <c r="BF70" s="13">
        <f t="shared" si="91"/>
        <v>41.875247075991886</v>
      </c>
      <c r="BG70" s="20">
        <f t="shared" si="61"/>
        <v>359.58708999068585</v>
      </c>
      <c r="BH70" s="59">
        <f t="shared" si="62"/>
        <v>640.14975361271672</v>
      </c>
      <c r="BI70" s="59">
        <f ca="1">AVERAGE(OFFSET($BH$3,0,0,'Données projet'!$E$11+1,1))-AVERAGE(OFFSET($H$3,0,0,'Données projet'!$E$11+1,1))</f>
        <v>314.1123649635374</v>
      </c>
      <c r="BJ70" s="59">
        <f t="shared" si="92"/>
        <v>274.92342227914889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37.051596819169895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37.051596819169895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715.90119422072985</v>
      </c>
      <c r="CD70" s="59">
        <f ca="1">AVERAGE(OFFSET($CC$3,0,0,'Données projet'!$E$12+1,1))-AVERAGE(OFFSET($H$3,0,0,'Données projet'!$E$12+1,1))</f>
        <v>309.86296291630748</v>
      </c>
      <c r="CE70" s="59">
        <f t="shared" si="94"/>
        <v>301.17633325088661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41.440197308729253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41.440197308729253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10</v>
      </c>
      <c r="CT70" s="12">
        <f>IF('Données projet'!$A$140&gt;35,CT69+CS70-DB69,IF(A70&lt;'Données projet'!$A$140,$CQ$205^A70,IF(A70='Données projet'!$A$140,'Données projet'!$B$140,CT69+CS70-DB69)))</f>
        <v>285.99999999999994</v>
      </c>
      <c r="CU70" s="17">
        <f>CT70*VLOOKUP('Données projet'!$B$13,Paramètres!$A$1:$I$89,3,0)*VLOOKUP('Données projet'!$B$13,Paramètres!$A$1:$I$89,5,0)</f>
        <v>245.38799999999998</v>
      </c>
      <c r="CV70" s="13">
        <f t="shared" si="95"/>
        <v>59.597282764919569</v>
      </c>
      <c r="CW70" s="20">
        <f t="shared" si="67"/>
        <v>531.18270081556818</v>
      </c>
      <c r="CX70" s="59">
        <f t="shared" si="68"/>
        <v>811.74536443759916</v>
      </c>
      <c r="CY70" s="59">
        <f ca="1">AVERAGE(OFFSET($CX$3,0,0,'Données projet'!$E$13+1,1))-AVERAGE(OFFSET($H$3,0,0,'Données projet'!$E$13+1,1))</f>
        <v>462.66388549889928</v>
      </c>
      <c r="CZ70" s="59">
        <f t="shared" si="96"/>
        <v>265.3725203415089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71.751980857250828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71.751980857250828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5.5555555588888881</v>
      </c>
      <c r="DO70" s="12">
        <f>IF('Données projet'!$A$166&gt;35,DO69+DN70-DW69,IF(A70&lt;'Données projet'!$A$166,$DL$205^A70,IF(A70='Données projet'!$A$166,'Données projet'!$B$166,DO69+DN70-DW69)))</f>
        <v>199.14529918222235</v>
      </c>
      <c r="DP70" s="17">
        <f>DO70*VLOOKUP('Données projet'!$B$14,Paramètres!$A$1:$I$89,3,0)*VLOOKUP('Données projet'!$B$14,Paramètres!$A$1:$I$89,5,0)</f>
        <v>155.33333336213343</v>
      </c>
      <c r="DQ70" s="13">
        <f t="shared" si="97"/>
        <v>39.788129268236489</v>
      </c>
      <c r="DR70" s="20">
        <f t="shared" si="70"/>
        <v>339.83654741456093</v>
      </c>
      <c r="DS70" s="59">
        <f t="shared" si="71"/>
        <v>620.39921103659185</v>
      </c>
      <c r="DT70" s="59">
        <f ca="1">AVERAGE(OFFSET($DS$3,0,0,'Données projet'!$E$14+1,1))-AVERAGE(OFFSET($H$3,0,0,'Données projet'!$E$14+1,1))</f>
        <v>206.5241977687125</v>
      </c>
      <c r="DU70" s="59">
        <f t="shared" si="98"/>
        <v>205.25001043771269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33.599822312052908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33.599822312052908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2.2000000000000002</v>
      </c>
      <c r="EJ70" s="12">
        <f>IF('Données projet'!$A$192&gt;35,EJ69+EI70-ER69,IF(A70&lt;'Données projet'!$A$192,$EG$205^A70,IF(A70='Données projet'!$A$192,'Données projet'!$B$192,EJ69+EI70-ER69)))</f>
        <v>144.39999999999992</v>
      </c>
      <c r="EK70" s="17">
        <f>EJ70*VLOOKUP('Données projet'!$B$15,Paramètres!$A$1:$I$89,3,0)*VLOOKUP('Données projet'!$B$15,Paramètres!$A$1:$I$89,5,0)</f>
        <v>126.14783999999995</v>
      </c>
      <c r="EL70" s="13">
        <f t="shared" si="99"/>
        <v>33.104685973525342</v>
      </c>
      <c r="EM70" s="20">
        <f t="shared" si="73"/>
        <v>277.36481607055651</v>
      </c>
      <c r="EN70" s="59">
        <f t="shared" si="74"/>
        <v>557.92747969258744</v>
      </c>
      <c r="EO70" s="59">
        <f ca="1">AVERAGE(OFFSET($EN$3,0,0,'Données projet'!$E$15+1,1))-AVERAGE(OFFSET($H$3,0,0,'Données projet'!$E$15+1,1))</f>
        <v>205.83135724908942</v>
      </c>
      <c r="EP70" s="59">
        <f t="shared" si="100"/>
        <v>193.60053377311405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26.359010964288942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26.359010964288942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4.4000000000000004</v>
      </c>
      <c r="FE70" s="12">
        <f>IF('Données projet'!$A$218&gt;35,FE69+FD70-FM69,IF(A70&lt;'Données projet'!$A$218,$FB$205^A70,IF(A70='Données projet'!$A$218,'Données projet'!$B$218,FE69+FD70-FM69)))</f>
        <v>191.8000000000001</v>
      </c>
      <c r="FF70" s="17">
        <f>FE70*VLOOKUP('Données projet'!$B$16,Paramètres!$A$1:$I$89,3,0)*VLOOKUP('Données projet'!$B$16,Paramètres!$A$1:$I$89,5,0)</f>
        <v>125.66736000000007</v>
      </c>
      <c r="FG70" s="13">
        <f t="shared" si="101"/>
        <v>32.993247007291167</v>
      </c>
      <c r="FH70" s="20">
        <f t="shared" si="76"/>
        <v>276.33389053769889</v>
      </c>
      <c r="FI70" s="59">
        <f t="shared" si="77"/>
        <v>556.89655415972982</v>
      </c>
      <c r="FJ70" s="59">
        <f ca="1">AVERAGE(OFFSET($FI$3,0,0,'Données projet'!$E$16+1,1))-AVERAGE(OFFSET($H$3,0,0,'Données projet'!$E$16+1,1))</f>
        <v>242.76791261317206</v>
      </c>
      <c r="FK70" s="59">
        <f t="shared" si="102"/>
        <v>244.28580264867682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32.038675638892855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32.038675638892855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>
        <f>VLOOKUP(A70,'Données projet'!$A$243:$I$263,2,0)</f>
        <v>233.08</v>
      </c>
      <c r="FX70" s="12">
        <f>VLOOKUP(A70,'Données projet'!$A$243:$I$263,9,0)</f>
        <v>8.0925000000000011</v>
      </c>
      <c r="FY70" s="12">
        <f t="array" ref="FY70">INDEX(FX:FX,MIN(IF(ISNUMBER(FX70:FX266),ROW(FX70:FX266),"")))</f>
        <v>8.0925000000000011</v>
      </c>
      <c r="FZ70" s="12">
        <f>IF('Données projet'!$A$244&gt;35,FZ69+FY70-GH69,IF(A70&lt;'Données projet'!$A$244,$FW$205^A70,IF(A70='Données projet'!$A$244,'Données projet'!$B$244,FZ69+FY70-GH69)))</f>
        <v>233.08</v>
      </c>
      <c r="GA70" s="17">
        <f>FZ70*VLOOKUP('Données projet'!$B$17,Paramètres!$A$1:$I$89,3,0)*VLOOKUP('Données projet'!$B$17,Paramètres!$A$1:$I$89,5,0)</f>
        <v>221.79892799999999</v>
      </c>
      <c r="GB70" s="13">
        <f t="shared" si="103"/>
        <v>54.505688326452564</v>
      </c>
      <c r="GC70" s="20">
        <f t="shared" si="79"/>
        <v>481.23054010190486</v>
      </c>
      <c r="GD70" s="59">
        <f t="shared" si="80"/>
        <v>761.79320372393579</v>
      </c>
      <c r="GE70" s="59">
        <f ca="1">AVERAGE(OFFSET($GD$3,0,0,'Données projet'!$E$17+1,1))-AVERAGE(OFFSET($H$3,0,0,'Données projet'!$E$17+1,1))</f>
        <v>512.71941256120977</v>
      </c>
      <c r="GF70" s="59">
        <f t="shared" si="104"/>
        <v>230.65031527019354</v>
      </c>
      <c r="GG70" s="15">
        <f>IF(ISNA(VLOOKUP(A70,'Données projet'!$A$243:$I$263,3,0)),0,VLOOKUP(A70,'Données projet'!$A$243:$I$263,3,0))</f>
        <v>4</v>
      </c>
      <c r="GH70" s="15">
        <f>IF(ISNA(VLOOKUP(A70,'Données projet'!$A$243:$I$263,4,0)),0,VLOOKUP(A70,'Données projet'!$A$243:$I$263,4,0))</f>
        <v>40.630000000000003</v>
      </c>
      <c r="GI70" s="16">
        <f>IF(ISNA(VLOOKUP(A70,'Données projet'!$A$243:$I$263,5,0)),0%,VLOOKUP(A70,'Données projet'!$A$243:$I$263,5,0)*VLOOKUP('Données projet'!$B$17,Paramètres!$A$1:$I$89,7,0))</f>
        <v>0.43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73.710057139979369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73.710057139979369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66.517090078735706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-5.6843418860808015E-14</v>
      </c>
      <c r="GV70" s="17">
        <f>GU70*VLOOKUP('Données projet'!$B$18,Paramètres!$A$1:$I$89,3,0)*VLOOKUP('Données projet'!$B$18,Paramètres!$A$1:$I$89,5,0)</f>
        <v>-2.5006556825246661E-14</v>
      </c>
      <c r="GW70" s="13" t="e">
        <f t="shared" si="105"/>
        <v>#NUM!</v>
      </c>
      <c r="GX70" s="20" t="e">
        <f t="shared" si="82"/>
        <v>#NUM!</v>
      </c>
      <c r="GY70" s="59" t="e">
        <f t="shared" si="83"/>
        <v>#NUM!</v>
      </c>
      <c r="GZ70" s="59">
        <f ca="1">AVERAGE(OFFSET($GY$3,0,0,'Données projet'!$E$18+1,1))-AVERAGE(OFFSET($H$3,0,0,'Données projet'!$E$18+1,1))</f>
        <v>180.68917161146683</v>
      </c>
      <c r="HA70" s="59">
        <f t="shared" si="106"/>
        <v>344.42126252322419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30.730621726194141</v>
      </c>
      <c r="HH70" s="21">
        <f>EXP(-LN(2)/25)*HH69+(1-EXP(-LN(2)/25))/(LN(2)/25)*Calculateur!HC70*Calculateur!HE70*VLOOKUP('Données projet'!$B$18,Paramètres!$A$1:$I$89,3,0)*0.475*44/12</f>
        <v>5.9381589369052721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36.668780663099412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2.25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8.25</v>
      </c>
      <c r="H71" s="66">
        <f t="shared" si="56"/>
        <v>223.66666666666666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7.8049999999999962</v>
      </c>
      <c r="N71" s="13">
        <f>IF('Données projet'!$A$36&gt;35,N70+M71-V70,IF(A71&lt;'Données projet'!$A$36,$K$205^A71,IF(A71='Données projet'!$A$36,'Données projet'!$B$36,N70+M71-V70)))</f>
        <v>200.25500000000002</v>
      </c>
      <c r="O71" s="13">
        <f>N71*VLOOKUP('Données projet'!$B$9,Paramètres!$A$1:$I$89,3,0)*VLOOKUP('Données projet'!$B$9,Paramètres!$A$1:$I$89,5,0)</f>
        <v>181.19072400000002</v>
      </c>
      <c r="P71" s="13">
        <f t="shared" si="87"/>
        <v>45.586998576826183</v>
      </c>
      <c r="Q71" s="20">
        <f t="shared" si="54"/>
        <v>394.97120015463889</v>
      </c>
      <c r="R71" s="59">
        <f t="shared" si="55"/>
        <v>675.75540634522065</v>
      </c>
      <c r="S71" s="59">
        <f ca="1">AVERAGE(OFFSET($R$3,0,0,'Données projet'!$E$9+1,1))-AVERAGE(OFFSET($H$3,0,0,'Données projet'!$E$9+1,1))</f>
        <v>490.57849401500789</v>
      </c>
      <c r="T71" s="59">
        <f t="shared" si="88"/>
        <v>221.7570623669753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68.710648802184821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68.710648802184821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6.5566666666666658</v>
      </c>
      <c r="AI71" s="13">
        <f>IF('Données projet'!$A$62&gt;35,AI70+AH71-AQ70,IF(A71&lt;'Données projet'!$A$62,$AF$205^A71,IF(A71='Données projet'!$A$62,'Données projet'!$B$62,AI70+AH71-AQ70)))</f>
        <v>184.23333333333341</v>
      </c>
      <c r="AJ71" s="13">
        <f>AI71*VLOOKUP('Données projet'!$B$10,Paramètres!$A$1:$I$89,3,0)*VLOOKUP('Données projet'!$B$10,Paramètres!$A$1:$I$89,5,0)</f>
        <v>123.58372000000004</v>
      </c>
      <c r="AK71" s="13">
        <f t="shared" si="89"/>
        <v>32.509406244139292</v>
      </c>
      <c r="AL71" s="20">
        <f t="shared" si="58"/>
        <v>271.8621948752093</v>
      </c>
      <c r="AM71" s="59">
        <f t="shared" si="59"/>
        <v>552.646401065791</v>
      </c>
      <c r="AN71" s="59">
        <f ca="1">AVERAGE(OFFSET($AM$3,0,0,'Données projet'!$E$10+1,1))-AVERAGE(OFFSET($H$3,0,0,'Données projet'!$E$10+1,1))</f>
        <v>377.00534440335832</v>
      </c>
      <c r="AO71" s="59">
        <f t="shared" si="90"/>
        <v>131.56029120000656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23.426823657916252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23.426823657916252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4.2</v>
      </c>
      <c r="BD71" s="12">
        <f>IF('Données projet'!$A$88&gt;35,BD70+BC71-BL70,IF(A71&lt;'Données projet'!$A$88,$BA$205^A71,IF(A71='Données projet'!$A$88,'Données projet'!$B$88,BD70+BC71-BL70)))</f>
        <v>192.59999999999997</v>
      </c>
      <c r="BE71" s="13">
        <f>BD71*VLOOKUP('Données projet'!$B$11,Paramètres!$A$1:$I$89,3,0)*VLOOKUP('Données projet'!$B$11,Paramètres!$A$1:$I$89,5,0)</f>
        <v>168.25536</v>
      </c>
      <c r="BF71" s="13">
        <f t="shared" si="91"/>
        <v>42.699047982710887</v>
      </c>
      <c r="BG71" s="20">
        <f t="shared" si="61"/>
        <v>367.41226056988808</v>
      </c>
      <c r="BH71" s="59">
        <f t="shared" si="62"/>
        <v>648.19646676046978</v>
      </c>
      <c r="BI71" s="59">
        <f ca="1">AVERAGE(OFFSET($BH$3,0,0,'Données projet'!$E$11+1,1))-AVERAGE(OFFSET($H$3,0,0,'Données projet'!$E$11+1,1))</f>
        <v>314.1123649635374</v>
      </c>
      <c r="BJ71" s="59">
        <f t="shared" si="92"/>
        <v>274.92342227914889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36.325037604788541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36.325037604788541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722.54436256796635</v>
      </c>
      <c r="CD71" s="59">
        <f ca="1">AVERAGE(OFFSET($CC$3,0,0,'Données projet'!$E$12+1,1))-AVERAGE(OFFSET($H$3,0,0,'Données projet'!$E$12+1,1))</f>
        <v>309.86296291630748</v>
      </c>
      <c r="CE71" s="59">
        <f t="shared" si="94"/>
        <v>301.17633325088661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40.627580315529627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40.627580315529627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10</v>
      </c>
      <c r="CT71" s="12">
        <f>IF('Données projet'!$A$140&gt;35,CT70+CS71-DB70,IF(A71&lt;'Données projet'!$A$140,$CQ$205^A71,IF(A71='Données projet'!$A$140,'Données projet'!$B$140,CT70+CS71-DB70)))</f>
        <v>295.99999999999994</v>
      </c>
      <c r="CU71" s="17">
        <f>CT71*VLOOKUP('Données projet'!$B$13,Paramètres!$A$1:$I$89,3,0)*VLOOKUP('Données projet'!$B$13,Paramètres!$A$1:$I$89,5,0)</f>
        <v>253.96799999999999</v>
      </c>
      <c r="CV71" s="13">
        <f t="shared" si="95"/>
        <v>61.434848029666512</v>
      </c>
      <c r="CW71" s="20">
        <f t="shared" si="67"/>
        <v>549.32662698500246</v>
      </c>
      <c r="CX71" s="59">
        <f t="shared" si="68"/>
        <v>830.11083317558428</v>
      </c>
      <c r="CY71" s="59">
        <f ca="1">AVERAGE(OFFSET($CX$3,0,0,'Données projet'!$E$13+1,1))-AVERAGE(OFFSET($H$3,0,0,'Données projet'!$E$13+1,1))</f>
        <v>462.66388549889928</v>
      </c>
      <c r="CZ71" s="59">
        <f t="shared" si="96"/>
        <v>265.3725203415089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70.344968277027093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70.344968277027093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5.5555555588888881</v>
      </c>
      <c r="DO71" s="12">
        <f>IF('Données projet'!$A$166&gt;35,DO70+DN71-DW70,IF(A71&lt;'Données projet'!$A$166,$DL$205^A71,IF(A71='Données projet'!$A$166,'Données projet'!$B$166,DO70+DN71-DW70)))</f>
        <v>204.70085474111124</v>
      </c>
      <c r="DP71" s="17">
        <f>DO71*VLOOKUP('Données projet'!$B$14,Paramètres!$A$1:$I$89,3,0)*VLOOKUP('Données projet'!$B$14,Paramètres!$A$1:$I$89,5,0)</f>
        <v>159.66666669806676</v>
      </c>
      <c r="DQ71" s="13">
        <f t="shared" si="97"/>
        <v>40.767322026834833</v>
      </c>
      <c r="DR71" s="20">
        <f t="shared" si="70"/>
        <v>349.08919702920366</v>
      </c>
      <c r="DS71" s="59">
        <f t="shared" si="71"/>
        <v>629.87340321978536</v>
      </c>
      <c r="DT71" s="59">
        <f ca="1">AVERAGE(OFFSET($DS$3,0,0,'Données projet'!$E$14+1,1))-AVERAGE(OFFSET($H$3,0,0,'Données projet'!$E$14+1,1))</f>
        <v>206.5241977687125</v>
      </c>
      <c r="DU71" s="59">
        <f t="shared" si="98"/>
        <v>205.25001043771269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32.940950290381558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32.940950290381558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2.2000000000000002</v>
      </c>
      <c r="EJ71" s="12">
        <f>IF('Données projet'!$A$192&gt;35,EJ70+EI71-ER70,IF(A71&lt;'Données projet'!$A$192,$EG$205^A71,IF(A71='Données projet'!$A$192,'Données projet'!$B$192,EJ70+EI71-ER70)))</f>
        <v>146.59999999999991</v>
      </c>
      <c r="EK71" s="17">
        <f>EJ71*VLOOKUP('Données projet'!$B$15,Paramètres!$A$1:$I$89,3,0)*VLOOKUP('Données projet'!$B$15,Paramètres!$A$1:$I$89,5,0)</f>
        <v>128.06975999999995</v>
      </c>
      <c r="EL71" s="13">
        <f t="shared" si="99"/>
        <v>33.549949963691333</v>
      </c>
      <c r="EM71" s="20">
        <f t="shared" si="73"/>
        <v>281.48766152009563</v>
      </c>
      <c r="EN71" s="59">
        <f t="shared" si="74"/>
        <v>562.27186771067738</v>
      </c>
      <c r="EO71" s="59">
        <f ca="1">AVERAGE(OFFSET($EN$3,0,0,'Données projet'!$E$15+1,1))-AVERAGE(OFFSET($H$3,0,0,'Données projet'!$E$15+1,1))</f>
        <v>205.83135724908942</v>
      </c>
      <c r="EP71" s="59">
        <f t="shared" si="100"/>
        <v>193.60053377311405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25.842126836688411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25.842126836688411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4.4000000000000004</v>
      </c>
      <c r="FE71" s="12">
        <f>IF('Données projet'!$A$218&gt;35,FE70+FD71-FM70,IF(A71&lt;'Données projet'!$A$218,$FB$205^A71,IF(A71='Données projet'!$A$218,'Données projet'!$B$218,FE70+FD71-FM70)))</f>
        <v>196.2000000000001</v>
      </c>
      <c r="FF71" s="17">
        <f>FE71*VLOOKUP('Données projet'!$B$16,Paramètres!$A$1:$I$89,3,0)*VLOOKUP('Données projet'!$B$16,Paramètres!$A$1:$I$89,5,0)</f>
        <v>128.55024000000006</v>
      </c>
      <c r="FG71" s="13">
        <f t="shared" si="101"/>
        <v>33.661144026076698</v>
      </c>
      <c r="FH71" s="20">
        <f t="shared" si="76"/>
        <v>282.51816051208368</v>
      </c>
      <c r="FI71" s="59">
        <f t="shared" si="77"/>
        <v>563.30236670266549</v>
      </c>
      <c r="FJ71" s="59">
        <f ca="1">AVERAGE(OFFSET($FI$3,0,0,'Données projet'!$E$16+1,1))-AVERAGE(OFFSET($H$3,0,0,'Données projet'!$E$16+1,1))</f>
        <v>242.76791261317206</v>
      </c>
      <c r="FK71" s="59">
        <f t="shared" si="102"/>
        <v>244.28580264867682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31.410416751276728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31.410416751276728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7.8049999999999962</v>
      </c>
      <c r="FZ71" s="12">
        <f>IF('Données projet'!$A$244&gt;35,FZ70+FY71-GH70,IF(A71&lt;'Données projet'!$A$244,$FW$205^A71,IF(A71='Données projet'!$A$244,'Données projet'!$B$244,FZ70+FY71-GH70)))</f>
        <v>200.25500000000002</v>
      </c>
      <c r="GA71" s="17">
        <f>FZ71*VLOOKUP('Données projet'!$B$17,Paramètres!$A$1:$I$89,3,0)*VLOOKUP('Données projet'!$B$17,Paramètres!$A$1:$I$89,5,0)</f>
        <v>190.56265800000003</v>
      </c>
      <c r="GB71" s="13">
        <f t="shared" si="103"/>
        <v>47.664327130153318</v>
      </c>
      <c r="GC71" s="20">
        <f t="shared" si="79"/>
        <v>414.9119991016837</v>
      </c>
      <c r="GD71" s="59">
        <f t="shared" si="80"/>
        <v>695.6962052922654</v>
      </c>
      <c r="GE71" s="59">
        <f ca="1">AVERAGE(OFFSET($GD$3,0,0,'Données projet'!$E$17+1,1))-AVERAGE(OFFSET($H$3,0,0,'Données projet'!$E$17+1,1))</f>
        <v>512.71941256120977</v>
      </c>
      <c r="GF71" s="59">
        <f t="shared" si="104"/>
        <v>230.65031527019354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72.26464787815992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72.26464787815992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66.577510779249579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-5.6843418860808015E-14</v>
      </c>
      <c r="GV71" s="17">
        <f>GU71*VLOOKUP('Données projet'!$B$18,Paramètres!$A$1:$I$89,3,0)*VLOOKUP('Données projet'!$B$18,Paramètres!$A$1:$I$89,5,0)</f>
        <v>-2.5006556825246661E-14</v>
      </c>
      <c r="GW71" s="13" t="e">
        <f t="shared" si="105"/>
        <v>#NUM!</v>
      </c>
      <c r="GX71" s="20" t="e">
        <f t="shared" si="82"/>
        <v>#NUM!</v>
      </c>
      <c r="GY71" s="59" t="e">
        <f t="shared" si="83"/>
        <v>#NUM!</v>
      </c>
      <c r="GZ71" s="59">
        <f ca="1">AVERAGE(OFFSET($GY$3,0,0,'Données projet'!$E$18+1,1))-AVERAGE(OFFSET($H$3,0,0,'Données projet'!$E$18+1,1))</f>
        <v>180.68917161146683</v>
      </c>
      <c r="HA71" s="59">
        <f t="shared" si="106"/>
        <v>344.42126252322419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30.128012977971927</v>
      </c>
      <c r="HH71" s="21">
        <f>EXP(-LN(2)/25)*HH70+(1-EXP(-LN(2)/25))/(LN(2)/25)*Calculateur!HC71*Calculateur!HE71*VLOOKUP('Données projet'!$B$18,Paramètres!$A$1:$I$89,3,0)*0.475*44/12</f>
        <v>5.7757796685013911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35.90379264647332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2.25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8.25</v>
      </c>
      <c r="H72" s="66">
        <f t="shared" si="56"/>
        <v>223.66666666666666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7.8049999999999962</v>
      </c>
      <c r="N72" s="13">
        <f>IF('Données projet'!$A$36&gt;35,N71+M72-V71,IF(A72&lt;'Données projet'!$A$36,$K$205^A72,IF(A72='Données projet'!$A$36,'Données projet'!$B$36,N71+M72-V71)))</f>
        <v>208.06000000000003</v>
      </c>
      <c r="O72" s="13">
        <f>N72*VLOOKUP('Données projet'!$B$9,Paramètres!$A$1:$I$89,3,0)*VLOOKUP('Données projet'!$B$9,Paramètres!$A$1:$I$89,5,0)</f>
        <v>188.25268800000001</v>
      </c>
      <c r="P72" s="13">
        <f t="shared" si="87"/>
        <v>47.153439503471503</v>
      </c>
      <c r="Q72" s="20">
        <f t="shared" si="54"/>
        <v>409.99900540187951</v>
      </c>
      <c r="R72" s="59">
        <f t="shared" si="55"/>
        <v>691.00091089274281</v>
      </c>
      <c r="S72" s="59">
        <f ca="1">AVERAGE(OFFSET($R$3,0,0,'Données projet'!$E$9+1,1))-AVERAGE(OFFSET($H$3,0,0,'Données projet'!$E$9+1,1))</f>
        <v>490.57849401500789</v>
      </c>
      <c r="T72" s="59">
        <f t="shared" si="88"/>
        <v>221.7570623669753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67.363274888531535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67.363274888531535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>
        <f>VLOOKUP(A72,'Données projet'!$A$61:$I$81,2,0)</f>
        <v>190.79</v>
      </c>
      <c r="AG72" s="12">
        <f>VLOOKUP(A72,'Données projet'!$A$61:$I$81,9,0)</f>
        <v>6.5566666666666658</v>
      </c>
      <c r="AH72" s="12">
        <f t="array" ref="AH72">INDEX(AG:AG,MIN(IF(ISNUMBER(AG72:AG268),ROW(AG72:AG268),"")))</f>
        <v>6.5566666666666658</v>
      </c>
      <c r="AI72" s="13">
        <f>IF('Données projet'!$A$62&gt;35,AI71+AH72-AQ71,IF(A72&lt;'Données projet'!$A$62,$AF$205^A72,IF(A72='Données projet'!$A$62,'Données projet'!$B$62,AI71+AH72-AQ71)))</f>
        <v>190.79000000000008</v>
      </c>
      <c r="AJ72" s="13">
        <f>AI72*VLOOKUP('Données projet'!$B$10,Paramètres!$A$1:$I$89,3,0)*VLOOKUP('Données projet'!$B$10,Paramètres!$A$1:$I$89,5,0)</f>
        <v>127.98193200000007</v>
      </c>
      <c r="AK72" s="13">
        <f t="shared" si="89"/>
        <v>33.529619311091459</v>
      </c>
      <c r="AL72" s="20">
        <f t="shared" si="58"/>
        <v>281.29928520015102</v>
      </c>
      <c r="AM72" s="59">
        <f t="shared" si="59"/>
        <v>562.30119069101431</v>
      </c>
      <c r="AN72" s="59">
        <f ca="1">AVERAGE(OFFSET($AM$3,0,0,'Données projet'!$E$10+1,1))-AVERAGE(OFFSET($H$3,0,0,'Données projet'!$E$10+1,1))</f>
        <v>377.00534440335832</v>
      </c>
      <c r="AO72" s="59">
        <f t="shared" si="90"/>
        <v>131.56029120000656</v>
      </c>
      <c r="AP72" s="15">
        <f>IF(ISNA(VLOOKUP(A72,'Données projet'!$A$61:$I$81,3,0)),0,VLOOKUP(A72,'Données projet'!$A$61:$I$81,3,0))</f>
        <v>2</v>
      </c>
      <c r="AQ72" s="15">
        <f>IF(ISNA(VLOOKUP(A72,'Données projet'!$A$61:$I$81,4,0)),0,VLOOKUP(A72,'Données projet'!$A$61:$I$81,4,0))</f>
        <v>39.35</v>
      </c>
      <c r="AR72" s="16">
        <f>IF(ISNA(VLOOKUP(A72,'Données projet'!$A$61:$I$81,5,0)),0%,VLOOKUP(A72,'Données projet'!$A$61:$I$81,5,0)*VLOOKUP('Données projet'!$B$10,Paramètres!$A$1:$I$89,7,0))</f>
        <v>0.53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38.432824170170434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38.432824170170434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4.2</v>
      </c>
      <c r="BD72" s="12">
        <f>IF('Données projet'!$A$88&gt;35,BD71+BC72-BL71,IF(A72&lt;'Données projet'!$A$88,$BA$205^A72,IF(A72='Données projet'!$A$88,'Données projet'!$B$88,BD71+BC72-BL71)))</f>
        <v>196.79999999999995</v>
      </c>
      <c r="BE72" s="13">
        <f>BD72*VLOOKUP('Données projet'!$B$11,Paramètres!$A$1:$I$89,3,0)*VLOOKUP('Données projet'!$B$11,Paramètres!$A$1:$I$89,5,0)</f>
        <v>171.92447999999999</v>
      </c>
      <c r="BF72" s="13">
        <f t="shared" si="91"/>
        <v>43.520760297647755</v>
      </c>
      <c r="BG72" s="20">
        <f t="shared" si="61"/>
        <v>375.23379351840316</v>
      </c>
      <c r="BH72" s="59">
        <f t="shared" si="62"/>
        <v>656.23569900926645</v>
      </c>
      <c r="BI72" s="59">
        <f ca="1">AVERAGE(OFFSET($BH$3,0,0,'Données projet'!$E$11+1,1))-AVERAGE(OFFSET($H$3,0,0,'Données projet'!$E$11+1,1))</f>
        <v>314.1123649635374</v>
      </c>
      <c r="BJ72" s="59">
        <f t="shared" si="92"/>
        <v>274.92342227914889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35.612725773443842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35.612725773443842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729.18168711994497</v>
      </c>
      <c r="CD72" s="59">
        <f ca="1">AVERAGE(OFFSET($CC$3,0,0,'Données projet'!$E$12+1,1))-AVERAGE(OFFSET($H$3,0,0,'Données projet'!$E$12+1,1))</f>
        <v>309.86296291630748</v>
      </c>
      <c r="CE72" s="59">
        <f t="shared" si="94"/>
        <v>301.17633325088661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39.830898245919222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39.830898245919222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10</v>
      </c>
      <c r="CT72" s="12">
        <f>IF('Données projet'!$A$140&gt;35,CT71+CS72-DB71,IF(A72&lt;'Données projet'!$A$140,$CQ$205^A72,IF(A72='Données projet'!$A$140,'Données projet'!$B$140,CT71+CS72-DB71)))</f>
        <v>305.99999999999994</v>
      </c>
      <c r="CU72" s="17">
        <f>CT72*VLOOKUP('Données projet'!$B$13,Paramètres!$A$1:$I$89,3,0)*VLOOKUP('Données projet'!$B$13,Paramètres!$A$1:$I$89,5,0)</f>
        <v>262.548</v>
      </c>
      <c r="CV72" s="13">
        <f t="shared" si="95"/>
        <v>63.265199933079444</v>
      </c>
      <c r="CW72" s="20">
        <f t="shared" si="67"/>
        <v>567.45798988344666</v>
      </c>
      <c r="CX72" s="59">
        <f t="shared" si="68"/>
        <v>848.45989537431001</v>
      </c>
      <c r="CY72" s="59">
        <f ca="1">AVERAGE(OFFSET($CX$3,0,0,'Données projet'!$E$13+1,1))-AVERAGE(OFFSET($H$3,0,0,'Données projet'!$E$13+1,1))</f>
        <v>462.66388549889928</v>
      </c>
      <c r="CZ72" s="59">
        <f t="shared" si="96"/>
        <v>265.3725203415089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68.965546355308604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68.965546355308604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210.2564103</v>
      </c>
      <c r="DM72" s="12">
        <f>VLOOKUP(A72,'Données projet'!$A$165:$I$185,9,0)</f>
        <v>5.5555555588888881</v>
      </c>
      <c r="DN72" s="12">
        <f t="array" ref="DN72">INDEX(DM:DM,MIN(IF(ISNUMBER(DM72:DM268),ROW(DM72:DM268),"")))</f>
        <v>5.5555555588888881</v>
      </c>
      <c r="DO72" s="12">
        <f>IF('Données projet'!$A$166&gt;35,DO71+DN72-DW71,IF(A72&lt;'Données projet'!$A$166,$DL$205^A72,IF(A72='Données projet'!$A$166,'Données projet'!$B$166,DO71+DN72-DW71)))</f>
        <v>210.25641030000014</v>
      </c>
      <c r="DP72" s="17">
        <f>DO72*VLOOKUP('Données projet'!$B$14,Paramètres!$A$1:$I$89,3,0)*VLOOKUP('Données projet'!$B$14,Paramètres!$A$1:$I$89,5,0)</f>
        <v>164.00000003400012</v>
      </c>
      <c r="DQ72" s="13">
        <f t="shared" si="97"/>
        <v>41.743425916009095</v>
      </c>
      <c r="DR72" s="20">
        <f t="shared" si="70"/>
        <v>358.3364668629327</v>
      </c>
      <c r="DS72" s="59">
        <f t="shared" si="71"/>
        <v>639.33837235379599</v>
      </c>
      <c r="DT72" s="59">
        <f ca="1">AVERAGE(OFFSET($DS$3,0,0,'Données projet'!$E$14+1,1))-AVERAGE(OFFSET($H$3,0,0,'Données projet'!$E$14+1,1))</f>
        <v>206.5241977687125</v>
      </c>
      <c r="DU72" s="59">
        <f t="shared" si="98"/>
        <v>205.25001043771269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32.294998347182933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32.294998347182933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2.2000000000000002</v>
      </c>
      <c r="EJ72" s="12">
        <f>IF('Données projet'!$A$192&gt;35,EJ71+EI72-ER71,IF(A72&lt;'Données projet'!$A$192,$EG$205^A72,IF(A72='Données projet'!$A$192,'Données projet'!$B$192,EJ71+EI72-ER71)))</f>
        <v>148.7999999999999</v>
      </c>
      <c r="EK72" s="17">
        <f>EJ72*VLOOKUP('Données projet'!$B$15,Paramètres!$A$1:$I$89,3,0)*VLOOKUP('Données projet'!$B$15,Paramètres!$A$1:$I$89,5,0)</f>
        <v>129.99167999999992</v>
      </c>
      <c r="EL72" s="13">
        <f t="shared" si="99"/>
        <v>33.994436817469825</v>
      </c>
      <c r="EM72" s="20">
        <f t="shared" si="73"/>
        <v>285.6091534570931</v>
      </c>
      <c r="EN72" s="59">
        <f t="shared" si="74"/>
        <v>566.61105894795639</v>
      </c>
      <c r="EO72" s="59">
        <f ca="1">AVERAGE(OFFSET($EN$3,0,0,'Données projet'!$E$15+1,1))-AVERAGE(OFFSET($H$3,0,0,'Données projet'!$E$15+1,1))</f>
        <v>205.83135724908942</v>
      </c>
      <c r="EP72" s="59">
        <f t="shared" si="100"/>
        <v>193.60053377311405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25.33537849156194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25.33537849156194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4.4000000000000004</v>
      </c>
      <c r="FE72" s="12">
        <f>IF('Données projet'!$A$218&gt;35,FE71+FD72-FM71,IF(A72&lt;'Données projet'!$A$218,$FB$205^A72,IF(A72='Données projet'!$A$218,'Données projet'!$B$218,FE71+FD72-FM71)))</f>
        <v>200.60000000000011</v>
      </c>
      <c r="FF72" s="17">
        <f>FE72*VLOOKUP('Données projet'!$B$16,Paramètres!$A$1:$I$89,3,0)*VLOOKUP('Données projet'!$B$16,Paramètres!$A$1:$I$89,5,0)</f>
        <v>131.43312000000006</v>
      </c>
      <c r="FG72" s="13">
        <f t="shared" si="101"/>
        <v>34.327299687447557</v>
      </c>
      <c r="FH72" s="20">
        <f t="shared" si="76"/>
        <v>288.69939762230456</v>
      </c>
      <c r="FI72" s="59">
        <f t="shared" si="77"/>
        <v>569.7013031131678</v>
      </c>
      <c r="FJ72" s="59">
        <f ca="1">AVERAGE(OFFSET($FI$3,0,0,'Données projet'!$E$16+1,1))-AVERAGE(OFFSET($H$3,0,0,'Données projet'!$E$16+1,1))</f>
        <v>242.76791261317206</v>
      </c>
      <c r="FK72" s="59">
        <f t="shared" si="102"/>
        <v>244.28580264867682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30.794477637246668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30.794477637246668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7.8049999999999962</v>
      </c>
      <c r="FZ72" s="12">
        <f>IF('Données projet'!$A$244&gt;35,FZ71+FY72-GH71,IF(A72&lt;'Données projet'!$A$244,$FW$205^A72,IF(A72='Données projet'!$A$244,'Données projet'!$B$244,FZ71+FY72-GH71)))</f>
        <v>208.06000000000003</v>
      </c>
      <c r="GA72" s="17">
        <f>FZ72*VLOOKUP('Données projet'!$B$17,Paramètres!$A$1:$I$89,3,0)*VLOOKUP('Données projet'!$B$17,Paramètres!$A$1:$I$89,5,0)</f>
        <v>197.98989600000004</v>
      </c>
      <c r="GB72" s="13">
        <f t="shared" si="103"/>
        <v>49.302148331122616</v>
      </c>
      <c r="GC72" s="20">
        <f t="shared" si="79"/>
        <v>430.70031054337193</v>
      </c>
      <c r="GD72" s="59">
        <f t="shared" si="80"/>
        <v>711.70221603423522</v>
      </c>
      <c r="GE72" s="59">
        <f ca="1">AVERAGE(OFFSET($GD$3,0,0,'Données projet'!$E$17+1,1))-AVERAGE(OFFSET($H$3,0,0,'Données projet'!$E$17+1,1))</f>
        <v>512.71941256120977</v>
      </c>
      <c r="GF72" s="59">
        <f t="shared" si="104"/>
        <v>230.65031527019354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70.847582210352158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70.847582210352158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66.636883315689985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-5.6843418860808015E-14</v>
      </c>
      <c r="GV72" s="17">
        <f>GU72*VLOOKUP('Données projet'!$B$18,Paramètres!$A$1:$I$89,3,0)*VLOOKUP('Données projet'!$B$18,Paramètres!$A$1:$I$89,5,0)</f>
        <v>-2.5006556825246661E-14</v>
      </c>
      <c r="GW72" s="13" t="e">
        <f t="shared" si="105"/>
        <v>#NUM!</v>
      </c>
      <c r="GX72" s="20" t="e">
        <f t="shared" si="82"/>
        <v>#NUM!</v>
      </c>
      <c r="GY72" s="59" t="e">
        <f t="shared" si="83"/>
        <v>#NUM!</v>
      </c>
      <c r="GZ72" s="59">
        <f ca="1">AVERAGE(OFFSET($GY$3,0,0,'Données projet'!$E$18+1,1))-AVERAGE(OFFSET($H$3,0,0,'Données projet'!$E$18+1,1))</f>
        <v>180.68917161146683</v>
      </c>
      <c r="HA72" s="59">
        <f t="shared" si="106"/>
        <v>344.42126252322419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29.537221019747307</v>
      </c>
      <c r="HH72" s="21">
        <f>EXP(-LN(2)/25)*HH71+(1-EXP(-LN(2)/25))/(LN(2)/25)*Calculateur!HC72*Calculateur!HE72*VLOOKUP('Données projet'!$B$18,Paramètres!$A$1:$I$89,3,0)*0.475*44/12</f>
        <v>5.6178406697311685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35.155061689478472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2.25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8.25</v>
      </c>
      <c r="H73" s="66">
        <f t="shared" si="56"/>
        <v>223.66666666666666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7.8049999999999962</v>
      </c>
      <c r="N73" s="13">
        <f>IF('Données projet'!$A$36&gt;35,N72+M73-V72,IF(A73&lt;'Données projet'!$A$36,$K$205^A73,IF(A73='Données projet'!$A$36,'Données projet'!$B$36,N72+M73-V72)))</f>
        <v>215.86500000000004</v>
      </c>
      <c r="O73" s="13">
        <f>N73*VLOOKUP('Données projet'!$B$9,Paramètres!$A$1:$I$89,3,0)*VLOOKUP('Données projet'!$B$9,Paramètres!$A$1:$I$89,5,0)</f>
        <v>195.31465200000002</v>
      </c>
      <c r="P73" s="13">
        <f t="shared" si="87"/>
        <v>48.713053725986441</v>
      </c>
      <c r="Q73" s="20">
        <f t="shared" si="54"/>
        <v>425.01492080609302</v>
      </c>
      <c r="R73" s="59">
        <f t="shared" si="55"/>
        <v>706.23074900108065</v>
      </c>
      <c r="S73" s="59">
        <f ca="1">AVERAGE(OFFSET($R$3,0,0,'Données projet'!$E$9+1,1))-AVERAGE(OFFSET($H$3,0,0,'Données projet'!$E$9+1,1))</f>
        <v>490.57849401500789</v>
      </c>
      <c r="T73" s="59">
        <f t="shared" si="88"/>
        <v>221.7570623669753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66.04232215550806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66.04232215550806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6.3850000000000016</v>
      </c>
      <c r="AI73" s="13">
        <f>IF('Données projet'!$A$62&gt;35,AI72+AH73-AQ72,IF(A73&lt;'Données projet'!$A$62,$AF$205^A73,IF(A73='Données projet'!$A$62,'Données projet'!$B$62,AI72+AH73-AQ72)))</f>
        <v>157.82500000000007</v>
      </c>
      <c r="AJ73" s="13">
        <f>AI73*VLOOKUP('Données projet'!$B$10,Paramètres!$A$1:$I$89,3,0)*VLOOKUP('Données projet'!$B$10,Paramètres!$A$1:$I$89,5,0)</f>
        <v>105.86901000000005</v>
      </c>
      <c r="AK73" s="13">
        <f t="shared" si="89"/>
        <v>28.355533475958254</v>
      </c>
      <c r="AL73" s="20">
        <f t="shared" si="58"/>
        <v>233.77441322062734</v>
      </c>
      <c r="AM73" s="59">
        <f t="shared" si="59"/>
        <v>514.99024141561495</v>
      </c>
      <c r="AN73" s="59">
        <f ca="1">AVERAGE(OFFSET($AM$3,0,0,'Données projet'!$E$10+1,1))-AVERAGE(OFFSET($H$3,0,0,'Données projet'!$E$10+1,1))</f>
        <v>377.00534440335832</v>
      </c>
      <c r="AO73" s="59">
        <f t="shared" si="90"/>
        <v>131.56029120000656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37.679179929901458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37.679179929901458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201</v>
      </c>
      <c r="BB73" s="12">
        <f>VLOOKUP(A73,'Données projet'!$A$87:$I$107,9,0)</f>
        <v>4.2</v>
      </c>
      <c r="BC73" s="12">
        <f t="array" ref="BC73">INDEX(BB:BB,MIN(IF(ISNUMBER(BB73:BB269),ROW(BB73:BB269),"")))</f>
        <v>4.2</v>
      </c>
      <c r="BD73" s="12">
        <f>IF('Données projet'!$A$88&gt;35,BD72+BC73-BL72,IF(A73&lt;'Données projet'!$A$88,$BA$205^A73,IF(A73='Données projet'!$A$88,'Données projet'!$B$88,BD72+BC73-BL72)))</f>
        <v>200.99999999999994</v>
      </c>
      <c r="BE73" s="13">
        <f>BD73*VLOOKUP('Données projet'!$B$11,Paramètres!$A$1:$I$89,3,0)*VLOOKUP('Données projet'!$B$11,Paramètres!$A$1:$I$89,5,0)</f>
        <v>175.59359999999995</v>
      </c>
      <c r="BF73" s="13">
        <f t="shared" si="91"/>
        <v>44.340433728638573</v>
      </c>
      <c r="BG73" s="20">
        <f t="shared" si="61"/>
        <v>383.05177541071203</v>
      </c>
      <c r="BH73" s="59">
        <f t="shared" si="62"/>
        <v>664.26760360569961</v>
      </c>
      <c r="BI73" s="59">
        <f ca="1">AVERAGE(OFFSET($BH$3,0,0,'Données projet'!$E$11+1,1))-AVERAGE(OFFSET($H$3,0,0,'Données projet'!$E$11+1,1))</f>
        <v>314.1123649635374</v>
      </c>
      <c r="BJ73" s="59">
        <f t="shared" si="92"/>
        <v>274.92342227914889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40.728130262475609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40.728130262475609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735.81326726579164</v>
      </c>
      <c r="CD73" s="59">
        <f ca="1">AVERAGE(OFFSET($CC$3,0,0,'Données projet'!$E$12+1,1))-AVERAGE(OFFSET($H$3,0,0,'Données projet'!$E$12+1,1))</f>
        <v>309.86296291630748</v>
      </c>
      <c r="CE73" s="59">
        <f t="shared" si="94"/>
        <v>301.17633325088661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43.711253465734799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43.711253465734799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10</v>
      </c>
      <c r="CS73" s="12">
        <f t="array" ref="CS73">INDEX(CR:CR,MIN(IF(ISNUMBER(CR73:CR269),ROW(CR73:CR269),"")))</f>
        <v>10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271.12799999999999</v>
      </c>
      <c r="CV73" s="13">
        <f t="shared" si="95"/>
        <v>65.088601240045278</v>
      </c>
      <c r="CW73" s="20">
        <f t="shared" si="67"/>
        <v>585.57724715974553</v>
      </c>
      <c r="CX73" s="59">
        <f t="shared" si="68"/>
        <v>866.79307535473322</v>
      </c>
      <c r="CY73" s="59">
        <f ca="1">AVERAGE(OFFSET($CX$3,0,0,'Données projet'!$E$13+1,1))-AVERAGE(OFFSET($H$3,0,0,'Données projet'!$E$13+1,1))</f>
        <v>462.66388549889928</v>
      </c>
      <c r="CZ73" s="59">
        <f t="shared" si="96"/>
        <v>265.3725203415089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0.53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81.688818866997508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81.688818866997508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210.25641030000014</v>
      </c>
      <c r="DP73" s="17">
        <f>DO73*VLOOKUP('Données projet'!$B$14,Paramètres!$A$1:$I$89,3,0)*VLOOKUP('Données projet'!$B$14,Paramètres!$A$1:$I$89,5,0)</f>
        <v>164.00000003400012</v>
      </c>
      <c r="DQ73" s="13">
        <f t="shared" si="97"/>
        <v>41.743425916009095</v>
      </c>
      <c r="DR73" s="20">
        <f t="shared" si="70"/>
        <v>358.3364668629327</v>
      </c>
      <c r="DS73" s="59">
        <f t="shared" si="71"/>
        <v>639.55229505792033</v>
      </c>
      <c r="DT73" s="59">
        <f ca="1">AVERAGE(OFFSET($DS$3,0,0,'Données projet'!$E$14+1,1))-AVERAGE(OFFSET($H$3,0,0,'Données projet'!$E$14+1,1))</f>
        <v>206.5241977687125</v>
      </c>
      <c r="DU73" s="59">
        <f t="shared" si="98"/>
        <v>205.25001043771269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31.661713127598652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31.661713127598652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151</v>
      </c>
      <c r="EH73" s="12">
        <f>VLOOKUP(A73,'Données projet'!$A$191:$I$211,9,0)</f>
        <v>2.2000000000000002</v>
      </c>
      <c r="EI73" s="12">
        <f t="array" ref="EI73">INDEX(EH:EH,MIN(IF(ISNUMBER(EH73:EH269),ROW(EH73:EH269),"")))</f>
        <v>2.2000000000000002</v>
      </c>
      <c r="EJ73" s="12">
        <f>IF('Données projet'!$A$192&gt;35,EJ72+EI73-ER72,IF(A73&lt;'Données projet'!$A$192,$EG$205^A73,IF(A73='Données projet'!$A$192,'Données projet'!$B$192,EJ72+EI73-ER72)))</f>
        <v>150.99999999999989</v>
      </c>
      <c r="EK73" s="17">
        <f>EJ73*VLOOKUP('Données projet'!$B$15,Paramètres!$A$1:$I$89,3,0)*VLOOKUP('Données projet'!$B$15,Paramètres!$A$1:$I$89,5,0)</f>
        <v>131.91359999999992</v>
      </c>
      <c r="EL73" s="13">
        <f t="shared" si="99"/>
        <v>34.438159352115974</v>
      </c>
      <c r="EM73" s="20">
        <f t="shared" si="73"/>
        <v>289.72931420493518</v>
      </c>
      <c r="EN73" s="59">
        <f t="shared" si="74"/>
        <v>570.94514239992282</v>
      </c>
      <c r="EO73" s="59">
        <f ca="1">AVERAGE(OFFSET($EN$3,0,0,'Données projet'!$E$15+1,1))-AVERAGE(OFFSET($H$3,0,0,'Données projet'!$E$15+1,1))</f>
        <v>205.83135724908942</v>
      </c>
      <c r="EP73" s="59">
        <f t="shared" si="100"/>
        <v>193.60053377311405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5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27.397775319831389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27.397775319831389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205</v>
      </c>
      <c r="FC73" s="12">
        <f>VLOOKUP(A73,'Données projet'!$A$217:$I$237,9,0)</f>
        <v>4.4000000000000004</v>
      </c>
      <c r="FD73" s="12">
        <f t="array" ref="FD73">INDEX(FC:FC,MIN(IF(ISNUMBER(FC73:FC269),ROW(FC73:FC269),"")))</f>
        <v>4.4000000000000004</v>
      </c>
      <c r="FE73" s="12">
        <f>IF('Données projet'!$A$218&gt;35,FE72+FD73-FM72,IF(A73&lt;'Données projet'!$A$218,$FB$205^A73,IF(A73='Données projet'!$A$218,'Données projet'!$B$218,FE72+FD73-FM72)))</f>
        <v>205.00000000000011</v>
      </c>
      <c r="FF73" s="17">
        <f>FE73*VLOOKUP('Données projet'!$B$16,Paramètres!$A$1:$I$89,3,0)*VLOOKUP('Données projet'!$B$16,Paramètres!$A$1:$I$89,5,0)</f>
        <v>134.31600000000009</v>
      </c>
      <c r="FG73" s="13">
        <f t="shared" si="101"/>
        <v>34.991756585122474</v>
      </c>
      <c r="FH73" s="20">
        <f t="shared" si="76"/>
        <v>294.87767605242175</v>
      </c>
      <c r="FI73" s="59">
        <f t="shared" si="77"/>
        <v>576.09350424740933</v>
      </c>
      <c r="FJ73" s="59">
        <f ca="1">AVERAGE(OFFSET($FI$3,0,0,'Données projet'!$E$16+1,1))-AVERAGE(OFFSET($H$3,0,0,'Données projet'!$E$16+1,1))</f>
        <v>242.76791261317206</v>
      </c>
      <c r="FK73" s="59">
        <f t="shared" si="102"/>
        <v>244.28580264867682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17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35.485280361974588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35.485280361974588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7.8049999999999962</v>
      </c>
      <c r="FZ73" s="12">
        <f>IF('Données projet'!$A$244&gt;35,FZ72+FY73-GH72,IF(A73&lt;'Données projet'!$A$244,$FW$205^A73,IF(A73='Données projet'!$A$244,'Données projet'!$B$244,FZ72+FY73-GH72)))</f>
        <v>215.86500000000004</v>
      </c>
      <c r="GA73" s="17">
        <f>FZ73*VLOOKUP('Données projet'!$B$17,Paramètres!$A$1:$I$89,3,0)*VLOOKUP('Données projet'!$B$17,Paramètres!$A$1:$I$89,5,0)</f>
        <v>205.41713400000006</v>
      </c>
      <c r="GB73" s="13">
        <f t="shared" si="103"/>
        <v>50.932831745682456</v>
      </c>
      <c r="GC73" s="20">
        <f t="shared" si="79"/>
        <v>446.47619034039707</v>
      </c>
      <c r="GD73" s="59">
        <f t="shared" si="80"/>
        <v>727.6920185353847</v>
      </c>
      <c r="GE73" s="59">
        <f ca="1">AVERAGE(OFFSET($GD$3,0,0,'Données projet'!$E$17+1,1))-AVERAGE(OFFSET($H$3,0,0,'Données projet'!$E$17+1,1))</f>
        <v>512.71941256120977</v>
      </c>
      <c r="GF73" s="59">
        <f t="shared" si="104"/>
        <v>230.65031527019354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69.458304335965394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69.458304335965394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66.695225871360265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-5.6843418860808015E-14</v>
      </c>
      <c r="GV73" s="17">
        <f>GU73*VLOOKUP('Données projet'!$B$18,Paramètres!$A$1:$I$89,3,0)*VLOOKUP('Données projet'!$B$18,Paramètres!$A$1:$I$89,5,0)</f>
        <v>-2.5006556825246661E-14</v>
      </c>
      <c r="GW73" s="13" t="e">
        <f t="shared" si="105"/>
        <v>#NUM!</v>
      </c>
      <c r="GX73" s="20" t="e">
        <f t="shared" si="82"/>
        <v>#NUM!</v>
      </c>
      <c r="GY73" s="59" t="e">
        <f t="shared" si="83"/>
        <v>#NUM!</v>
      </c>
      <c r="GZ73" s="59">
        <f ca="1">AVERAGE(OFFSET($GY$3,0,0,'Données projet'!$E$18+1,1))-AVERAGE(OFFSET($H$3,0,0,'Données projet'!$E$18+1,1))</f>
        <v>180.68917161146683</v>
      </c>
      <c r="HA73" s="59">
        <f t="shared" si="106"/>
        <v>344.42126252322419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28.958014131475959</v>
      </c>
      <c r="HH73" s="21">
        <f>EXP(-LN(2)/25)*HH72+(1-EXP(-LN(2)/25))/(LN(2)/25)*Calculateur!HC73*Calculateur!HE73*VLOOKUP('Données projet'!$B$18,Paramètres!$A$1:$I$89,3,0)*0.475*44/12</f>
        <v>5.4642205211879684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34.422234652663931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2.25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8.25</v>
      </c>
      <c r="H74" s="66">
        <f t="shared" si="56"/>
        <v>223.66666666666666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7.8049999999999962</v>
      </c>
      <c r="N74" s="13">
        <f>IF('Données projet'!$A$36&gt;35,N73+M74-V73,IF(A74&lt;'Données projet'!$A$36,$K$205^A74,IF(A74='Données projet'!$A$36,'Données projet'!$B$36,N73+M74-V73)))</f>
        <v>223.67000000000004</v>
      </c>
      <c r="O74" s="13">
        <f>N74*VLOOKUP('Données projet'!$B$9,Paramètres!$A$1:$I$89,3,0)*VLOOKUP('Données projet'!$B$9,Paramètres!$A$1:$I$89,5,0)</f>
        <v>202.37661600000004</v>
      </c>
      <c r="P74" s="13">
        <f t="shared" si="87"/>
        <v>50.266116350658976</v>
      </c>
      <c r="Q74" s="20">
        <f t="shared" si="54"/>
        <v>440.01942551073108</v>
      </c>
      <c r="R74" s="59">
        <f t="shared" si="55"/>
        <v>721.44546532918594</v>
      </c>
      <c r="S74" s="59">
        <f ca="1">AVERAGE(OFFSET($R$3,0,0,'Données projet'!$E$9+1,1))-AVERAGE(OFFSET($H$3,0,0,'Données projet'!$E$9+1,1))</f>
        <v>490.57849401500789</v>
      </c>
      <c r="T74" s="59">
        <f t="shared" si="88"/>
        <v>221.7570623669753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64.747272499877567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64.747272499877567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6.3850000000000016</v>
      </c>
      <c r="AI74" s="13">
        <f>IF('Données projet'!$A$62&gt;35,AI73+AH74-AQ73,IF(A74&lt;'Données projet'!$A$62,$AF$205^A74,IF(A74='Données projet'!$A$62,'Données projet'!$B$62,AI73+AH74-AQ73)))</f>
        <v>164.21000000000006</v>
      </c>
      <c r="AJ74" s="13">
        <f>AI74*VLOOKUP('Données projet'!$B$10,Paramètres!$A$1:$I$89,3,0)*VLOOKUP('Données projet'!$B$10,Paramètres!$A$1:$I$89,5,0)</f>
        <v>110.15206800000004</v>
      </c>
      <c r="AK74" s="13">
        <f t="shared" si="89"/>
        <v>29.366810098252891</v>
      </c>
      <c r="AL74" s="20">
        <f t="shared" si="58"/>
        <v>242.99537935445721</v>
      </c>
      <c r="AM74" s="59">
        <f t="shared" si="59"/>
        <v>524.42141917291212</v>
      </c>
      <c r="AN74" s="59">
        <f ca="1">AVERAGE(OFFSET($AM$3,0,0,'Données projet'!$E$10+1,1))-AVERAGE(OFFSET($H$3,0,0,'Données projet'!$E$10+1,1))</f>
        <v>377.00534440335832</v>
      </c>
      <c r="AO74" s="59">
        <f t="shared" si="90"/>
        <v>131.56029120000656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36.940314193506559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36.940314193506559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190.39999999999995</v>
      </c>
      <c r="BE74" s="13">
        <f>BD74*VLOOKUP('Données projet'!$B$11,Paramètres!$A$1:$I$89,3,0)*VLOOKUP('Données projet'!$B$11,Paramètres!$A$1:$I$89,5,0)</f>
        <v>166.33343999999997</v>
      </c>
      <c r="BF74" s="13">
        <f t="shared" si="91"/>
        <v>42.267796944897761</v>
      </c>
      <c r="BG74" s="20">
        <f t="shared" si="61"/>
        <v>363.31382101236346</v>
      </c>
      <c r="BH74" s="59">
        <f t="shared" si="62"/>
        <v>644.73986083081832</v>
      </c>
      <c r="BI74" s="59">
        <f ca="1">AVERAGE(OFFSET($BH$3,0,0,'Données projet'!$E$11+1,1))-AVERAGE(OFFSET($H$3,0,0,'Données projet'!$E$11+1,1))</f>
        <v>314.1123649635374</v>
      </c>
      <c r="BJ74" s="59">
        <f t="shared" si="92"/>
        <v>274.92342227914889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39.929476469735008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39.929476469735008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724.87576386523574</v>
      </c>
      <c r="CD74" s="59">
        <f ca="1">AVERAGE(OFFSET($CC$3,0,0,'Données projet'!$E$12+1,1))-AVERAGE(OFFSET($H$3,0,0,'Données projet'!$E$12+1,1))</f>
        <v>309.86296291630748</v>
      </c>
      <c r="CE74" s="59">
        <f t="shared" si="94"/>
        <v>301.17633325088661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42.854102446503774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42.854102446503774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9.4</v>
      </c>
      <c r="CT74" s="12">
        <f>IF('Données projet'!$A$140&gt;35,CT73+CS74-DB73,IF(A74&lt;'Données projet'!$A$140,$CQ$205^A74,IF(A74='Données projet'!$A$140,'Données projet'!$B$140,CT73+CS74-DB73)))</f>
        <v>297.39999999999992</v>
      </c>
      <c r="CU74" s="17">
        <f>CT74*VLOOKUP('Données projet'!$B$13,Paramètres!$A$1:$I$89,3,0)*VLOOKUP('Données projet'!$B$13,Paramètres!$A$1:$I$89,5,0)</f>
        <v>255.16919999999996</v>
      </c>
      <c r="CV74" s="13">
        <f t="shared" si="95"/>
        <v>61.691525331424884</v>
      </c>
      <c r="CW74" s="20">
        <f t="shared" si="67"/>
        <v>551.86576328556498</v>
      </c>
      <c r="CX74" s="59">
        <f t="shared" si="68"/>
        <v>833.29180310401989</v>
      </c>
      <c r="CY74" s="59">
        <f ca="1">AVERAGE(OFFSET($CX$3,0,0,'Données projet'!$E$13+1,1))-AVERAGE(OFFSET($H$3,0,0,'Données projet'!$E$13+1,1))</f>
        <v>462.66388549889928</v>
      </c>
      <c r="CZ74" s="59">
        <f t="shared" si="96"/>
        <v>265.3725203415089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80.086950954275366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80.086950954275366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210.25641030000014</v>
      </c>
      <c r="DP74" s="17">
        <f>DO74*VLOOKUP('Données projet'!$B$14,Paramètres!$A$1:$I$89,3,0)*VLOOKUP('Données projet'!$B$14,Paramètres!$A$1:$I$89,5,0)</f>
        <v>164.00000003400012</v>
      </c>
      <c r="DQ74" s="13">
        <f t="shared" si="97"/>
        <v>41.743425916009095</v>
      </c>
      <c r="DR74" s="20">
        <f t="shared" si="70"/>
        <v>358.3364668629327</v>
      </c>
      <c r="DS74" s="59">
        <f t="shared" si="71"/>
        <v>639.76250668138755</v>
      </c>
      <c r="DT74" s="59">
        <f ca="1">AVERAGE(OFFSET($DS$3,0,0,'Données projet'!$E$14+1,1))-AVERAGE(OFFSET($H$3,0,0,'Données projet'!$E$14+1,1))</f>
        <v>206.5241977687125</v>
      </c>
      <c r="DU74" s="59">
        <f t="shared" si="98"/>
        <v>205.25001043771269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31.040846244904575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31.040846244904575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1.8</v>
      </c>
      <c r="EJ74" s="12">
        <f>IF('Données projet'!$A$192&gt;35,EJ73+EI74-ER73,IF(A74&lt;'Données projet'!$A$192,$EG$205^A74,IF(A74='Données projet'!$A$192,'Données projet'!$B$192,EJ73+EI74-ER73)))</f>
        <v>147.7999999999999</v>
      </c>
      <c r="EK74" s="17">
        <f>EJ74*VLOOKUP('Données projet'!$B$15,Paramètres!$A$1:$I$89,3,0)*VLOOKUP('Données projet'!$B$15,Paramètres!$A$1:$I$89,5,0)</f>
        <v>129.11807999999991</v>
      </c>
      <c r="EL74" s="13">
        <f t="shared" si="99"/>
        <v>33.792492849789163</v>
      </c>
      <c r="EM74" s="20">
        <f t="shared" si="73"/>
        <v>283.73591438004928</v>
      </c>
      <c r="EN74" s="59">
        <f t="shared" si="74"/>
        <v>565.16195419850419</v>
      </c>
      <c r="EO74" s="59">
        <f ca="1">AVERAGE(OFFSET($EN$3,0,0,'Données projet'!$E$15+1,1))-AVERAGE(OFFSET($H$3,0,0,'Données projet'!$E$15+1,1))</f>
        <v>205.83135724908942</v>
      </c>
      <c r="EP74" s="59">
        <f t="shared" si="100"/>
        <v>193.60053377311405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26.860521656802366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26.860521656802366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</v>
      </c>
      <c r="FE74" s="12">
        <f>IF('Données projet'!$A$218&gt;35,FE73+FD74-FM73,IF(A74&lt;'Données projet'!$A$218,$FB$205^A74,IF(A74='Données projet'!$A$218,'Données projet'!$B$218,FE73+FD74-FM73)))</f>
        <v>192.00000000000011</v>
      </c>
      <c r="FF74" s="17">
        <f>FE74*VLOOKUP('Données projet'!$B$16,Paramètres!$A$1:$I$89,3,0)*VLOOKUP('Données projet'!$B$16,Paramètres!$A$1:$I$89,5,0)</f>
        <v>125.79840000000007</v>
      </c>
      <c r="FG74" s="13">
        <f t="shared" si="101"/>
        <v>33.023644363399953</v>
      </c>
      <c r="FH74" s="20">
        <f t="shared" si="76"/>
        <v>276.61506059958839</v>
      </c>
      <c r="FI74" s="59">
        <f t="shared" si="77"/>
        <v>558.04110041804324</v>
      </c>
      <c r="FJ74" s="59">
        <f ca="1">AVERAGE(OFFSET($FI$3,0,0,'Données projet'!$E$16+1,1))-AVERAGE(OFFSET($H$3,0,0,'Données projet'!$E$16+1,1))</f>
        <v>242.76791261317206</v>
      </c>
      <c r="FK74" s="59">
        <f t="shared" si="102"/>
        <v>244.28580264867682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34.789435657960134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34.789435657960134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7.8049999999999962</v>
      </c>
      <c r="FZ74" s="12">
        <f>IF('Données projet'!$A$244&gt;35,FZ73+FY74-GH73,IF(A74&lt;'Données projet'!$A$244,$FW$205^A74,IF(A74='Données projet'!$A$244,'Données projet'!$B$244,FZ73+FY74-GH73)))</f>
        <v>223.67000000000004</v>
      </c>
      <c r="GA74" s="17">
        <f>FZ74*VLOOKUP('Données projet'!$B$17,Paramètres!$A$1:$I$89,3,0)*VLOOKUP('Données projet'!$B$17,Paramètres!$A$1:$I$89,5,0)</f>
        <v>212.84437200000002</v>
      </c>
      <c r="GB74" s="13">
        <f t="shared" si="103"/>
        <v>52.556665016285947</v>
      </c>
      <c r="GC74" s="20">
        <f t="shared" si="79"/>
        <v>462.24013947003141</v>
      </c>
      <c r="GD74" s="59">
        <f t="shared" si="80"/>
        <v>743.66617928848632</v>
      </c>
      <c r="GE74" s="59">
        <f ca="1">AVERAGE(OFFSET($GD$3,0,0,'Données projet'!$E$17+1,1))-AVERAGE(OFFSET($H$3,0,0,'Données projet'!$E$17+1,1))</f>
        <v>512.71941256120977</v>
      </c>
      <c r="GF74" s="59">
        <f t="shared" si="104"/>
        <v>230.65031527019354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68.096269353319528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68.096269353319528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66.752556314124064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-5.6843418860808015E-14</v>
      </c>
      <c r="GV74" s="17">
        <f>GU74*VLOOKUP('Données projet'!$B$18,Paramètres!$A$1:$I$89,3,0)*VLOOKUP('Données projet'!$B$18,Paramètres!$A$1:$I$89,5,0)</f>
        <v>-2.5006556825246661E-14</v>
      </c>
      <c r="GW74" s="13" t="e">
        <f t="shared" si="105"/>
        <v>#NUM!</v>
      </c>
      <c r="GX74" s="20" t="e">
        <f t="shared" si="82"/>
        <v>#NUM!</v>
      </c>
      <c r="GY74" s="59" t="e">
        <f t="shared" si="83"/>
        <v>#NUM!</v>
      </c>
      <c r="GZ74" s="59">
        <f ca="1">AVERAGE(OFFSET($GY$3,0,0,'Données projet'!$E$18+1,1))-AVERAGE(OFFSET($H$3,0,0,'Données projet'!$E$18+1,1))</f>
        <v>180.68917161146683</v>
      </c>
      <c r="HA74" s="59">
        <f t="shared" si="106"/>
        <v>344.42126252322419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28.390165137002295</v>
      </c>
      <c r="HH74" s="21">
        <f>EXP(-LN(2)/25)*HH73+(1-EXP(-LN(2)/25))/(LN(2)/25)*Calculateur!HC74*Calculateur!HE74*VLOOKUP('Données projet'!$B$18,Paramètres!$A$1:$I$89,3,0)*0.475*44/12</f>
        <v>5.3148011236852151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33.704966260687513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2.25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8.25</v>
      </c>
      <c r="H75" s="66">
        <f t="shared" si="56"/>
        <v>223.66666666666666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7.8049999999999962</v>
      </c>
      <c r="N75" s="13">
        <f>IF('Données projet'!$A$36&gt;35,N74+M75-V74,IF(A75&lt;'Données projet'!$A$36,$K$205^A75,IF(A75='Données projet'!$A$36,'Données projet'!$B$36,N74+M75-V74)))</f>
        <v>231.47500000000005</v>
      </c>
      <c r="O75" s="13">
        <f>N75*VLOOKUP('Données projet'!$B$9,Paramètres!$A$1:$I$89,3,0)*VLOOKUP('Données projet'!$B$9,Paramètres!$A$1:$I$89,5,0)</f>
        <v>209.43858000000003</v>
      </c>
      <c r="P75" s="13">
        <f t="shared" si="87"/>
        <v>51.812882195261956</v>
      </c>
      <c r="Q75" s="20">
        <f t="shared" si="54"/>
        <v>455.01296332341457</v>
      </c>
      <c r="R75" s="59">
        <f t="shared" si="55"/>
        <v>736.64556806363237</v>
      </c>
      <c r="S75" s="59">
        <f ca="1">AVERAGE(OFFSET($R$3,0,0,'Données projet'!$E$9+1,1))-AVERAGE(OFFSET($H$3,0,0,'Données projet'!$E$9+1,1))</f>
        <v>490.57849401500789</v>
      </c>
      <c r="T75" s="59">
        <f t="shared" si="88"/>
        <v>221.7570623669753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63.477617978091686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63.477617978091686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6.3850000000000016</v>
      </c>
      <c r="AI75" s="13">
        <f>IF('Données projet'!$A$62&gt;35,AI74+AH75-AQ74,IF(A75&lt;'Données projet'!$A$62,$AF$205^A75,IF(A75='Données projet'!$A$62,'Données projet'!$B$62,AI74+AH75-AQ74)))</f>
        <v>170.59500000000006</v>
      </c>
      <c r="AJ75" s="13">
        <f>AI75*VLOOKUP('Données projet'!$B$10,Paramètres!$A$1:$I$89,3,0)*VLOOKUP('Données projet'!$B$10,Paramètres!$A$1:$I$89,5,0)</f>
        <v>114.43512600000003</v>
      </c>
      <c r="AK75" s="13">
        <f t="shared" si="89"/>
        <v>30.37351881188599</v>
      </c>
      <c r="AL75" s="20">
        <f t="shared" si="58"/>
        <v>252.20838971403478</v>
      </c>
      <c r="AM75" s="59">
        <f t="shared" si="59"/>
        <v>533.84099445425261</v>
      </c>
      <c r="AN75" s="59">
        <f ca="1">AVERAGE(OFFSET($AM$3,0,0,'Données projet'!$E$10+1,1))-AVERAGE(OFFSET($H$3,0,0,'Données projet'!$E$10+1,1))</f>
        <v>377.00534440335832</v>
      </c>
      <c r="AO75" s="59">
        <f t="shared" si="90"/>
        <v>131.56029120000656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36.215937163538769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36.215937163538769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193.79999999999995</v>
      </c>
      <c r="BE75" s="13">
        <f>BD75*VLOOKUP('Données projet'!$B$11,Paramètres!$A$1:$I$89,3,0)*VLOOKUP('Données projet'!$B$11,Paramètres!$A$1:$I$89,5,0)</f>
        <v>169.30367999999999</v>
      </c>
      <c r="BF75" s="13">
        <f t="shared" si="91"/>
        <v>42.934033834973214</v>
      </c>
      <c r="BG75" s="20">
        <f t="shared" si="61"/>
        <v>369.64735159591163</v>
      </c>
      <c r="BH75" s="59">
        <f t="shared" si="62"/>
        <v>651.27995633612943</v>
      </c>
      <c r="BI75" s="59">
        <f ca="1">AVERAGE(OFFSET($BH$3,0,0,'Données projet'!$E$11+1,1))-AVERAGE(OFFSET($H$3,0,0,'Données projet'!$E$11+1,1))</f>
        <v>314.1123649635374</v>
      </c>
      <c r="BJ75" s="59">
        <f t="shared" si="92"/>
        <v>274.92342227914889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39.146483790739339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39.146483790739339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730.825830700697</v>
      </c>
      <c r="CD75" s="59">
        <f ca="1">AVERAGE(OFFSET($CC$3,0,0,'Données projet'!$E$12+1,1))-AVERAGE(OFFSET($H$3,0,0,'Données projet'!$E$12+1,1))</f>
        <v>309.86296291630748</v>
      </c>
      <c r="CE75" s="59">
        <f t="shared" si="94"/>
        <v>301.17633325088661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42.01375963594937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42.01375963594937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9.4</v>
      </c>
      <c r="CT75" s="12">
        <f>IF('Données projet'!$A$140&gt;35,CT74+CS75-DB74,IF(A75&lt;'Données projet'!$A$140,$CQ$205^A75,IF(A75='Données projet'!$A$140,'Données projet'!$B$140,CT74+CS75-DB74)))</f>
        <v>306.7999999999999</v>
      </c>
      <c r="CU75" s="17">
        <f>CT75*VLOOKUP('Données projet'!$B$13,Paramètres!$A$1:$I$89,3,0)*VLOOKUP('Données projet'!$B$13,Paramètres!$A$1:$I$89,5,0)</f>
        <v>263.23439999999994</v>
      </c>
      <c r="CV75" s="13">
        <f t="shared" si="95"/>
        <v>63.411324464279403</v>
      </c>
      <c r="CW75" s="20">
        <f t="shared" si="67"/>
        <v>568.90797010861979</v>
      </c>
      <c r="CX75" s="59">
        <f t="shared" si="68"/>
        <v>850.54057484883765</v>
      </c>
      <c r="CY75" s="59">
        <f ca="1">AVERAGE(OFFSET($CX$3,0,0,'Données projet'!$E$13+1,1))-AVERAGE(OFFSET($H$3,0,0,'Données projet'!$E$13+1,1))</f>
        <v>462.66388549889928</v>
      </c>
      <c r="CZ75" s="59">
        <f t="shared" si="96"/>
        <v>265.3725203415089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78.516494694278748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78.516494694278748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210.25641030000014</v>
      </c>
      <c r="DP75" s="17">
        <f>DO75*VLOOKUP('Données projet'!$B$14,Paramètres!$A$1:$I$89,3,0)*VLOOKUP('Données projet'!$B$14,Paramètres!$A$1:$I$89,5,0)</f>
        <v>164.00000003400012</v>
      </c>
      <c r="DQ75" s="13">
        <f t="shared" si="97"/>
        <v>41.743425916009095</v>
      </c>
      <c r="DR75" s="20">
        <f t="shared" si="70"/>
        <v>358.3364668629327</v>
      </c>
      <c r="DS75" s="59">
        <f t="shared" si="71"/>
        <v>639.9690716031505</v>
      </c>
      <c r="DT75" s="59">
        <f ca="1">AVERAGE(OFFSET($DS$3,0,0,'Données projet'!$E$14+1,1))-AVERAGE(OFFSET($H$3,0,0,'Données projet'!$E$14+1,1))</f>
        <v>206.5241977687125</v>
      </c>
      <c r="DU75" s="59">
        <f t="shared" si="98"/>
        <v>205.25001043771269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30.432154183088723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30.432154183088723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1.8</v>
      </c>
      <c r="EJ75" s="12">
        <f>IF('Données projet'!$A$192&gt;35,EJ74+EI75-ER74,IF(A75&lt;'Données projet'!$A$192,$EG$205^A75,IF(A75='Données projet'!$A$192,'Données projet'!$B$192,EJ74+EI75-ER74)))</f>
        <v>149.59999999999991</v>
      </c>
      <c r="EK75" s="17">
        <f>EJ75*VLOOKUP('Données projet'!$B$15,Paramètres!$A$1:$I$89,3,0)*VLOOKUP('Données projet'!$B$15,Paramètres!$A$1:$I$89,5,0)</f>
        <v>130.69055999999992</v>
      </c>
      <c r="EL75" s="13">
        <f t="shared" si="99"/>
        <v>34.155878238422694</v>
      </c>
      <c r="EM75" s="20">
        <f t="shared" si="73"/>
        <v>287.107546598586</v>
      </c>
      <c r="EN75" s="59">
        <f t="shared" si="74"/>
        <v>568.7401513388038</v>
      </c>
      <c r="EO75" s="59">
        <f ca="1">AVERAGE(OFFSET($EN$3,0,0,'Données projet'!$E$15+1,1))-AVERAGE(OFFSET($H$3,0,0,'Données projet'!$E$15+1,1))</f>
        <v>205.83135724908942</v>
      </c>
      <c r="EP75" s="59">
        <f t="shared" si="100"/>
        <v>193.60053377311405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26.333803210412967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26.333803210412967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</v>
      </c>
      <c r="FE75" s="12">
        <f>IF('Données projet'!$A$218&gt;35,FE74+FD75-FM74,IF(A75&lt;'Données projet'!$A$218,$FB$205^A75,IF(A75='Données projet'!$A$218,'Données projet'!$B$218,FE74+FD75-FM74)))</f>
        <v>196.00000000000011</v>
      </c>
      <c r="FF75" s="17">
        <f>FE75*VLOOKUP('Données projet'!$B$16,Paramètres!$A$1:$I$89,3,0)*VLOOKUP('Données projet'!$B$16,Paramètres!$A$1:$I$89,5,0)</f>
        <v>128.41920000000007</v>
      </c>
      <c r="FG75" s="13">
        <f t="shared" si="101"/>
        <v>33.630823177860762</v>
      </c>
      <c r="FH75" s="20">
        <f t="shared" si="76"/>
        <v>282.23712370144091</v>
      </c>
      <c r="FI75" s="59">
        <f t="shared" si="77"/>
        <v>563.86972844165871</v>
      </c>
      <c r="FJ75" s="59">
        <f ca="1">AVERAGE(OFFSET($FI$3,0,0,'Données projet'!$E$16+1,1))-AVERAGE(OFFSET($H$3,0,0,'Données projet'!$E$16+1,1))</f>
        <v>242.76791261317206</v>
      </c>
      <c r="FK75" s="59">
        <f t="shared" si="102"/>
        <v>244.28580264867682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34.10723604416804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34.10723604416804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7.8049999999999962</v>
      </c>
      <c r="FZ75" s="12">
        <f>IF('Données projet'!$A$244&gt;35,FZ74+FY75-GH74,IF(A75&lt;'Données projet'!$A$244,$FW$205^A75,IF(A75='Données projet'!$A$244,'Données projet'!$B$244,FZ74+FY75-GH74)))</f>
        <v>231.47500000000005</v>
      </c>
      <c r="GA75" s="17">
        <f>FZ75*VLOOKUP('Données projet'!$B$17,Paramètres!$A$1:$I$89,3,0)*VLOOKUP('Données projet'!$B$17,Paramètres!$A$1:$I$89,5,0)</f>
        <v>220.27161000000004</v>
      </c>
      <c r="GB75" s="13">
        <f t="shared" si="103"/>
        <v>54.173914572355251</v>
      </c>
      <c r="GC75" s="20">
        <f t="shared" si="79"/>
        <v>477.99262196351879</v>
      </c>
      <c r="GD75" s="59">
        <f t="shared" si="80"/>
        <v>759.62522670373664</v>
      </c>
      <c r="GE75" s="59">
        <f ca="1">AVERAGE(OFFSET($GD$3,0,0,'Données projet'!$E$17+1,1))-AVERAGE(OFFSET($H$3,0,0,'Données projet'!$E$17+1,1))</f>
        <v>512.71941256120977</v>
      </c>
      <c r="GF75" s="59">
        <f t="shared" si="104"/>
        <v>230.65031527019354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66.760943045924037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66.760943045924037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66.808892201877583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-5.6843418860808015E-14</v>
      </c>
      <c r="GV75" s="17">
        <f>GU75*VLOOKUP('Données projet'!$B$18,Paramètres!$A$1:$I$89,3,0)*VLOOKUP('Données projet'!$B$18,Paramètres!$A$1:$I$89,5,0)</f>
        <v>-2.5006556825246661E-14</v>
      </c>
      <c r="GW75" s="13" t="e">
        <f t="shared" si="105"/>
        <v>#NUM!</v>
      </c>
      <c r="GX75" s="20" t="e">
        <f t="shared" si="82"/>
        <v>#NUM!</v>
      </c>
      <c r="GY75" s="59" t="e">
        <f t="shared" si="83"/>
        <v>#NUM!</v>
      </c>
      <c r="GZ75" s="59">
        <f ca="1">AVERAGE(OFFSET($GY$3,0,0,'Données projet'!$E$18+1,1))-AVERAGE(OFFSET($H$3,0,0,'Données projet'!$E$18+1,1))</f>
        <v>180.68917161146683</v>
      </c>
      <c r="HA75" s="59">
        <f t="shared" si="106"/>
        <v>344.42126252322419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27.833451314956573</v>
      </c>
      <c r="HH75" s="21">
        <f>EXP(-LN(2)/25)*HH74+(1-EXP(-LN(2)/25))/(LN(2)/25)*Calculateur!HC75*Calculateur!HE75*VLOOKUP('Données projet'!$B$18,Paramètres!$A$1:$I$89,3,0)*0.475*44/12</f>
        <v>5.1694676074647985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33.002918922421372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2.25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8.25</v>
      </c>
      <c r="H76" s="66">
        <f t="shared" si="56"/>
        <v>223.66666666666666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7.8049999999999962</v>
      </c>
      <c r="N76" s="13">
        <f>IF('Données projet'!$A$36&gt;35,N75+M76-V75,IF(A76&lt;'Données projet'!$A$36,$K$205^A76,IF(A76='Données projet'!$A$36,'Données projet'!$B$36,N75+M76-V75)))</f>
        <v>239.28000000000006</v>
      </c>
      <c r="O76" s="13">
        <f>N76*VLOOKUP('Données projet'!$B$9,Paramètres!$A$1:$I$89,3,0)*VLOOKUP('Données projet'!$B$9,Paramètres!$A$1:$I$89,5,0)</f>
        <v>216.50054400000005</v>
      </c>
      <c r="P76" s="13">
        <f t="shared" si="87"/>
        <v>53.35358791845195</v>
      </c>
      <c r="Q76" s="20">
        <f t="shared" si="54"/>
        <v>469.99594642463717</v>
      </c>
      <c r="R76" s="59">
        <f t="shared" si="55"/>
        <v>751.83153264703537</v>
      </c>
      <c r="S76" s="59">
        <f ca="1">AVERAGE(OFFSET($R$3,0,0,'Données projet'!$E$9+1,1))-AVERAGE(OFFSET($H$3,0,0,'Données projet'!$E$9+1,1))</f>
        <v>490.57849401500789</v>
      </c>
      <c r="T76" s="59">
        <f t="shared" si="88"/>
        <v>221.7570623669753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62.232860607065234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62.232860607065234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6.3850000000000016</v>
      </c>
      <c r="AI76" s="13">
        <f>IF('Données projet'!$A$62&gt;35,AI75+AH76-AQ75,IF(A76&lt;'Données projet'!$A$62,$AF$205^A76,IF(A76='Données projet'!$A$62,'Données projet'!$B$62,AI75+AH76-AQ75)))</f>
        <v>176.98000000000005</v>
      </c>
      <c r="AJ76" s="13">
        <f>AI76*VLOOKUP('Données projet'!$B$10,Paramètres!$A$1:$I$89,3,0)*VLOOKUP('Données projet'!$B$10,Paramètres!$A$1:$I$89,5,0)</f>
        <v>118.71818400000002</v>
      </c>
      <c r="AK76" s="13">
        <f t="shared" si="89"/>
        <v>31.375850159673156</v>
      </c>
      <c r="AL76" s="20">
        <f t="shared" si="58"/>
        <v>261.4137761614308</v>
      </c>
      <c r="AM76" s="59">
        <f t="shared" si="59"/>
        <v>543.24936238382895</v>
      </c>
      <c r="AN76" s="59">
        <f ca="1">AVERAGE(OFFSET($AM$3,0,0,'Données projet'!$E$10+1,1))-AVERAGE(OFFSET($H$3,0,0,'Données projet'!$E$10+1,1))</f>
        <v>377.00534440335832</v>
      </c>
      <c r="AO76" s="59">
        <f t="shared" si="90"/>
        <v>131.56029120000656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35.505764725302285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35.505764725302285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197.19999999999996</v>
      </c>
      <c r="BE76" s="13">
        <f>BD76*VLOOKUP('Données projet'!$B$11,Paramètres!$A$1:$I$89,3,0)*VLOOKUP('Données projet'!$B$11,Paramètres!$A$1:$I$89,5,0)</f>
        <v>172.27391999999998</v>
      </c>
      <c r="BF76" s="13">
        <f t="shared" si="91"/>
        <v>43.598911513699605</v>
      </c>
      <c r="BG76" s="20">
        <f t="shared" si="61"/>
        <v>375.97851488636002</v>
      </c>
      <c r="BH76" s="59">
        <f t="shared" si="62"/>
        <v>657.81410110875822</v>
      </c>
      <c r="BI76" s="59">
        <f ca="1">AVERAGE(OFFSET($BH$3,0,0,'Données projet'!$E$11+1,1))-AVERAGE(OFFSET($H$3,0,0,'Données projet'!$E$11+1,1))</f>
        <v>314.1123649635374</v>
      </c>
      <c r="BJ76" s="59">
        <f t="shared" si="92"/>
        <v>274.92342227914889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38.378845120600396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38.378845120600396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736.77074283303978</v>
      </c>
      <c r="CD76" s="59">
        <f ca="1">AVERAGE(OFFSET($CC$3,0,0,'Données projet'!$E$12+1,1))-AVERAGE(OFFSET($H$3,0,0,'Données projet'!$E$12+1,1))</f>
        <v>309.86296291630748</v>
      </c>
      <c r="CE76" s="59">
        <f t="shared" si="94"/>
        <v>301.17633325088661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41.189895435351438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41.189895435351438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9.4</v>
      </c>
      <c r="CT76" s="12">
        <f>IF('Données projet'!$A$140&gt;35,CT75+CS76-DB75,IF(A76&lt;'Données projet'!$A$140,$CQ$205^A76,IF(A76='Données projet'!$A$140,'Données projet'!$B$140,CT75+CS76-DB75)))</f>
        <v>316.19999999999987</v>
      </c>
      <c r="CU76" s="17">
        <f>CT76*VLOOKUP('Données projet'!$B$13,Paramètres!$A$1:$I$89,3,0)*VLOOKUP('Données projet'!$B$13,Paramètres!$A$1:$I$89,5,0)</f>
        <v>271.29959999999994</v>
      </c>
      <c r="CV76" s="13">
        <f t="shared" si="95"/>
        <v>65.125000081857877</v>
      </c>
      <c r="CW76" s="20">
        <f t="shared" si="67"/>
        <v>585.93951180923568</v>
      </c>
      <c r="CX76" s="59">
        <f t="shared" si="68"/>
        <v>867.77509803163389</v>
      </c>
      <c r="CY76" s="59">
        <f ca="1">AVERAGE(OFFSET($CX$3,0,0,'Données projet'!$E$13+1,1))-AVERAGE(OFFSET($H$3,0,0,'Données projet'!$E$13+1,1))</f>
        <v>462.66388549889928</v>
      </c>
      <c r="CZ76" s="59">
        <f t="shared" si="96"/>
        <v>265.3725203415089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76.976834123656928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76.976834123656928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210.25641030000014</v>
      </c>
      <c r="DP76" s="17">
        <f>DO76*VLOOKUP('Données projet'!$B$14,Paramètres!$A$1:$I$89,3,0)*VLOOKUP('Données projet'!$B$14,Paramètres!$A$1:$I$89,5,0)</f>
        <v>164.00000003400012</v>
      </c>
      <c r="DQ76" s="13">
        <f t="shared" si="97"/>
        <v>41.743425916009095</v>
      </c>
      <c r="DR76" s="20">
        <f t="shared" si="70"/>
        <v>358.3364668629327</v>
      </c>
      <c r="DS76" s="59">
        <f t="shared" si="71"/>
        <v>640.17205308533084</v>
      </c>
      <c r="DT76" s="59">
        <f ca="1">AVERAGE(OFFSET($DS$3,0,0,'Données projet'!$E$14+1,1))-AVERAGE(OFFSET($H$3,0,0,'Données projet'!$E$14+1,1))</f>
        <v>206.5241977687125</v>
      </c>
      <c r="DU76" s="59">
        <f t="shared" si="98"/>
        <v>205.25001043771269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29.835398201339583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29.835398201339583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1.8</v>
      </c>
      <c r="EJ76" s="12">
        <f>IF('Données projet'!$A$192&gt;35,EJ75+EI76-ER75,IF(A76&lt;'Données projet'!$A$192,$EG$205^A76,IF(A76='Données projet'!$A$192,'Données projet'!$B$192,EJ75+EI76-ER75)))</f>
        <v>151.39999999999992</v>
      </c>
      <c r="EK76" s="17">
        <f>EJ76*VLOOKUP('Données projet'!$B$15,Paramètres!$A$1:$I$89,3,0)*VLOOKUP('Données projet'!$B$15,Paramètres!$A$1:$I$89,5,0)</f>
        <v>132.26303999999996</v>
      </c>
      <c r="EL76" s="13">
        <f t="shared" si="99"/>
        <v>34.518755036434833</v>
      </c>
      <c r="EM76" s="20">
        <f t="shared" si="73"/>
        <v>290.47829302179059</v>
      </c>
      <c r="EN76" s="59">
        <f t="shared" si="74"/>
        <v>572.31387924418868</v>
      </c>
      <c r="EO76" s="59">
        <f ca="1">AVERAGE(OFFSET($EN$3,0,0,'Données projet'!$E$15+1,1))-AVERAGE(OFFSET($H$3,0,0,'Données projet'!$E$15+1,1))</f>
        <v>205.83135724908942</v>
      </c>
      <c r="EP76" s="59">
        <f t="shared" si="100"/>
        <v>193.60053377311405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25.817413391490732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25.817413391490732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</v>
      </c>
      <c r="FE76" s="12">
        <f>IF('Données projet'!$A$218&gt;35,FE75+FD76-FM75,IF(A76&lt;'Données projet'!$A$218,$FB$205^A76,IF(A76='Données projet'!$A$218,'Données projet'!$B$218,FE75+FD76-FM75)))</f>
        <v>200.00000000000011</v>
      </c>
      <c r="FF76" s="17">
        <f>FE76*VLOOKUP('Données projet'!$B$16,Paramètres!$A$1:$I$89,3,0)*VLOOKUP('Données projet'!$B$16,Paramètres!$A$1:$I$89,5,0)</f>
        <v>131.04000000000008</v>
      </c>
      <c r="FG76" s="13">
        <f t="shared" si="101"/>
        <v>34.236561238949918</v>
      </c>
      <c r="FH76" s="20">
        <f t="shared" si="76"/>
        <v>287.85667749117118</v>
      </c>
      <c r="FI76" s="59">
        <f t="shared" si="77"/>
        <v>569.69226371356933</v>
      </c>
      <c r="FJ76" s="59">
        <f ca="1">AVERAGE(OFFSET($FI$3,0,0,'Données projet'!$E$16+1,1))-AVERAGE(OFFSET($H$3,0,0,'Données projet'!$E$16+1,1))</f>
        <v>242.76791261317206</v>
      </c>
      <c r="FK76" s="59">
        <f t="shared" si="102"/>
        <v>244.28580264867682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33.438413948701729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33.438413948701729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7.8049999999999962</v>
      </c>
      <c r="FZ76" s="12">
        <f>IF('Données projet'!$A$244&gt;35,FZ75+FY76-GH75,IF(A76&lt;'Données projet'!$A$244,$FW$205^A76,IF(A76='Données projet'!$A$244,'Données projet'!$B$244,FZ75+FY76-GH75)))</f>
        <v>239.28000000000006</v>
      </c>
      <c r="GA76" s="17">
        <f>FZ76*VLOOKUP('Données projet'!$B$17,Paramètres!$A$1:$I$89,3,0)*VLOOKUP('Données projet'!$B$17,Paramètres!$A$1:$I$89,5,0)</f>
        <v>227.69884800000005</v>
      </c>
      <c r="GB76" s="13">
        <f t="shared" si="103"/>
        <v>55.784827856713498</v>
      </c>
      <c r="GC76" s="20">
        <f t="shared" si="79"/>
        <v>493.73406878377614</v>
      </c>
      <c r="GD76" s="59">
        <f t="shared" si="80"/>
        <v>775.56965500617434</v>
      </c>
      <c r="GE76" s="59">
        <f ca="1">AVERAGE(OFFSET($GD$3,0,0,'Données projet'!$E$17+1,1))-AVERAGE(OFFSET($H$3,0,0,'Données projet'!$E$17+1,1))</f>
        <v>512.71941256120977</v>
      </c>
      <c r="GF76" s="59">
        <f t="shared" si="104"/>
        <v>230.65031527019354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65.451801672947937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65.451801672947937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66.864250787926764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-5.6843418860808015E-14</v>
      </c>
      <c r="GV76" s="17">
        <f>GU76*VLOOKUP('Données projet'!$B$18,Paramètres!$A$1:$I$89,3,0)*VLOOKUP('Données projet'!$B$18,Paramètres!$A$1:$I$89,5,0)</f>
        <v>-2.5006556825246661E-14</v>
      </c>
      <c r="GW76" s="13" t="e">
        <f t="shared" si="105"/>
        <v>#NUM!</v>
      </c>
      <c r="GX76" s="20" t="e">
        <f t="shared" si="82"/>
        <v>#NUM!</v>
      </c>
      <c r="GY76" s="59" t="e">
        <f t="shared" si="83"/>
        <v>#NUM!</v>
      </c>
      <c r="GZ76" s="59">
        <f ca="1">AVERAGE(OFFSET($GY$3,0,0,'Données projet'!$E$18+1,1))-AVERAGE(OFFSET($H$3,0,0,'Données projet'!$E$18+1,1))</f>
        <v>180.68917161146683</v>
      </c>
      <c r="HA76" s="59">
        <f t="shared" si="106"/>
        <v>344.42126252322419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27.287654311399265</v>
      </c>
      <c r="HH76" s="21">
        <f>EXP(-LN(2)/25)*HH75+(1-EXP(-LN(2)/25))/(LN(2)/25)*Calculateur!HC76*Calculateur!HE76*VLOOKUP('Données projet'!$B$18,Paramètres!$A$1:$I$89,3,0)*0.475*44/12</f>
        <v>5.0281082438881874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32.315762555287449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2.25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8.25</v>
      </c>
      <c r="H77" s="66">
        <f t="shared" si="56"/>
        <v>223.66666666666666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7.8049999999999962</v>
      </c>
      <c r="N77" s="13">
        <f>IF('Données projet'!$A$36&gt;35,N76+M77-V76,IF(A77&lt;'Données projet'!$A$36,$K$205^A77,IF(A77='Données projet'!$A$36,'Données projet'!$B$36,N76+M77-V76)))</f>
        <v>247.08500000000006</v>
      </c>
      <c r="O77" s="13">
        <f>N77*VLOOKUP('Données projet'!$B$9,Paramètres!$A$1:$I$89,3,0)*VLOOKUP('Données projet'!$B$9,Paramètres!$A$1:$I$89,5,0)</f>
        <v>223.56250800000007</v>
      </c>
      <c r="P77" s="13">
        <f t="shared" si="87"/>
        <v>54.888453863531012</v>
      </c>
      <c r="Q77" s="20">
        <f t="shared" si="54"/>
        <v>484.96875857898323</v>
      </c>
      <c r="R77" s="59">
        <f t="shared" si="55"/>
        <v>767.00380500864446</v>
      </c>
      <c r="S77" s="59">
        <f ca="1">AVERAGE(OFFSET($R$3,0,0,'Données projet'!$E$9+1,1))-AVERAGE(OFFSET($H$3,0,0,'Données projet'!$E$9+1,1))</f>
        <v>490.57849401500789</v>
      </c>
      <c r="T77" s="59">
        <f t="shared" si="88"/>
        <v>221.7570623669753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61.012512168857583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61.012512168857583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6.3850000000000016</v>
      </c>
      <c r="AI77" s="13">
        <f>IF('Données projet'!$A$62&gt;35,AI76+AH77-AQ76,IF(A77&lt;'Données projet'!$A$62,$AF$205^A77,IF(A77='Données projet'!$A$62,'Données projet'!$B$62,AI76+AH77-AQ76)))</f>
        <v>183.36500000000004</v>
      </c>
      <c r="AJ77" s="13">
        <f>AI77*VLOOKUP('Données projet'!$B$10,Paramètres!$A$1:$I$89,3,0)*VLOOKUP('Données projet'!$B$10,Paramètres!$A$1:$I$89,5,0)</f>
        <v>123.00124200000003</v>
      </c>
      <c r="AK77" s="13">
        <f t="shared" si="89"/>
        <v>32.373980156528908</v>
      </c>
      <c r="AL77" s="20">
        <f t="shared" si="58"/>
        <v>270.61184525595451</v>
      </c>
      <c r="AM77" s="59">
        <f t="shared" si="59"/>
        <v>552.64689168561574</v>
      </c>
      <c r="AN77" s="59">
        <f ca="1">AVERAGE(OFFSET($AM$3,0,0,'Données projet'!$E$10+1,1))-AVERAGE(OFFSET($H$3,0,0,'Données projet'!$E$10+1,1))</f>
        <v>377.00534440335832</v>
      </c>
      <c r="AO77" s="59">
        <f t="shared" si="90"/>
        <v>131.56029120000656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34.809518335417202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34.809518335417202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200.59999999999997</v>
      </c>
      <c r="BE77" s="13">
        <f>BD77*VLOOKUP('Données projet'!$B$11,Paramètres!$A$1:$I$89,3,0)*VLOOKUP('Données projet'!$B$11,Paramètres!$A$1:$I$89,5,0)</f>
        <v>175.24415999999999</v>
      </c>
      <c r="BF77" s="13">
        <f t="shared" si="91"/>
        <v>44.262456119927037</v>
      </c>
      <c r="BG77" s="20">
        <f t="shared" si="61"/>
        <v>382.30735640887292</v>
      </c>
      <c r="BH77" s="59">
        <f t="shared" si="62"/>
        <v>664.3424028385341</v>
      </c>
      <c r="BI77" s="59">
        <f ca="1">AVERAGE(OFFSET($BH$3,0,0,'Données projet'!$E$11+1,1))-AVERAGE(OFFSET($H$3,0,0,'Données projet'!$E$11+1,1))</f>
        <v>314.1123649635374</v>
      </c>
      <c r="BJ77" s="59">
        <f t="shared" si="92"/>
        <v>274.92342227914889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37.626259376569521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37.626259376569521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742.71058507127191</v>
      </c>
      <c r="CD77" s="59">
        <f ca="1">AVERAGE(OFFSET($CC$3,0,0,'Données projet'!$E$12+1,1))-AVERAGE(OFFSET($H$3,0,0,'Données projet'!$E$12+1,1))</f>
        <v>309.86296291630748</v>
      </c>
      <c r="CE77" s="59">
        <f t="shared" si="94"/>
        <v>301.17633325088661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40.382186709219688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40.382186709219688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9.4</v>
      </c>
      <c r="CT77" s="12">
        <f>IF('Données projet'!$A$140&gt;35,CT76+CS77-DB76,IF(A77&lt;'Données projet'!$A$140,$CQ$205^A77,IF(A77='Données projet'!$A$140,'Données projet'!$B$140,CT76+CS77-DB76)))</f>
        <v>325.59999999999985</v>
      </c>
      <c r="CU77" s="17">
        <f>CT77*VLOOKUP('Données projet'!$B$13,Paramètres!$A$1:$I$89,3,0)*VLOOKUP('Données projet'!$B$13,Paramètres!$A$1:$I$89,5,0)</f>
        <v>279.36479999999989</v>
      </c>
      <c r="CV77" s="13">
        <f t="shared" si="95"/>
        <v>66.832755122992182</v>
      </c>
      <c r="CW77" s="20">
        <f t="shared" si="67"/>
        <v>602.96074183921121</v>
      </c>
      <c r="CX77" s="59">
        <f t="shared" si="68"/>
        <v>884.9957882688725</v>
      </c>
      <c r="CY77" s="59">
        <f ca="1">AVERAGE(OFFSET($CX$3,0,0,'Données projet'!$E$13+1,1))-AVERAGE(OFFSET($H$3,0,0,'Données projet'!$E$13+1,1))</f>
        <v>462.66388549889928</v>
      </c>
      <c r="CZ77" s="59">
        <f t="shared" si="96"/>
        <v>265.3725203415089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75.467365357724788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75.467365357724788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210.25641030000014</v>
      </c>
      <c r="DP77" s="17">
        <f>DO77*VLOOKUP('Données projet'!$B$14,Paramètres!$A$1:$I$89,3,0)*VLOOKUP('Données projet'!$B$14,Paramètres!$A$1:$I$89,5,0)</f>
        <v>164.00000003400012</v>
      </c>
      <c r="DQ77" s="13">
        <f t="shared" si="97"/>
        <v>41.743425916009095</v>
      </c>
      <c r="DR77" s="20">
        <f t="shared" si="70"/>
        <v>358.3364668629327</v>
      </c>
      <c r="DS77" s="59">
        <f t="shared" si="71"/>
        <v>640.37151329259393</v>
      </c>
      <c r="DT77" s="59">
        <f ca="1">AVERAGE(OFFSET($DS$3,0,0,'Données projet'!$E$14+1,1))-AVERAGE(OFFSET($H$3,0,0,'Données projet'!$E$14+1,1))</f>
        <v>206.5241977687125</v>
      </c>
      <c r="DU77" s="59">
        <f t="shared" si="98"/>
        <v>205.25001043771269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29.250344240407333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29.250344240407333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1.8</v>
      </c>
      <c r="EJ77" s="12">
        <f>IF('Données projet'!$A$192&gt;35,EJ76+EI77-ER76,IF(A77&lt;'Données projet'!$A$192,$EG$205^A77,IF(A77='Données projet'!$A$192,'Données projet'!$B$192,EJ76+EI77-ER76)))</f>
        <v>153.19999999999993</v>
      </c>
      <c r="EK77" s="17">
        <f>EJ77*VLOOKUP('Données projet'!$B$15,Paramètres!$A$1:$I$89,3,0)*VLOOKUP('Données projet'!$B$15,Paramètres!$A$1:$I$89,5,0)</f>
        <v>133.83551999999997</v>
      </c>
      <c r="EL77" s="13">
        <f t="shared" si="99"/>
        <v>34.881129989958559</v>
      </c>
      <c r="EM77" s="20">
        <f t="shared" si="73"/>
        <v>293.84816539917779</v>
      </c>
      <c r="EN77" s="59">
        <f t="shared" si="74"/>
        <v>575.88321182883897</v>
      </c>
      <c r="EO77" s="59">
        <f ca="1">AVERAGE(OFFSET($EN$3,0,0,'Données projet'!$E$15+1,1))-AVERAGE(OFFSET($H$3,0,0,'Données projet'!$E$15+1,1))</f>
        <v>205.83135724908942</v>
      </c>
      <c r="EP77" s="59">
        <f t="shared" si="100"/>
        <v>193.60053377311405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25.311149661950875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25.311149661950875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</v>
      </c>
      <c r="FE77" s="12">
        <f>IF('Données projet'!$A$218&gt;35,FE76+FD77-FM76,IF(A77&lt;'Données projet'!$A$218,$FB$205^A77,IF(A77='Données projet'!$A$218,'Données projet'!$B$218,FE76+FD77-FM76)))</f>
        <v>204.00000000000011</v>
      </c>
      <c r="FF77" s="17">
        <f>FE77*VLOOKUP('Données projet'!$B$16,Paramètres!$A$1:$I$89,3,0)*VLOOKUP('Données projet'!$B$16,Paramètres!$A$1:$I$89,5,0)</f>
        <v>133.66080000000008</v>
      </c>
      <c r="FG77" s="13">
        <f t="shared" si="101"/>
        <v>34.840890682716747</v>
      </c>
      <c r="FH77" s="20">
        <f t="shared" si="76"/>
        <v>293.47377793906509</v>
      </c>
      <c r="FI77" s="59">
        <f t="shared" si="77"/>
        <v>575.50882436872632</v>
      </c>
      <c r="FJ77" s="59">
        <f ca="1">AVERAGE(OFFSET($FI$3,0,0,'Données projet'!$E$16+1,1))-AVERAGE(OFFSET($H$3,0,0,'Données projet'!$E$16+1,1))</f>
        <v>242.76791261317206</v>
      </c>
      <c r="FK77" s="59">
        <f t="shared" si="102"/>
        <v>244.28580264867682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32.782707046586317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32.782707046586317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7.8049999999999962</v>
      </c>
      <c r="FZ77" s="12">
        <f>IF('Données projet'!$A$244&gt;35,FZ76+FY77-GH76,IF(A77&lt;'Données projet'!$A$244,$FW$205^A77,IF(A77='Données projet'!$A$244,'Données projet'!$B$244,FZ76+FY77-GH76)))</f>
        <v>247.08500000000006</v>
      </c>
      <c r="GA77" s="17">
        <f>FZ77*VLOOKUP('Données projet'!$B$17,Paramètres!$A$1:$I$89,3,0)*VLOOKUP('Données projet'!$B$17,Paramètres!$A$1:$I$89,5,0)</f>
        <v>235.12608600000007</v>
      </c>
      <c r="GB77" s="13">
        <f t="shared" si="103"/>
        <v>57.389635253363871</v>
      </c>
      <c r="GC77" s="20">
        <f t="shared" si="79"/>
        <v>509.46488118294218</v>
      </c>
      <c r="GD77" s="59">
        <f t="shared" si="80"/>
        <v>791.49992761260341</v>
      </c>
      <c r="GE77" s="59">
        <f ca="1">AVERAGE(OFFSET($GD$3,0,0,'Données projet'!$E$17+1,1))-AVERAGE(OFFSET($H$3,0,0,'Données projet'!$E$17+1,1))</f>
        <v>512.71941256120977</v>
      </c>
      <c r="GF77" s="59">
        <f t="shared" si="104"/>
        <v>230.65031527019354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64.168331763798506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64.168331763798506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66.91864902627124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-5.6843418860808015E-14</v>
      </c>
      <c r="GV77" s="17">
        <f>GU77*VLOOKUP('Données projet'!$B$18,Paramètres!$A$1:$I$89,3,0)*VLOOKUP('Données projet'!$B$18,Paramètres!$A$1:$I$89,5,0)</f>
        <v>-2.5006556825246661E-14</v>
      </c>
      <c r="GW77" s="13" t="e">
        <f t="shared" si="105"/>
        <v>#NUM!</v>
      </c>
      <c r="GX77" s="20" t="e">
        <f t="shared" si="82"/>
        <v>#NUM!</v>
      </c>
      <c r="GY77" s="59" t="e">
        <f t="shared" si="83"/>
        <v>#NUM!</v>
      </c>
      <c r="GZ77" s="59">
        <f ca="1">AVERAGE(OFFSET($GY$3,0,0,'Données projet'!$E$18+1,1))-AVERAGE(OFFSET($H$3,0,0,'Données projet'!$E$18+1,1))</f>
        <v>180.68917161146683</v>
      </c>
      <c r="HA77" s="59">
        <f t="shared" si="106"/>
        <v>344.42126252322419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26.752560054178414</v>
      </c>
      <c r="HH77" s="21">
        <f>EXP(-LN(2)/25)*HH76+(1-EXP(-LN(2)/25))/(LN(2)/25)*Calculateur!HC77*Calculateur!HE77*VLOOKUP('Données projet'!$B$18,Paramètres!$A$1:$I$89,3,0)*0.475*44/12</f>
        <v>4.8906143595423446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31.643174413720757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2.25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8.25</v>
      </c>
      <c r="H78" s="66">
        <f t="shared" si="56"/>
        <v>223.66666666666666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254.89</v>
      </c>
      <c r="L78" s="12">
        <f>VLOOKUP(A78,'Données projet'!$A$35:$I$55,9,0)</f>
        <v>7.8049999999999962</v>
      </c>
      <c r="M78" s="12">
        <f t="array" ref="M78">INDEX(L:L,MIN(IF(ISNUMBER(L78:L274),ROW(L78:L274),"")))</f>
        <v>7.8049999999999962</v>
      </c>
      <c r="N78" s="13">
        <f>IF('Données projet'!$A$36&gt;35,N77+M78-V77,IF(A78&lt;'Données projet'!$A$36,$K$205^A78,IF(A78='Données projet'!$A$36,'Données projet'!$B$36,N77+M78-V77)))</f>
        <v>254.89000000000007</v>
      </c>
      <c r="O78" s="13">
        <f>N78*VLOOKUP('Données projet'!$B$9,Paramètres!$A$1:$I$89,3,0)*VLOOKUP('Données projet'!$B$9,Paramètres!$A$1:$I$89,5,0)</f>
        <v>230.62447200000003</v>
      </c>
      <c r="P78" s="13">
        <f t="shared" si="87"/>
        <v>56.417685662698347</v>
      </c>
      <c r="Q78" s="20">
        <f t="shared" si="54"/>
        <v>499.9317579291997</v>
      </c>
      <c r="R78" s="59">
        <f t="shared" si="55"/>
        <v>782.16280437745422</v>
      </c>
      <c r="S78" s="59">
        <f ca="1">AVERAGE(OFFSET($R$3,0,0,'Données projet'!$E$9+1,1))-AVERAGE(OFFSET($H$3,0,0,'Données projet'!$E$9+1,1))</f>
        <v>490.57849401500789</v>
      </c>
      <c r="T78" s="59">
        <f t="shared" si="88"/>
        <v>221.7570623669753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39.54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76.822197714126844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76.822197714126844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6.3850000000000016</v>
      </c>
      <c r="AI78" s="13">
        <f>IF('Données projet'!$A$62&gt;35,AI77+AH78-AQ77,IF(A78&lt;'Données projet'!$A$62,$AF$205^A78,IF(A78='Données projet'!$A$62,'Données projet'!$B$62,AI77+AH78-AQ77)))</f>
        <v>189.75000000000003</v>
      </c>
      <c r="AJ78" s="13">
        <f>AI78*VLOOKUP('Données projet'!$B$10,Paramètres!$A$1:$I$89,3,0)*VLOOKUP('Données projet'!$B$10,Paramètres!$A$1:$I$89,5,0)</f>
        <v>127.28430000000003</v>
      </c>
      <c r="AK78" s="13">
        <f t="shared" si="89"/>
        <v>33.368071864103889</v>
      </c>
      <c r="AL78" s="20">
        <f t="shared" si="58"/>
        <v>279.80288099664762</v>
      </c>
      <c r="AM78" s="59">
        <f t="shared" si="59"/>
        <v>562.03392744490213</v>
      </c>
      <c r="AN78" s="59">
        <f ca="1">AVERAGE(OFFSET($AM$3,0,0,'Données projet'!$E$10+1,1))-AVERAGE(OFFSET($H$3,0,0,'Données projet'!$E$10+1,1))</f>
        <v>377.00534440335832</v>
      </c>
      <c r="AO78" s="59">
        <f t="shared" si="90"/>
        <v>131.56029120000656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34.1269249125694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34.1269249125694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204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203.99999999999997</v>
      </c>
      <c r="BE78" s="13">
        <f>BD78*VLOOKUP('Données projet'!$B$11,Paramètres!$A$1:$I$89,3,0)*VLOOKUP('Données projet'!$B$11,Paramètres!$A$1:$I$89,5,0)</f>
        <v>178.21440000000001</v>
      </c>
      <c r="BF78" s="13">
        <f t="shared" si="91"/>
        <v>44.924692855664368</v>
      </c>
      <c r="BG78" s="20">
        <f t="shared" si="61"/>
        <v>388.63392005694874</v>
      </c>
      <c r="BH78" s="59">
        <f t="shared" si="62"/>
        <v>670.86496650520326</v>
      </c>
      <c r="BI78" s="59">
        <f ca="1">AVERAGE(OFFSET($BH$3,0,0,'Données projet'!$E$11+1,1))-AVERAGE(OFFSET($H$3,0,0,'Données projet'!$E$11+1,1))</f>
        <v>314.1123649635374</v>
      </c>
      <c r="BJ78" s="59">
        <f t="shared" si="92"/>
        <v>274.92342227914889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41.87164422551664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41.87164422551664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748.64544053519785</v>
      </c>
      <c r="CD78" s="59">
        <f ca="1">AVERAGE(OFFSET($CC$3,0,0,'Données projet'!$E$12+1,1))-AVERAGE(OFFSET($H$3,0,0,'Données projet'!$E$12+1,1))</f>
        <v>309.86296291630748</v>
      </c>
      <c r="CE78" s="59">
        <f t="shared" si="94"/>
        <v>301.17633325088661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43.785590014525802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43.785590014525802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335</v>
      </c>
      <c r="CR78" s="12">
        <f>VLOOKUP(A78,'Données projet'!$A$139:$I$159,9,0)</f>
        <v>9.4</v>
      </c>
      <c r="CS78" s="12">
        <f t="array" ref="CS78">INDEX(CR:CR,MIN(IF(ISNUMBER(CR78:CR274),ROW(CR78:CR274),"")))</f>
        <v>9.4</v>
      </c>
      <c r="CT78" s="12">
        <f>IF('Données projet'!$A$140&gt;35,CT77+CS78-DB77,IF(A78&lt;'Données projet'!$A$140,$CQ$205^A78,IF(A78='Données projet'!$A$140,'Données projet'!$B$140,CT77+CS78-DB77)))</f>
        <v>334.99999999999983</v>
      </c>
      <c r="CU78" s="17">
        <f>CT78*VLOOKUP('Données projet'!$B$13,Paramètres!$A$1:$I$89,3,0)*VLOOKUP('Données projet'!$B$13,Paramètres!$A$1:$I$89,5,0)</f>
        <v>287.42999999999989</v>
      </c>
      <c r="CV78" s="13">
        <f t="shared" si="95"/>
        <v>68.534780142555746</v>
      </c>
      <c r="CW78" s="20">
        <f t="shared" si="67"/>
        <v>619.97199208161771</v>
      </c>
      <c r="CX78" s="59">
        <f t="shared" si="68"/>
        <v>902.20303852987217</v>
      </c>
      <c r="CY78" s="59">
        <f ca="1">AVERAGE(OFFSET($CX$3,0,0,'Données projet'!$E$13+1,1))-AVERAGE(OFFSET($H$3,0,0,'Données projet'!$E$13+1,1))</f>
        <v>462.66388549889928</v>
      </c>
      <c r="CZ78" s="59">
        <f t="shared" si="96"/>
        <v>265.3725203415089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28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88.063141164494326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88.063141164494326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210.25641030000014</v>
      </c>
      <c r="DP78" s="17">
        <f>DO78*VLOOKUP('Données projet'!$B$14,Paramètres!$A$1:$I$89,3,0)*VLOOKUP('Données projet'!$B$14,Paramètres!$A$1:$I$89,5,0)</f>
        <v>164.00000003400012</v>
      </c>
      <c r="DQ78" s="13">
        <f t="shared" si="97"/>
        <v>41.743425916009095</v>
      </c>
      <c r="DR78" s="20">
        <f t="shared" si="70"/>
        <v>358.3364668629327</v>
      </c>
      <c r="DS78" s="59">
        <f t="shared" si="71"/>
        <v>640.56751331118721</v>
      </c>
      <c r="DT78" s="59">
        <f ca="1">AVERAGE(OFFSET($DS$3,0,0,'Données projet'!$E$14+1,1))-AVERAGE(OFFSET($H$3,0,0,'Données projet'!$E$14+1,1))</f>
        <v>206.5241977687125</v>
      </c>
      <c r="DU78" s="59">
        <f t="shared" si="98"/>
        <v>205.25001043771269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28.676762830801284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28.676762830801284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155</v>
      </c>
      <c r="EH78" s="12">
        <f>VLOOKUP(A78,'Données projet'!$A$191:$I$211,9,0)</f>
        <v>1.8</v>
      </c>
      <c r="EI78" s="12">
        <f t="array" ref="EI78">INDEX(EH:EH,MIN(IF(ISNUMBER(EH78:EH274),ROW(EH78:EH274),"")))</f>
        <v>1.8</v>
      </c>
      <c r="EJ78" s="12">
        <f>IF('Données projet'!$A$192&gt;35,EJ77+EI78-ER77,IF(A78&lt;'Données projet'!$A$192,$EG$205^A78,IF(A78='Données projet'!$A$192,'Données projet'!$B$192,EJ77+EI78-ER77)))</f>
        <v>154.99999999999994</v>
      </c>
      <c r="EK78" s="17">
        <f>EJ78*VLOOKUP('Données projet'!$B$15,Paramètres!$A$1:$I$89,3,0)*VLOOKUP('Données projet'!$B$15,Paramètres!$A$1:$I$89,5,0)</f>
        <v>135.40799999999999</v>
      </c>
      <c r="EL78" s="13">
        <f t="shared" si="99"/>
        <v>35.243009677478732</v>
      </c>
      <c r="EM78" s="20">
        <f t="shared" si="73"/>
        <v>297.21717518827546</v>
      </c>
      <c r="EN78" s="59">
        <f t="shared" si="74"/>
        <v>579.44822163652998</v>
      </c>
      <c r="EO78" s="59">
        <f ca="1">AVERAGE(OFFSET($EN$3,0,0,'Données projet'!$E$15+1,1))-AVERAGE(OFFSET($H$3,0,0,'Données projet'!$E$15+1,1))</f>
        <v>205.83135724908942</v>
      </c>
      <c r="EP78" s="59">
        <f t="shared" si="100"/>
        <v>193.60053377311405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4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26.862179973304077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26.862179973304077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208</v>
      </c>
      <c r="FC78" s="12">
        <f>VLOOKUP(A78,'Données projet'!$A$217:$I$237,9,0)</f>
        <v>4</v>
      </c>
      <c r="FD78" s="12">
        <f t="array" ref="FD78">INDEX(FC:FC,MIN(IF(ISNUMBER(FC78:FC274),ROW(FC78:FC274),"")))</f>
        <v>4</v>
      </c>
      <c r="FE78" s="12">
        <f>IF('Données projet'!$A$218&gt;35,FE77+FD78-FM77,IF(A78&lt;'Données projet'!$A$218,$FB$205^A78,IF(A78='Données projet'!$A$218,'Données projet'!$B$218,FE77+FD78-FM77)))</f>
        <v>208.00000000000011</v>
      </c>
      <c r="FF78" s="17">
        <f>FE78*VLOOKUP('Données projet'!$B$16,Paramètres!$A$1:$I$89,3,0)*VLOOKUP('Données projet'!$B$16,Paramètres!$A$1:$I$89,5,0)</f>
        <v>136.28160000000008</v>
      </c>
      <c r="FG78" s="13">
        <f t="shared" si="101"/>
        <v>35.443842312892279</v>
      </c>
      <c r="FH78" s="20">
        <f t="shared" si="76"/>
        <v>299.08847869495418</v>
      </c>
      <c r="FI78" s="59">
        <f t="shared" si="77"/>
        <v>581.31952514320869</v>
      </c>
      <c r="FJ78" s="59">
        <f ca="1">AVERAGE(OFFSET($FI$3,0,0,'Données projet'!$E$16+1,1))-AVERAGE(OFFSET($H$3,0,0,'Données projet'!$E$16+1,1))</f>
        <v>242.76791261317206</v>
      </c>
      <c r="FK78" s="59">
        <f t="shared" si="102"/>
        <v>244.28580264867682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16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37.123071002449194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37.123071002449194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254.89</v>
      </c>
      <c r="FX78" s="12">
        <f>VLOOKUP(A78,'Données projet'!$A$243:$I$263,9,0)</f>
        <v>7.8049999999999962</v>
      </c>
      <c r="FY78" s="12">
        <f t="array" ref="FY78">INDEX(FX:FX,MIN(IF(ISNUMBER(FX78:FX274),ROW(FX78:FX274),"")))</f>
        <v>7.8049999999999962</v>
      </c>
      <c r="FZ78" s="12">
        <f>IF('Données projet'!$A$244&gt;35,FZ77+FY78-GH77,IF(A78&lt;'Données projet'!$A$244,$FW$205^A78,IF(A78='Données projet'!$A$244,'Données projet'!$B$244,FZ77+FY78-GH77)))</f>
        <v>254.89000000000007</v>
      </c>
      <c r="GA78" s="17">
        <f>FZ78*VLOOKUP('Données projet'!$B$17,Paramètres!$A$1:$I$89,3,0)*VLOOKUP('Données projet'!$B$17,Paramètres!$A$1:$I$89,5,0)</f>
        <v>242.55332400000006</v>
      </c>
      <c r="GB78" s="13">
        <f t="shared" si="103"/>
        <v>58.988551764844736</v>
      </c>
      <c r="GC78" s="20">
        <f t="shared" si="79"/>
        <v>525.18543362377125</v>
      </c>
      <c r="GD78" s="59">
        <f t="shared" si="80"/>
        <v>807.41648007202571</v>
      </c>
      <c r="GE78" s="59">
        <f ca="1">AVERAGE(OFFSET($GD$3,0,0,'Données projet'!$E$17+1,1))-AVERAGE(OFFSET($H$3,0,0,'Données projet'!$E$17+1,1))</f>
        <v>512.71941256120977</v>
      </c>
      <c r="GF78" s="59">
        <f t="shared" si="104"/>
        <v>230.65031527019354</v>
      </c>
      <c r="GG78" s="15">
        <f>IF(ISNA(VLOOKUP(A78,'Données projet'!$A$243:$I$263,3,0)),0,VLOOKUP(A78,'Données projet'!$A$243:$I$263,3,0))</f>
        <v>5</v>
      </c>
      <c r="GH78" s="15">
        <f>IF(ISNA(VLOOKUP(A78,'Données projet'!$A$243:$I$263,4,0)),0,VLOOKUP(A78,'Données projet'!$A$243:$I$263,4,0))</f>
        <v>39.54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80.795759664857556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80.795759664857556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66.972103576796684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-5.6843418860808015E-14</v>
      </c>
      <c r="GV78" s="17">
        <f>GU78*VLOOKUP('Données projet'!$B$18,Paramètres!$A$1:$I$89,3,0)*VLOOKUP('Données projet'!$B$18,Paramètres!$A$1:$I$89,5,0)</f>
        <v>-2.5006556825246661E-14</v>
      </c>
      <c r="GW78" s="13" t="e">
        <f t="shared" si="105"/>
        <v>#NUM!</v>
      </c>
      <c r="GX78" s="20" t="e">
        <f t="shared" si="82"/>
        <v>#NUM!</v>
      </c>
      <c r="GY78" s="59" t="e">
        <f t="shared" si="83"/>
        <v>#NUM!</v>
      </c>
      <c r="GZ78" s="59">
        <f ca="1">AVERAGE(OFFSET($GY$3,0,0,'Données projet'!$E$18+1,1))-AVERAGE(OFFSET($H$3,0,0,'Données projet'!$E$18+1,1))</f>
        <v>180.68917161146683</v>
      </c>
      <c r="HA78" s="59">
        <f t="shared" si="106"/>
        <v>344.42126252322419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26.227958668966394</v>
      </c>
      <c r="HH78" s="21">
        <f>EXP(-LN(2)/25)*HH77+(1-EXP(-LN(2)/25))/(LN(2)/25)*Calculateur!HC78*Calculateur!HE78*VLOOKUP('Données projet'!$B$18,Paramètres!$A$1:$I$89,3,0)*0.475*44/12</f>
        <v>4.7568802526944278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30.984838921660824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2.25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8.25</v>
      </c>
      <c r="H79" s="66">
        <f t="shared" si="56"/>
        <v>223.66666666666666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7.6022222222222204</v>
      </c>
      <c r="N79" s="13">
        <f>IF('Données projet'!$A$36&gt;35,N78+M79-V78,IF(A79&lt;'Données projet'!$A$36,$K$205^A79,IF(A79='Données projet'!$A$36,'Données projet'!$B$36,N78+M79-V78)))</f>
        <v>222.95222222222228</v>
      </c>
      <c r="O79" s="13">
        <f>N79*VLOOKUP('Données projet'!$B$9,Paramètres!$A$1:$I$89,3,0)*VLOOKUP('Données projet'!$B$9,Paramètres!$A$1:$I$89,5,0)</f>
        <v>201.72717066666669</v>
      </c>
      <c r="P79" s="13">
        <f t="shared" si="87"/>
        <v>50.123557392624321</v>
      </c>
      <c r="Q79" s="20">
        <f t="shared" si="54"/>
        <v>438.64001803659852</v>
      </c>
      <c r="R79" s="59">
        <f t="shared" si="55"/>
        <v>721.06366434131405</v>
      </c>
      <c r="S79" s="59">
        <f ca="1">AVERAGE(OFFSET($R$3,0,0,'Données projet'!$E$9+1,1))-AVERAGE(OFFSET($H$3,0,0,'Données projet'!$E$9+1,1))</f>
        <v>490.57849401500789</v>
      </c>
      <c r="T79" s="59">
        <f t="shared" si="88"/>
        <v>221.7570623669753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75.315761273866684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75.315761273866684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6.3850000000000016</v>
      </c>
      <c r="AI79" s="13">
        <f>IF('Données projet'!$A$62&gt;35,AI78+AH79-AQ78,IF(A79&lt;'Données projet'!$A$62,$AF$205^A79,IF(A79='Données projet'!$A$62,'Données projet'!$B$62,AI78+AH79-AQ78)))</f>
        <v>196.13500000000002</v>
      </c>
      <c r="AJ79" s="13">
        <f>AI79*VLOOKUP('Données projet'!$B$10,Paramètres!$A$1:$I$89,3,0)*VLOOKUP('Données projet'!$B$10,Paramètres!$A$1:$I$89,5,0)</f>
        <v>131.56735800000001</v>
      </c>
      <c r="AK79" s="13">
        <f t="shared" si="89"/>
        <v>34.358276747524712</v>
      </c>
      <c r="AL79" s="20">
        <f t="shared" si="58"/>
        <v>288.98714718527225</v>
      </c>
      <c r="AM79" s="59">
        <f t="shared" si="59"/>
        <v>571.41079348998778</v>
      </c>
      <c r="AN79" s="59">
        <f ca="1">AVERAGE(OFFSET($AM$3,0,0,'Données projet'!$E$10+1,1))-AVERAGE(OFFSET($H$3,0,0,'Données projet'!$E$10+1,1))</f>
        <v>377.00534440335832</v>
      </c>
      <c r="AO79" s="59">
        <f t="shared" si="90"/>
        <v>131.56029120000656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33.457716730402765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33.457716730402765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3.2</v>
      </c>
      <c r="BD79" s="12">
        <f>IF('Données projet'!$A$88&gt;35,BD78+BC79-BL78,IF(A79&lt;'Données projet'!$A$88,$BA$205^A79,IF(A79='Données projet'!$A$88,'Données projet'!$B$88,BD78+BC79-BL78)))</f>
        <v>195.19999999999996</v>
      </c>
      <c r="BE79" s="13">
        <f>BD79*VLOOKUP('Données projet'!$B$11,Paramètres!$A$1:$I$89,3,0)*VLOOKUP('Données projet'!$B$11,Paramètres!$A$1:$I$89,5,0)</f>
        <v>170.52671999999998</v>
      </c>
      <c r="BF79" s="13">
        <f t="shared" si="91"/>
        <v>43.207970095682747</v>
      </c>
      <c r="BG79" s="20">
        <f t="shared" si="61"/>
        <v>372.25458524998072</v>
      </c>
      <c r="BH79" s="59">
        <f t="shared" si="62"/>
        <v>654.67823155469637</v>
      </c>
      <c r="BI79" s="59">
        <f ca="1">AVERAGE(OFFSET($BH$3,0,0,'Données projet'!$E$11+1,1))-AVERAGE(OFFSET($H$3,0,0,'Données projet'!$E$11+1,1))</f>
        <v>314.1123649635374</v>
      </c>
      <c r="BJ79" s="59">
        <f t="shared" si="92"/>
        <v>274.92342227914889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41.050566821435453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41.050566821435453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738.37192340281968</v>
      </c>
      <c r="CD79" s="59">
        <f ca="1">AVERAGE(OFFSET($CC$3,0,0,'Données projet'!$E$12+1,1))-AVERAGE(OFFSET($H$3,0,0,'Données projet'!$E$12+1,1))</f>
        <v>309.86296291630748</v>
      </c>
      <c r="CE79" s="59">
        <f t="shared" si="94"/>
        <v>301.17633325088661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42.926981300913802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42.926981300913802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8.8000000000000007</v>
      </c>
      <c r="CT79" s="12">
        <f>IF('Données projet'!$A$140&gt;35,CT78+CS79-DB78,IF(A79&lt;'Données projet'!$A$140,$CQ$205^A79,IF(A79='Données projet'!$A$140,'Données projet'!$B$140,CT78+CS79-DB78)))</f>
        <v>315.79999999999984</v>
      </c>
      <c r="CU79" s="17">
        <f>CT79*VLOOKUP('Données projet'!$B$13,Paramètres!$A$1:$I$89,3,0)*VLOOKUP('Données projet'!$B$13,Paramètres!$A$1:$I$89,5,0)</f>
        <v>270.95639999999986</v>
      </c>
      <c r="CV79" s="13">
        <f t="shared" si="95"/>
        <v>65.052199716598722</v>
      </c>
      <c r="CW79" s="20">
        <f t="shared" si="67"/>
        <v>585.21497783974257</v>
      </c>
      <c r="CX79" s="59">
        <f t="shared" si="68"/>
        <v>867.63862414445816</v>
      </c>
      <c r="CY79" s="59">
        <f ca="1">AVERAGE(OFFSET($CX$3,0,0,'Données projet'!$E$13+1,1))-AVERAGE(OFFSET($H$3,0,0,'Données projet'!$E$13+1,1))</f>
        <v>462.66388549889928</v>
      </c>
      <c r="CZ79" s="59">
        <f t="shared" si="96"/>
        <v>265.3725203415089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86.33627667947097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86.33627667947097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210.25641030000014</v>
      </c>
      <c r="DP79" s="17">
        <f>DO79*VLOOKUP('Données projet'!$B$14,Paramètres!$A$1:$I$89,3,0)*VLOOKUP('Données projet'!$B$14,Paramètres!$A$1:$I$89,5,0)</f>
        <v>164.00000003400012</v>
      </c>
      <c r="DQ79" s="13">
        <f t="shared" si="97"/>
        <v>41.743425916009095</v>
      </c>
      <c r="DR79" s="20">
        <f t="shared" si="70"/>
        <v>358.3364668629327</v>
      </c>
      <c r="DS79" s="59">
        <f t="shared" si="71"/>
        <v>640.76011316764834</v>
      </c>
      <c r="DT79" s="59">
        <f ca="1">AVERAGE(OFFSET($DS$3,0,0,'Données projet'!$E$14+1,1))-AVERAGE(OFFSET($H$3,0,0,'Données projet'!$E$14+1,1))</f>
        <v>206.5241977687125</v>
      </c>
      <c r="DU79" s="59">
        <f t="shared" si="98"/>
        <v>205.25001043771269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28.114429002787496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28.114429002787496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1.6</v>
      </c>
      <c r="EJ79" s="12">
        <f>IF('Données projet'!$A$192&gt;35,EJ78+EI79-ER78,IF(A79&lt;'Données projet'!$A$192,$EG$205^A79,IF(A79='Données projet'!$A$192,'Données projet'!$B$192,EJ78+EI79-ER78)))</f>
        <v>152.59999999999994</v>
      </c>
      <c r="EK79" s="17">
        <f>EJ79*VLOOKUP('Données projet'!$B$15,Paramètres!$A$1:$I$89,3,0)*VLOOKUP('Données projet'!$B$15,Paramètres!$A$1:$I$89,5,0)</f>
        <v>133.31135999999998</v>
      </c>
      <c r="EL79" s="13">
        <f t="shared" si="99"/>
        <v>34.760393689821633</v>
      </c>
      <c r="EM79" s="20">
        <f t="shared" si="73"/>
        <v>292.72497100977256</v>
      </c>
      <c r="EN79" s="59">
        <f t="shared" si="74"/>
        <v>575.14861731448809</v>
      </c>
      <c r="EO79" s="59">
        <f ca="1">AVERAGE(OFFSET($EN$3,0,0,'Données projet'!$E$15+1,1))-AVERAGE(OFFSET($H$3,0,0,'Données projet'!$E$15+1,1))</f>
        <v>205.83135724908942</v>
      </c>
      <c r="EP79" s="59">
        <f t="shared" si="100"/>
        <v>193.60053377311405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26.335429008339553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26.335429008339553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3.8</v>
      </c>
      <c r="FE79" s="12">
        <f>IF('Données projet'!$A$218&gt;35,FE78+FD79-FM78,IF(A79&lt;'Données projet'!$A$218,$FB$205^A79,IF(A79='Données projet'!$A$218,'Données projet'!$B$218,FE78+FD79-FM78)))</f>
        <v>195.80000000000013</v>
      </c>
      <c r="FF79" s="17">
        <f>FE79*VLOOKUP('Données projet'!$B$16,Paramètres!$A$1:$I$89,3,0)*VLOOKUP('Données projet'!$B$16,Paramètres!$A$1:$I$89,5,0)</f>
        <v>128.28816000000009</v>
      </c>
      <c r="FG79" s="13">
        <f t="shared" si="101"/>
        <v>33.600498728056088</v>
      </c>
      <c r="FH79" s="20">
        <f t="shared" si="76"/>
        <v>281.95608061803119</v>
      </c>
      <c r="FI79" s="59">
        <f t="shared" si="77"/>
        <v>564.37972692274684</v>
      </c>
      <c r="FJ79" s="59">
        <f ca="1">AVERAGE(OFFSET($FI$3,0,0,'Données projet'!$E$16+1,1))-AVERAGE(OFFSET($H$3,0,0,'Données projet'!$E$16+1,1))</f>
        <v>242.76791261317206</v>
      </c>
      <c r="FK79" s="59">
        <f t="shared" si="102"/>
        <v>244.28580264867682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36.395110222928679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36.395110222928679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7.6022222222222204</v>
      </c>
      <c r="FZ79" s="12">
        <f>IF('Données projet'!$A$244&gt;35,FZ78+FY79-GH78,IF(A79&lt;'Données projet'!$A$244,$FW$205^A79,IF(A79='Données projet'!$A$244,'Données projet'!$B$244,FZ78+FY79-GH78)))</f>
        <v>222.95222222222228</v>
      </c>
      <c r="GA79" s="17">
        <f>FZ79*VLOOKUP('Données projet'!$B$17,Paramètres!$A$1:$I$89,3,0)*VLOOKUP('Données projet'!$B$17,Paramètres!$A$1:$I$89,5,0)</f>
        <v>212.1613346666667</v>
      </c>
      <c r="GB79" s="13">
        <f t="shared" si="103"/>
        <v>52.407609868475674</v>
      </c>
      <c r="GC79" s="20">
        <f t="shared" si="79"/>
        <v>460.79091173203955</v>
      </c>
      <c r="GD79" s="59">
        <f t="shared" si="80"/>
        <v>743.21455803675508</v>
      </c>
      <c r="GE79" s="59">
        <f ca="1">AVERAGE(OFFSET($GD$3,0,0,'Données projet'!$E$17+1,1))-AVERAGE(OFFSET($H$3,0,0,'Données projet'!$E$17+1,1))</f>
        <v>512.71941256120977</v>
      </c>
      <c r="GF79" s="59">
        <f t="shared" si="104"/>
        <v>230.65031527019354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79.211404098377045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79.211404098377045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67.024630810376976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-5.6843418860808015E-14</v>
      </c>
      <c r="GV79" s="17">
        <f>GU79*VLOOKUP('Données projet'!$B$18,Paramètres!$A$1:$I$89,3,0)*VLOOKUP('Données projet'!$B$18,Paramètres!$A$1:$I$89,5,0)</f>
        <v>-2.5006556825246661E-14</v>
      </c>
      <c r="GW79" s="13" t="e">
        <f t="shared" si="105"/>
        <v>#NUM!</v>
      </c>
      <c r="GX79" s="20" t="e">
        <f t="shared" si="82"/>
        <v>#NUM!</v>
      </c>
      <c r="GY79" s="59" t="e">
        <f t="shared" si="83"/>
        <v>#NUM!</v>
      </c>
      <c r="GZ79" s="59">
        <f ca="1">AVERAGE(OFFSET($GY$3,0,0,'Données projet'!$E$18+1,1))-AVERAGE(OFFSET($H$3,0,0,'Données projet'!$E$18+1,1))</f>
        <v>180.68917161146683</v>
      </c>
      <c r="HA79" s="59">
        <f t="shared" si="106"/>
        <v>344.42126252322419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25.713644396943131</v>
      </c>
      <c r="HH79" s="21">
        <f>EXP(-LN(2)/25)*HH78+(1-EXP(-LN(2)/25))/(LN(2)/25)*Calculateur!HC79*Calculateur!HE79*VLOOKUP('Données projet'!$B$18,Paramètres!$A$1:$I$89,3,0)*0.475*44/12</f>
        <v>4.6268031120310384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30.340447508974169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2.25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8.25</v>
      </c>
      <c r="H80" s="66">
        <f t="shared" si="56"/>
        <v>223.66666666666666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7.6022222222222204</v>
      </c>
      <c r="N80" s="13">
        <f>IF('Données projet'!$A$36&gt;35,N79+M80-V79,IF(A80&lt;'Données projet'!$A$36,$K$205^A80,IF(A80='Données projet'!$A$36,'Données projet'!$B$36,N79+M80-V79)))</f>
        <v>230.5544444444445</v>
      </c>
      <c r="O80" s="13">
        <f>N80*VLOOKUP('Données projet'!$B$9,Paramètres!$A$1:$I$89,3,0)*VLOOKUP('Données projet'!$B$9,Paramètres!$A$1:$I$89,5,0)</f>
        <v>208.60566133333339</v>
      </c>
      <c r="P80" s="13">
        <f t="shared" si="87"/>
        <v>51.630769581843552</v>
      </c>
      <c r="Q80" s="20">
        <f t="shared" si="54"/>
        <v>453.24511717726642</v>
      </c>
      <c r="R80" s="59">
        <f t="shared" si="55"/>
        <v>735.85802216152229</v>
      </c>
      <c r="S80" s="59">
        <f ca="1">AVERAGE(OFFSET($R$3,0,0,'Données projet'!$E$9+1,1))-AVERAGE(OFFSET($H$3,0,0,'Données projet'!$E$9+1,1))</f>
        <v>490.57849401500789</v>
      </c>
      <c r="T80" s="59">
        <f t="shared" si="88"/>
        <v>221.7570623669753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73.838865133364521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73.838865133364521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>
        <f>VLOOKUP(A80,'Données projet'!$A$61:$I$81,2,0)</f>
        <v>202.52</v>
      </c>
      <c r="AG80" s="12">
        <f>VLOOKUP(A80,'Données projet'!$A$61:$I$81,9,0)</f>
        <v>6.3850000000000016</v>
      </c>
      <c r="AH80" s="12">
        <f t="array" ref="AH80">INDEX(AG:AG,MIN(IF(ISNUMBER(AG80:AG276),ROW(AG80:AG276),"")))</f>
        <v>6.3850000000000016</v>
      </c>
      <c r="AI80" s="13">
        <f>IF('Données projet'!$A$62&gt;35,AI79+AH80-AQ79,IF(A80&lt;'Données projet'!$A$62,$AF$205^A80,IF(A80='Données projet'!$A$62,'Données projet'!$B$62,AI79+AH80-AQ79)))</f>
        <v>202.52</v>
      </c>
      <c r="AJ80" s="13">
        <f>AI80*VLOOKUP('Données projet'!$B$10,Paramètres!$A$1:$I$89,3,0)*VLOOKUP('Données projet'!$B$10,Paramètres!$A$1:$I$89,5,0)</f>
        <v>135.85041600000002</v>
      </c>
      <c r="AK80" s="13">
        <f t="shared" si="89"/>
        <v>35.344735850501365</v>
      </c>
      <c r="AL80" s="20">
        <f t="shared" si="58"/>
        <v>298.16488947295659</v>
      </c>
      <c r="AM80" s="59">
        <f t="shared" si="59"/>
        <v>580.77779445721239</v>
      </c>
      <c r="AN80" s="59">
        <f ca="1">AVERAGE(OFFSET($AM$3,0,0,'Données projet'!$E$10+1,1))-AVERAGE(OFFSET($H$3,0,0,'Données projet'!$E$10+1,1))</f>
        <v>377.00534440335832</v>
      </c>
      <c r="AO80" s="59">
        <f t="shared" si="90"/>
        <v>131.56029120000656</v>
      </c>
      <c r="AP80" s="15">
        <f>IF(ISNA(VLOOKUP(A80,'Données projet'!$A$61:$I$81,3,0)),0,VLOOKUP(A80,'Données projet'!$A$61:$I$81,3,0))</f>
        <v>3</v>
      </c>
      <c r="AQ80" s="15">
        <f>IF(ISNA(VLOOKUP(A80,'Données projet'!$A$61:$I$81,4,0)),0,VLOOKUP(A80,'Données projet'!$A$61:$I$81,4,0))</f>
        <v>31.56</v>
      </c>
      <c r="AR80" s="16">
        <f>IF(ISNA(VLOOKUP(A80,'Données projet'!$A$61:$I$81,5,0)),0%,VLOOKUP(A80,'Données projet'!$A$61:$I$81,5,0)*VLOOKUP('Données projet'!$B$10,Paramètres!$A$1:$I$89,7,0))</f>
        <v>0.53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45.205382000796298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45.205382000796298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3.2</v>
      </c>
      <c r="BD80" s="12">
        <f>IF('Données projet'!$A$88&gt;35,BD79+BC80-BL79,IF(A80&lt;'Données projet'!$A$88,$BA$205^A80,IF(A80='Données projet'!$A$88,'Données projet'!$B$88,BD79+BC80-BL79)))</f>
        <v>198.39999999999995</v>
      </c>
      <c r="BE80" s="13">
        <f>BD80*VLOOKUP('Données projet'!$B$11,Paramètres!$A$1:$I$89,3,0)*VLOOKUP('Données projet'!$B$11,Paramètres!$A$1:$I$89,5,0)</f>
        <v>173.32223999999999</v>
      </c>
      <c r="BF80" s="13">
        <f t="shared" si="91"/>
        <v>43.833254629845122</v>
      </c>
      <c r="BG80" s="20">
        <f t="shared" si="61"/>
        <v>378.2124864803136</v>
      </c>
      <c r="BH80" s="59">
        <f t="shared" si="62"/>
        <v>660.82539146456952</v>
      </c>
      <c r="BI80" s="59">
        <f ca="1">AVERAGE(OFFSET($BH$3,0,0,'Données projet'!$E$11+1,1))-AVERAGE(OFFSET($H$3,0,0,'Données projet'!$E$11+1,1))</f>
        <v>314.1123649635374</v>
      </c>
      <c r="BJ80" s="59">
        <f t="shared" si="92"/>
        <v>274.92342227914889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40.245590244440528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40.245590244440528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743.28844362586653</v>
      </c>
      <c r="CD80" s="59">
        <f ca="1">AVERAGE(OFFSET($CC$3,0,0,'Données projet'!$E$12+1,1))-AVERAGE(OFFSET($H$3,0,0,'Données projet'!$E$12+1,1))</f>
        <v>309.86296291630748</v>
      </c>
      <c r="CE80" s="59">
        <f t="shared" si="94"/>
        <v>301.17633325088661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42.08520938047613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42.08520938047613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8.8000000000000007</v>
      </c>
      <c r="CT80" s="12">
        <f>IF('Données projet'!$A$140&gt;35,CT79+CS80-DB79,IF(A80&lt;'Données projet'!$A$140,$CQ$205^A80,IF(A80='Données projet'!$A$140,'Données projet'!$B$140,CT79+CS80-DB79)))</f>
        <v>324.59999999999985</v>
      </c>
      <c r="CU80" s="17">
        <f>CT80*VLOOKUP('Données projet'!$B$13,Paramètres!$A$1:$I$89,3,0)*VLOOKUP('Données projet'!$B$13,Paramètres!$A$1:$I$89,5,0)</f>
        <v>278.50679999999994</v>
      </c>
      <c r="CV80" s="13">
        <f t="shared" si="95"/>
        <v>66.651354661909949</v>
      </c>
      <c r="CW80" s="20">
        <f t="shared" si="67"/>
        <v>601.15045270282633</v>
      </c>
      <c r="CX80" s="59">
        <f t="shared" si="68"/>
        <v>883.76335768708213</v>
      </c>
      <c r="CY80" s="59">
        <f ca="1">AVERAGE(OFFSET($CX$3,0,0,'Données projet'!$E$13+1,1))-AVERAGE(OFFSET($H$3,0,0,'Données projet'!$E$13+1,1))</f>
        <v>462.66388549889928</v>
      </c>
      <c r="CZ80" s="59">
        <f t="shared" si="96"/>
        <v>265.3725203415089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84.643274953715576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84.643274953715576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210.25641030000014</v>
      </c>
      <c r="DP80" s="17">
        <f>DO80*VLOOKUP('Données projet'!$B$14,Paramètres!$A$1:$I$89,3,0)*VLOOKUP('Données projet'!$B$14,Paramètres!$A$1:$I$89,5,0)</f>
        <v>164.00000003400012</v>
      </c>
      <c r="DQ80" s="13">
        <f t="shared" si="97"/>
        <v>41.743425916009095</v>
      </c>
      <c r="DR80" s="20">
        <f t="shared" si="70"/>
        <v>358.3364668629327</v>
      </c>
      <c r="DS80" s="59">
        <f t="shared" si="71"/>
        <v>640.94937184718856</v>
      </c>
      <c r="DT80" s="59">
        <f ca="1">AVERAGE(OFFSET($DS$3,0,0,'Données projet'!$E$14+1,1))-AVERAGE(OFFSET($H$3,0,0,'Données projet'!$E$14+1,1))</f>
        <v>206.5241977687125</v>
      </c>
      <c r="DU80" s="59">
        <f t="shared" si="98"/>
        <v>205.25001043771269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27.563122198151291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27.563122198151291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1.6</v>
      </c>
      <c r="EJ80" s="12">
        <f>IF('Données projet'!$A$192&gt;35,EJ79+EI80-ER79,IF(A80&lt;'Données projet'!$A$192,$EG$205^A80,IF(A80='Données projet'!$A$192,'Données projet'!$B$192,EJ79+EI80-ER79)))</f>
        <v>154.19999999999993</v>
      </c>
      <c r="EK80" s="17">
        <f>EJ80*VLOOKUP('Données projet'!$B$15,Paramètres!$A$1:$I$89,3,0)*VLOOKUP('Données projet'!$B$15,Paramètres!$A$1:$I$89,5,0)</f>
        <v>134.70911999999996</v>
      </c>
      <c r="EL80" s="13">
        <f t="shared" si="99"/>
        <v>35.082234990312983</v>
      </c>
      <c r="EM80" s="20">
        <f t="shared" si="73"/>
        <v>295.71994327479496</v>
      </c>
      <c r="EN80" s="59">
        <f t="shared" si="74"/>
        <v>578.33284825905082</v>
      </c>
      <c r="EO80" s="59">
        <f ca="1">AVERAGE(OFFSET($EN$3,0,0,'Données projet'!$E$15+1,1))-AVERAGE(OFFSET($H$3,0,0,'Données projet'!$E$15+1,1))</f>
        <v>205.83135724908942</v>
      </c>
      <c r="EP80" s="59">
        <f t="shared" si="100"/>
        <v>193.60053377311405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25.819007308511615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25.819007308511615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3.8</v>
      </c>
      <c r="FE80" s="12">
        <f>IF('Données projet'!$A$218&gt;35,FE79+FD80-FM79,IF(A80&lt;'Données projet'!$A$218,$FB$205^A80,IF(A80='Données projet'!$A$218,'Données projet'!$B$218,FE79+FD80-FM79)))</f>
        <v>199.60000000000014</v>
      </c>
      <c r="FF80" s="17">
        <f>FE80*VLOOKUP('Données projet'!$B$16,Paramètres!$A$1:$I$89,3,0)*VLOOKUP('Données projet'!$B$16,Paramètres!$A$1:$I$89,5,0)</f>
        <v>130.77792000000008</v>
      </c>
      <c r="FG80" s="13">
        <f t="shared" si="101"/>
        <v>34.176051340149542</v>
      </c>
      <c r="FH80" s="20">
        <f t="shared" si="76"/>
        <v>287.29483341742724</v>
      </c>
      <c r="FI80" s="59">
        <f t="shared" si="77"/>
        <v>569.9077384016831</v>
      </c>
      <c r="FJ80" s="59">
        <f ca="1">AVERAGE(OFFSET($FI$3,0,0,'Données projet'!$E$16+1,1))-AVERAGE(OFFSET($H$3,0,0,'Données projet'!$E$16+1,1))</f>
        <v>242.76791261317206</v>
      </c>
      <c r="FK80" s="59">
        <f t="shared" si="102"/>
        <v>244.28580264867682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35.681424310282331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35.681424310282331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7.6022222222222204</v>
      </c>
      <c r="FZ80" s="12">
        <f>IF('Données projet'!$A$244&gt;35,FZ79+FY80-GH79,IF(A80&lt;'Données projet'!$A$244,$FW$205^A80,IF(A80='Données projet'!$A$244,'Données projet'!$B$244,FZ79+FY80-GH79)))</f>
        <v>230.5544444444445</v>
      </c>
      <c r="GA80" s="17">
        <f>FZ80*VLOOKUP('Données projet'!$B$17,Paramètres!$A$1:$I$89,3,0)*VLOOKUP('Données projet'!$B$17,Paramètres!$A$1:$I$89,5,0)</f>
        <v>219.39560933333337</v>
      </c>
      <c r="GB80" s="13">
        <f t="shared" si="103"/>
        <v>53.983503370664202</v>
      </c>
      <c r="GC80" s="20">
        <f t="shared" si="79"/>
        <v>476.1352879594624</v>
      </c>
      <c r="GD80" s="59">
        <f t="shared" si="80"/>
        <v>758.74819294371832</v>
      </c>
      <c r="GE80" s="59">
        <f ca="1">AVERAGE(OFFSET($GD$3,0,0,'Données projet'!$E$17+1,1))-AVERAGE(OFFSET($H$3,0,0,'Données projet'!$E$17+1,1))</f>
        <v>512.71941256120977</v>
      </c>
      <c r="GF80" s="59">
        <f t="shared" si="104"/>
        <v>230.65031527019354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77.658116778193744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77.658116778193744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67.076246813887963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-5.6843418860808015E-14</v>
      </c>
      <c r="GV80" s="17">
        <f>GU80*VLOOKUP('Données projet'!$B$18,Paramètres!$A$1:$I$89,3,0)*VLOOKUP('Données projet'!$B$18,Paramètres!$A$1:$I$89,5,0)</f>
        <v>-2.5006556825246661E-14</v>
      </c>
      <c r="GW80" s="13" t="e">
        <f t="shared" si="105"/>
        <v>#NUM!</v>
      </c>
      <c r="GX80" s="20" t="e">
        <f t="shared" si="82"/>
        <v>#NUM!</v>
      </c>
      <c r="GY80" s="59" t="e">
        <f t="shared" si="83"/>
        <v>#NUM!</v>
      </c>
      <c r="GZ80" s="59">
        <f ca="1">AVERAGE(OFFSET($GY$3,0,0,'Données projet'!$E$18+1,1))-AVERAGE(OFFSET($H$3,0,0,'Données projet'!$E$18+1,1))</f>
        <v>180.68917161146683</v>
      </c>
      <c r="HA80" s="59">
        <f t="shared" si="106"/>
        <v>344.42126252322419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25.209415514093514</v>
      </c>
      <c r="HH80" s="21">
        <f>EXP(-LN(2)/25)*HH79+(1-EXP(-LN(2)/25))/(LN(2)/25)*Calculateur!HC80*Calculateur!HE80*VLOOKUP('Données projet'!$B$18,Paramètres!$A$1:$I$89,3,0)*0.475*44/12</f>
        <v>4.5002829376195486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29.709698451713063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2.25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8.25</v>
      </c>
      <c r="H81" s="66">
        <f t="shared" si="56"/>
        <v>223.66666666666666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7.6022222222222204</v>
      </c>
      <c r="N81" s="13">
        <f>IF('Données projet'!$A$36&gt;35,N80+M81-V80,IF(A81&lt;'Données projet'!$A$36,$K$205^A81,IF(A81='Données projet'!$A$36,'Données projet'!$B$36,N80+M81-V80)))</f>
        <v>238.15666666666672</v>
      </c>
      <c r="O81" s="13">
        <f>N81*VLOOKUP('Données projet'!$B$9,Paramètres!$A$1:$I$89,3,0)*VLOOKUP('Données projet'!$B$9,Paramètres!$A$1:$I$89,5,0)</f>
        <v>215.48415200000005</v>
      </c>
      <c r="P81" s="13">
        <f t="shared" si="87"/>
        <v>53.132206871765355</v>
      </c>
      <c r="Q81" s="20">
        <f t="shared" si="54"/>
        <v>467.84015836832464</v>
      </c>
      <c r="R81" s="59">
        <f t="shared" si="55"/>
        <v>750.63903881714987</v>
      </c>
      <c r="S81" s="59">
        <f ca="1">AVERAGE(OFFSET($R$3,0,0,'Données projet'!$E$9+1,1))-AVERAGE(OFFSET($H$3,0,0,'Données projet'!$E$9+1,1))</f>
        <v>490.57849401500789</v>
      </c>
      <c r="T81" s="59">
        <f t="shared" si="88"/>
        <v>221.7570623669753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72.390930025359921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72.390930025359921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6.4788888888888891</v>
      </c>
      <c r="AI81" s="13">
        <f>IF('Données projet'!$A$62&gt;35,AI80+AH81-AQ80,IF(A81&lt;'Données projet'!$A$62,$AF$205^A81,IF(A81='Données projet'!$A$62,'Données projet'!$B$62,AI80+AH81-AQ80)))</f>
        <v>177.4388888888889</v>
      </c>
      <c r="AJ81" s="13">
        <f>AI81*VLOOKUP('Données projet'!$B$10,Paramètres!$A$1:$I$89,3,0)*VLOOKUP('Données projet'!$B$10,Paramètres!$A$1:$I$89,5,0)</f>
        <v>119.02600666666667</v>
      </c>
      <c r="AK81" s="13">
        <f t="shared" si="89"/>
        <v>31.447723707247654</v>
      </c>
      <c r="AL81" s="20">
        <f t="shared" si="58"/>
        <v>262.07508040123412</v>
      </c>
      <c r="AM81" s="59">
        <f t="shared" si="59"/>
        <v>544.87396085005935</v>
      </c>
      <c r="AN81" s="59">
        <f ca="1">AVERAGE(OFFSET($AM$3,0,0,'Données projet'!$E$10+1,1))-AVERAGE(OFFSET($H$3,0,0,'Données projet'!$E$10+1,1))</f>
        <v>377.00534440335832</v>
      </c>
      <c r="AO81" s="59">
        <f t="shared" si="90"/>
        <v>131.56029120000656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44.318932032321136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44.318932032321136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3.2</v>
      </c>
      <c r="BD81" s="12">
        <f>IF('Données projet'!$A$88&gt;35,BD80+BC81-BL80,IF(A81&lt;'Données projet'!$A$88,$BA$205^A81,IF(A81='Données projet'!$A$88,'Données projet'!$B$88,BD80+BC81-BL80)))</f>
        <v>201.59999999999994</v>
      </c>
      <c r="BE81" s="13">
        <f>BD81*VLOOKUP('Données projet'!$B$11,Paramètres!$A$1:$I$89,3,0)*VLOOKUP('Données projet'!$B$11,Paramètres!$A$1:$I$89,5,0)</f>
        <v>176.11775999999998</v>
      </c>
      <c r="BF81" s="13">
        <f t="shared" si="91"/>
        <v>44.457366290237204</v>
      </c>
      <c r="BG81" s="20">
        <f t="shared" si="61"/>
        <v>384.16834495549637</v>
      </c>
      <c r="BH81" s="59">
        <f t="shared" si="62"/>
        <v>666.96722540432154</v>
      </c>
      <c r="BI81" s="59">
        <f ca="1">AVERAGE(OFFSET($BH$3,0,0,'Données projet'!$E$11+1,1))-AVERAGE(OFFSET($H$3,0,0,'Données projet'!$E$11+1,1))</f>
        <v>314.1123649635374</v>
      </c>
      <c r="BJ81" s="59">
        <f t="shared" si="92"/>
        <v>274.92342227914889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39.456398767133244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39.456398767133244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748.20064531317757</v>
      </c>
      <c r="CD81" s="59">
        <f ca="1">AVERAGE(OFFSET($CC$3,0,0,'Données projet'!$E$12+1,1))-AVERAGE(OFFSET($H$3,0,0,'Données projet'!$E$12+1,1))</f>
        <v>309.86296291630748</v>
      </c>
      <c r="CE81" s="59">
        <f t="shared" si="94"/>
        <v>301.17633325088661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41.259944093968066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41.259944093968066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8.8000000000000007</v>
      </c>
      <c r="CT81" s="12">
        <f>IF('Données projet'!$A$140&gt;35,CT80+CS81-DB80,IF(A81&lt;'Données projet'!$A$140,$CQ$205^A81,IF(A81='Données projet'!$A$140,'Données projet'!$B$140,CT80+CS81-DB80)))</f>
        <v>333.39999999999986</v>
      </c>
      <c r="CU81" s="17">
        <f>CT81*VLOOKUP('Données projet'!$B$13,Paramètres!$A$1:$I$89,3,0)*VLOOKUP('Données projet'!$B$13,Paramètres!$A$1:$I$89,5,0)</f>
        <v>286.05719999999991</v>
      </c>
      <c r="CV81" s="13">
        <f t="shared" si="95"/>
        <v>68.24547055517067</v>
      </c>
      <c r="CW81" s="20">
        <f t="shared" si="67"/>
        <v>617.07715121692206</v>
      </c>
      <c r="CX81" s="59">
        <f t="shared" si="68"/>
        <v>899.87603166574718</v>
      </c>
      <c r="CY81" s="59">
        <f ca="1">AVERAGE(OFFSET($CX$3,0,0,'Données projet'!$E$13+1,1))-AVERAGE(OFFSET($H$3,0,0,'Données projet'!$E$13+1,1))</f>
        <v>462.66388549889928</v>
      </c>
      <c r="CZ81" s="59">
        <f t="shared" si="96"/>
        <v>265.3725203415089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82.983471959173158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82.983471959173158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210.25641030000014</v>
      </c>
      <c r="DP81" s="17">
        <f>DO81*VLOOKUP('Données projet'!$B$14,Paramètres!$A$1:$I$89,3,0)*VLOOKUP('Données projet'!$B$14,Paramètres!$A$1:$I$89,5,0)</f>
        <v>164.00000003400012</v>
      </c>
      <c r="DQ81" s="13">
        <f t="shared" si="97"/>
        <v>41.743425916009095</v>
      </c>
      <c r="DR81" s="20">
        <f t="shared" si="70"/>
        <v>358.3364668629327</v>
      </c>
      <c r="DS81" s="59">
        <f t="shared" si="71"/>
        <v>641.13534731175787</v>
      </c>
      <c r="DT81" s="59">
        <f ca="1">AVERAGE(OFFSET($DS$3,0,0,'Données projet'!$E$14+1,1))-AVERAGE(OFFSET($H$3,0,0,'Données projet'!$E$14+1,1))</f>
        <v>206.5241977687125</v>
      </c>
      <c r="DU81" s="59">
        <f t="shared" si="98"/>
        <v>205.25001043771269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27.022626183690054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27.022626183690054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1.6</v>
      </c>
      <c r="EJ81" s="12">
        <f>IF('Données projet'!$A$192&gt;35,EJ80+EI81-ER80,IF(A81&lt;'Données projet'!$A$192,$EG$205^A81,IF(A81='Données projet'!$A$192,'Données projet'!$B$192,EJ80+EI81-ER80)))</f>
        <v>155.79999999999993</v>
      </c>
      <c r="EK81" s="17">
        <f>EJ81*VLOOKUP('Données projet'!$B$15,Paramètres!$A$1:$I$89,3,0)*VLOOKUP('Données projet'!$B$15,Paramètres!$A$1:$I$89,5,0)</f>
        <v>136.10687999999993</v>
      </c>
      <c r="EL81" s="13">
        <f t="shared" si="99"/>
        <v>35.403687803916242</v>
      </c>
      <c r="EM81" s="20">
        <f t="shared" si="73"/>
        <v>298.71423892515395</v>
      </c>
      <c r="EN81" s="59">
        <f t="shared" si="74"/>
        <v>581.51311937397918</v>
      </c>
      <c r="EO81" s="59">
        <f ca="1">AVERAGE(OFFSET($EN$3,0,0,'Données projet'!$E$15+1,1))-AVERAGE(OFFSET($H$3,0,0,'Données projet'!$E$15+1,1))</f>
        <v>205.83135724908942</v>
      </c>
      <c r="EP81" s="59">
        <f t="shared" si="100"/>
        <v>193.60053377311405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25.312712323231171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25.312712323231171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3.8</v>
      </c>
      <c r="FE81" s="12">
        <f>IF('Données projet'!$A$218&gt;35,FE80+FD81-FM80,IF(A81&lt;'Données projet'!$A$218,$FB$205^A81,IF(A81='Données projet'!$A$218,'Données projet'!$B$218,FE80+FD81-FM80)))</f>
        <v>203.40000000000015</v>
      </c>
      <c r="FF81" s="17">
        <f>FE81*VLOOKUP('Données projet'!$B$16,Paramètres!$A$1:$I$89,3,0)*VLOOKUP('Données projet'!$B$16,Paramètres!$A$1:$I$89,5,0)</f>
        <v>133.2676800000001</v>
      </c>
      <c r="FG81" s="13">
        <f t="shared" si="101"/>
        <v>34.750329840004937</v>
      </c>
      <c r="FH81" s="20">
        <f t="shared" si="76"/>
        <v>292.63136713800878</v>
      </c>
      <c r="FI81" s="59">
        <f t="shared" si="77"/>
        <v>575.43024758683396</v>
      </c>
      <c r="FJ81" s="59">
        <f ca="1">AVERAGE(OFFSET($FI$3,0,0,'Données projet'!$E$16+1,1))-AVERAGE(OFFSET($H$3,0,0,'Données projet'!$E$16+1,1))</f>
        <v>242.76791261317206</v>
      </c>
      <c r="FK81" s="59">
        <f t="shared" si="102"/>
        <v>244.28580264867682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34.981733343077558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34.981733343077558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7.6022222222222204</v>
      </c>
      <c r="FZ81" s="12">
        <f>IF('Données projet'!$A$244&gt;35,FZ80+FY81-GH80,IF(A81&lt;'Données projet'!$A$244,$FW$205^A81,IF(A81='Données projet'!$A$244,'Données projet'!$B$244,FZ80+FY81-GH80)))</f>
        <v>238.15666666666672</v>
      </c>
      <c r="GA81" s="17">
        <f>FZ81*VLOOKUP('Données projet'!$B$17,Paramètres!$A$1:$I$89,3,0)*VLOOKUP('Données projet'!$B$17,Paramètres!$A$1:$I$89,5,0)</f>
        <v>226.62988400000003</v>
      </c>
      <c r="GB81" s="13">
        <f t="shared" si="103"/>
        <v>55.553358820384972</v>
      </c>
      <c r="GC81" s="20">
        <f t="shared" si="79"/>
        <v>491.46914791217046</v>
      </c>
      <c r="GD81" s="59">
        <f t="shared" si="80"/>
        <v>774.26802836099569</v>
      </c>
      <c r="GE81" s="59">
        <f ca="1">AVERAGE(OFFSET($GD$3,0,0,'Données projet'!$E$17+1,1))-AVERAGE(OFFSET($H$3,0,0,'Données projet'!$E$17+1,1))</f>
        <v>512.71941256120977</v>
      </c>
      <c r="GF81" s="59">
        <f t="shared" si="104"/>
        <v>230.65031527019354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76.135288474947515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76.135288474947515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67.12696739513413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-5.6843418860808015E-14</v>
      </c>
      <c r="GV81" s="17">
        <f>GU81*VLOOKUP('Données projet'!$B$18,Paramètres!$A$1:$I$89,3,0)*VLOOKUP('Données projet'!$B$18,Paramètres!$A$1:$I$89,5,0)</f>
        <v>-2.5006556825246661E-14</v>
      </c>
      <c r="GW81" s="13" t="e">
        <f t="shared" si="105"/>
        <v>#NUM!</v>
      </c>
      <c r="GX81" s="20" t="e">
        <f t="shared" si="82"/>
        <v>#NUM!</v>
      </c>
      <c r="GY81" s="59" t="e">
        <f t="shared" si="83"/>
        <v>#NUM!</v>
      </c>
      <c r="GZ81" s="59">
        <f ca="1">AVERAGE(OFFSET($GY$3,0,0,'Données projet'!$E$18+1,1))-AVERAGE(OFFSET($H$3,0,0,'Données projet'!$E$18+1,1))</f>
        <v>180.68917161146683</v>
      </c>
      <c r="HA81" s="59">
        <f t="shared" si="106"/>
        <v>344.42126252322419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24.715074252087327</v>
      </c>
      <c r="HH81" s="21">
        <f>EXP(-LN(2)/25)*HH80+(1-EXP(-LN(2)/25))/(LN(2)/25)*Calculateur!HC81*Calculateur!HE81*VLOOKUP('Données projet'!$B$18,Paramètres!$A$1:$I$89,3,0)*0.475*44/12</f>
        <v>4.3772224640307478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29.092296716118074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2.25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8.25</v>
      </c>
      <c r="H82" s="66">
        <f t="shared" si="56"/>
        <v>223.66666666666666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7.6022222222222204</v>
      </c>
      <c r="N82" s="13">
        <f>IF('Données projet'!$A$36&gt;35,N81+M82-V81,IF(A82&lt;'Données projet'!$A$36,$K$205^A82,IF(A82='Données projet'!$A$36,'Données projet'!$B$36,N81+M82-V81)))</f>
        <v>245.75888888888895</v>
      </c>
      <c r="O82" s="13">
        <f>N82*VLOOKUP('Données projet'!$B$9,Paramètres!$A$1:$I$89,3,0)*VLOOKUP('Données projet'!$B$9,Paramètres!$A$1:$I$89,5,0)</f>
        <v>222.36264266666669</v>
      </c>
      <c r="P82" s="13">
        <f t="shared" si="87"/>
        <v>54.628074749793278</v>
      </c>
      <c r="Q82" s="20">
        <f t="shared" si="54"/>
        <v>482.42549950033452</v>
      </c>
      <c r="R82" s="59">
        <f t="shared" si="55"/>
        <v>765.40712915519748</v>
      </c>
      <c r="S82" s="59">
        <f ca="1">AVERAGE(OFFSET($R$3,0,0,'Données projet'!$E$9+1,1))-AVERAGE(OFFSET($H$3,0,0,'Données projet'!$E$9+1,1))</f>
        <v>490.57849401500789</v>
      </c>
      <c r="T82" s="59">
        <f t="shared" si="88"/>
        <v>221.7570623669753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70.971388041670068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70.971388041670068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6.4788888888888891</v>
      </c>
      <c r="AI82" s="13">
        <f>IF('Données projet'!$A$62&gt;35,AI81+AH82-AQ81,IF(A82&lt;'Données projet'!$A$62,$AF$205^A82,IF(A82='Données projet'!$A$62,'Données projet'!$B$62,AI81+AH82-AQ81)))</f>
        <v>183.91777777777779</v>
      </c>
      <c r="AJ82" s="13">
        <f>AI82*VLOOKUP('Données projet'!$B$10,Paramètres!$A$1:$I$89,3,0)*VLOOKUP('Données projet'!$B$10,Paramètres!$A$1:$I$89,5,0)</f>
        <v>123.37204533333335</v>
      </c>
      <c r="AK82" s="13">
        <f t="shared" si="89"/>
        <v>32.460200513635364</v>
      </c>
      <c r="AL82" s="20">
        <f t="shared" si="58"/>
        <v>271.40782818347049</v>
      </c>
      <c r="AM82" s="59">
        <f t="shared" si="59"/>
        <v>554.38945783833344</v>
      </c>
      <c r="AN82" s="59">
        <f ca="1">AVERAGE(OFFSET($AM$3,0,0,'Données projet'!$E$10+1,1))-AVERAGE(OFFSET($H$3,0,0,'Données projet'!$E$10+1,1))</f>
        <v>377.00534440335832</v>
      </c>
      <c r="AO82" s="59">
        <f t="shared" si="90"/>
        <v>131.56029120000656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43.44986480704668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43.44986480704668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3.2</v>
      </c>
      <c r="BD82" s="12">
        <f>IF('Données projet'!$A$88&gt;35,BD81+BC82-BL81,IF(A82&lt;'Données projet'!$A$88,$BA$205^A82,IF(A82='Données projet'!$A$88,'Données projet'!$B$88,BD81+BC82-BL81)))</f>
        <v>204.79999999999993</v>
      </c>
      <c r="BE82" s="13">
        <f>BD82*VLOOKUP('Données projet'!$B$11,Paramètres!$A$1:$I$89,3,0)*VLOOKUP('Données projet'!$B$11,Paramètres!$A$1:$I$89,5,0)</f>
        <v>178.91327999999996</v>
      </c>
      <c r="BF82" s="13">
        <f t="shared" si="91"/>
        <v>45.080325843494805</v>
      </c>
      <c r="BG82" s="20">
        <f t="shared" si="61"/>
        <v>390.12219684408677</v>
      </c>
      <c r="BH82" s="59">
        <f t="shared" si="62"/>
        <v>673.10382649894973</v>
      </c>
      <c r="BI82" s="59">
        <f ca="1">AVERAGE(OFFSET($BH$3,0,0,'Données projet'!$E$11+1,1))-AVERAGE(OFFSET($H$3,0,0,'Données projet'!$E$11+1,1))</f>
        <v>314.1123649635374</v>
      </c>
      <c r="BJ82" s="59">
        <f t="shared" si="92"/>
        <v>274.92342227914889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38.682682853336686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38.682682853336686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753.10859742746561</v>
      </c>
      <c r="CD82" s="59">
        <f ca="1">AVERAGE(OFFSET($CC$3,0,0,'Données projet'!$E$12+1,1))-AVERAGE(OFFSET($H$3,0,0,'Données projet'!$E$12+1,1))</f>
        <v>309.86296291630748</v>
      </c>
      <c r="CE82" s="59">
        <f t="shared" si="94"/>
        <v>301.17633325088661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40.450861756366308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40.450861756366308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8.8000000000000007</v>
      </c>
      <c r="CT82" s="12">
        <f>IF('Données projet'!$A$140&gt;35,CT81+CS82-DB81,IF(A82&lt;'Données projet'!$A$140,$CQ$205^A82,IF(A82='Données projet'!$A$140,'Données projet'!$B$140,CT81+CS82-DB81)))</f>
        <v>342.19999999999987</v>
      </c>
      <c r="CU82" s="17">
        <f>CT82*VLOOKUP('Données projet'!$B$13,Paramètres!$A$1:$I$89,3,0)*VLOOKUP('Données projet'!$B$13,Paramètres!$A$1:$I$89,5,0)</f>
        <v>293.60759999999993</v>
      </c>
      <c r="CV82" s="13">
        <f t="shared" si="95"/>
        <v>69.834695689453682</v>
      </c>
      <c r="CW82" s="20">
        <f t="shared" si="67"/>
        <v>632.99533165913169</v>
      </c>
      <c r="CX82" s="59">
        <f t="shared" si="68"/>
        <v>915.97696131399471</v>
      </c>
      <c r="CY82" s="59">
        <f ca="1">AVERAGE(OFFSET($CX$3,0,0,'Données projet'!$E$13+1,1))-AVERAGE(OFFSET($H$3,0,0,'Données projet'!$E$13+1,1))</f>
        <v>462.66388549889928</v>
      </c>
      <c r="CZ82" s="59">
        <f t="shared" si="96"/>
        <v>265.3725203415089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81.356216688973859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81.356216688973859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210.25641030000014</v>
      </c>
      <c r="DP82" s="17">
        <f>DO82*VLOOKUP('Données projet'!$B$14,Paramètres!$A$1:$I$89,3,0)*VLOOKUP('Données projet'!$B$14,Paramètres!$A$1:$I$89,5,0)</f>
        <v>164.00000003400012</v>
      </c>
      <c r="DQ82" s="13">
        <f t="shared" si="97"/>
        <v>41.743425916009095</v>
      </c>
      <c r="DR82" s="20">
        <f t="shared" si="70"/>
        <v>358.3364668629327</v>
      </c>
      <c r="DS82" s="59">
        <f t="shared" si="71"/>
        <v>641.31809651779565</v>
      </c>
      <c r="DT82" s="59">
        <f ca="1">AVERAGE(OFFSET($DS$3,0,0,'Données projet'!$E$14+1,1))-AVERAGE(OFFSET($H$3,0,0,'Données projet'!$E$14+1,1))</f>
        <v>206.5241977687125</v>
      </c>
      <c r="DU82" s="59">
        <f t="shared" si="98"/>
        <v>205.25001043771269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26.492728966402385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26.492728966402385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1.6</v>
      </c>
      <c r="EJ82" s="12">
        <f>IF('Données projet'!$A$192&gt;35,EJ81+EI82-ER81,IF(A82&lt;'Données projet'!$A$192,$EG$205^A82,IF(A82='Données projet'!$A$192,'Données projet'!$B$192,EJ81+EI82-ER81)))</f>
        <v>157.39999999999992</v>
      </c>
      <c r="EK82" s="17">
        <f>EJ82*VLOOKUP('Données projet'!$B$15,Paramètres!$A$1:$I$89,3,0)*VLOOKUP('Données projet'!$B$15,Paramètres!$A$1:$I$89,5,0)</f>
        <v>137.50463999999994</v>
      </c>
      <c r="EL82" s="13">
        <f t="shared" si="99"/>
        <v>35.724756582112299</v>
      </c>
      <c r="EM82" s="20">
        <f t="shared" si="73"/>
        <v>301.70786571384548</v>
      </c>
      <c r="EN82" s="59">
        <f t="shared" si="74"/>
        <v>584.68949536870844</v>
      </c>
      <c r="EO82" s="59">
        <f ca="1">AVERAGE(OFFSET($EN$3,0,0,'Données projet'!$E$15+1,1))-AVERAGE(OFFSET($H$3,0,0,'Données projet'!$E$15+1,1))</f>
        <v>205.83135724908942</v>
      </c>
      <c r="EP82" s="59">
        <f t="shared" si="100"/>
        <v>193.60053377311405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24.816345473802627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24.816345473802627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3.8</v>
      </c>
      <c r="FE82" s="12">
        <f>IF('Données projet'!$A$218&gt;35,FE81+FD82-FM81,IF(A82&lt;'Données projet'!$A$218,$FB$205^A82,IF(A82='Données projet'!$A$218,'Données projet'!$B$218,FE81+FD82-FM81)))</f>
        <v>207.20000000000016</v>
      </c>
      <c r="FF82" s="17">
        <f>FE82*VLOOKUP('Données projet'!$B$16,Paramètres!$A$1:$I$89,3,0)*VLOOKUP('Données projet'!$B$16,Paramètres!$A$1:$I$89,5,0)</f>
        <v>135.75744000000009</v>
      </c>
      <c r="FG82" s="13">
        <f t="shared" si="101"/>
        <v>35.323360776061499</v>
      </c>
      <c r="FH82" s="20">
        <f t="shared" si="76"/>
        <v>297.96572801830723</v>
      </c>
      <c r="FI82" s="59">
        <f t="shared" si="77"/>
        <v>580.94735767317025</v>
      </c>
      <c r="FJ82" s="59">
        <f ca="1">AVERAGE(OFFSET($FI$3,0,0,'Données projet'!$E$16+1,1))-AVERAGE(OFFSET($H$3,0,0,'Données projet'!$E$16+1,1))</f>
        <v>242.76791261317206</v>
      </c>
      <c r="FK82" s="59">
        <f t="shared" si="102"/>
        <v>244.28580264867682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34.295762888970316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34.295762888970316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7.6022222222222204</v>
      </c>
      <c r="FZ82" s="12">
        <f>IF('Données projet'!$A$244&gt;35,FZ81+FY82-GH81,IF(A82&lt;'Données projet'!$A$244,$FW$205^A82,IF(A82='Données projet'!$A$244,'Données projet'!$B$244,FZ81+FY82-GH81)))</f>
        <v>245.75888888888895</v>
      </c>
      <c r="GA82" s="17">
        <f>FZ82*VLOOKUP('Données projet'!$B$17,Paramètres!$A$1:$I$89,3,0)*VLOOKUP('Données projet'!$B$17,Paramètres!$A$1:$I$89,5,0)</f>
        <v>233.86415866666673</v>
      </c>
      <c r="GB82" s="13">
        <f t="shared" si="103"/>
        <v>57.11739106878256</v>
      </c>
      <c r="GC82" s="20">
        <f t="shared" si="79"/>
        <v>506.79286578924075</v>
      </c>
      <c r="GD82" s="59">
        <f t="shared" si="80"/>
        <v>789.77449544410365</v>
      </c>
      <c r="GE82" s="59">
        <f ca="1">AVERAGE(OFFSET($GD$3,0,0,'Données projet'!$E$17+1,1))-AVERAGE(OFFSET($H$3,0,0,'Données projet'!$E$17+1,1))</f>
        <v>512.71941256120977</v>
      </c>
      <c r="GF82" s="59">
        <f t="shared" si="104"/>
        <v>230.65031527019354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74.642321905894391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74.642321905894391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67.176808087689906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-5.6843418860808015E-14</v>
      </c>
      <c r="GV82" s="17">
        <f>GU82*VLOOKUP('Données projet'!$B$18,Paramètres!$A$1:$I$89,3,0)*VLOOKUP('Données projet'!$B$18,Paramètres!$A$1:$I$89,5,0)</f>
        <v>-2.5006556825246661E-14</v>
      </c>
      <c r="GW82" s="13" t="e">
        <f t="shared" si="105"/>
        <v>#NUM!</v>
      </c>
      <c r="GX82" s="20" t="e">
        <f t="shared" si="82"/>
        <v>#NUM!</v>
      </c>
      <c r="GY82" s="59" t="e">
        <f t="shared" si="83"/>
        <v>#NUM!</v>
      </c>
      <c r="GZ82" s="59">
        <f ca="1">AVERAGE(OFFSET($GY$3,0,0,'Données projet'!$E$18+1,1))-AVERAGE(OFFSET($H$3,0,0,'Données projet'!$E$18+1,1))</f>
        <v>180.68917161146683</v>
      </c>
      <c r="HA82" s="59">
        <f t="shared" si="106"/>
        <v>344.42126252322419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24.230426720710685</v>
      </c>
      <c r="HH82" s="21">
        <f>EXP(-LN(2)/25)*HH81+(1-EXP(-LN(2)/25))/(LN(2)/25)*Calculateur!HC82*Calculateur!HE82*VLOOKUP('Données projet'!$B$18,Paramètres!$A$1:$I$89,3,0)*0.475*44/12</f>
        <v>4.2575270855637015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28.487953806274387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2.25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8.25</v>
      </c>
      <c r="H83" s="66">
        <f t="shared" si="56"/>
        <v>223.66666666666666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7.6022222222222204</v>
      </c>
      <c r="N83" s="13">
        <f>IF('Données projet'!$A$36&gt;35,N82+M83-V82,IF(A83&lt;'Données projet'!$A$36,$K$205^A83,IF(A83='Données projet'!$A$36,'Données projet'!$B$36,N82+M83-V82)))</f>
        <v>253.36111111111117</v>
      </c>
      <c r="O83" s="13">
        <f>N83*VLOOKUP('Données projet'!$B$9,Paramètres!$A$1:$I$89,3,0)*VLOOKUP('Données projet'!$B$9,Paramètres!$A$1:$I$89,5,0)</f>
        <v>229.24113333333341</v>
      </c>
      <c r="P83" s="13">
        <f t="shared" si="87"/>
        <v>56.118565268172901</v>
      </c>
      <c r="Q83" s="20">
        <f t="shared" si="54"/>
        <v>497.0014750642901</v>
      </c>
      <c r="R83" s="59">
        <f t="shared" si="55"/>
        <v>780.16268363503218</v>
      </c>
      <c r="S83" s="59">
        <f ca="1">AVERAGE(OFFSET($R$3,0,0,'Données projet'!$E$9+1,1))-AVERAGE(OFFSET($H$3,0,0,'Données projet'!$E$9+1,1))</f>
        <v>490.57849401500789</v>
      </c>
      <c r="T83" s="59">
        <f t="shared" si="88"/>
        <v>221.7570623669753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69.579682410445258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69.579682410445258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6.4788888888888891</v>
      </c>
      <c r="AI83" s="13">
        <f>IF('Données projet'!$A$62&gt;35,AI82+AH83-AQ82,IF(A83&lt;'Données projet'!$A$62,$AF$205^A83,IF(A83='Données projet'!$A$62,'Données projet'!$B$62,AI82+AH83-AQ82)))</f>
        <v>190.39666666666668</v>
      </c>
      <c r="AJ83" s="13">
        <f>AI83*VLOOKUP('Données projet'!$B$10,Paramètres!$A$1:$I$89,3,0)*VLOOKUP('Données projet'!$B$10,Paramètres!$A$1:$I$89,5,0)</f>
        <v>127.71808400000002</v>
      </c>
      <c r="AK83" s="13">
        <f t="shared" si="89"/>
        <v>33.468533320604735</v>
      </c>
      <c r="AL83" s="20">
        <f t="shared" si="58"/>
        <v>280.73335850005321</v>
      </c>
      <c r="AM83" s="59">
        <f t="shared" si="59"/>
        <v>563.89456707079535</v>
      </c>
      <c r="AN83" s="59">
        <f ca="1">AVERAGE(OFFSET($AM$3,0,0,'Données projet'!$E$10+1,1))-AVERAGE(OFFSET($H$3,0,0,'Données projet'!$E$10+1,1))</f>
        <v>377.00534440335832</v>
      </c>
      <c r="AO83" s="59">
        <f t="shared" si="90"/>
        <v>131.56029120000656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42.597839459981195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42.597839459981195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208</v>
      </c>
      <c r="BB83" s="12">
        <f>VLOOKUP(A83,'Données projet'!$A$87:$I$107,9,0)</f>
        <v>3.2</v>
      </c>
      <c r="BC83" s="12">
        <f t="array" ref="BC83">INDEX(BB:BB,MIN(IF(ISNUMBER(BB83:BB279),ROW(BB83:BB279),"")))</f>
        <v>3.2</v>
      </c>
      <c r="BD83" s="12">
        <f>IF('Données projet'!$A$88&gt;35,BD82+BC83-BL82,IF(A83&lt;'Données projet'!$A$88,$BA$205^A83,IF(A83='Données projet'!$A$88,'Données projet'!$B$88,BD82+BC83-BL82)))</f>
        <v>207.99999999999991</v>
      </c>
      <c r="BE83" s="13">
        <f>BD83*VLOOKUP('Données projet'!$B$11,Paramètres!$A$1:$I$89,3,0)*VLOOKUP('Données projet'!$B$11,Paramètres!$A$1:$I$89,5,0)</f>
        <v>181.70879999999994</v>
      </c>
      <c r="BF83" s="13">
        <f t="shared" si="91"/>
        <v>45.702153370067769</v>
      </c>
      <c r="BG83" s="20">
        <f t="shared" si="61"/>
        <v>396.07407711953459</v>
      </c>
      <c r="BH83" s="59">
        <f t="shared" si="62"/>
        <v>679.23528569027667</v>
      </c>
      <c r="BI83" s="59">
        <f ca="1">AVERAGE(OFFSET($BH$3,0,0,'Données projet'!$E$11+1,1))-AVERAGE(OFFSET($H$3,0,0,'Données projet'!$E$11+1,1))</f>
        <v>314.1123649635374</v>
      </c>
      <c r="BJ83" s="59">
        <f t="shared" si="92"/>
        <v>274.92342227914889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42.492084145128302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42.492084145128302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758.01236768213744</v>
      </c>
      <c r="CD83" s="59">
        <f ca="1">AVERAGE(OFFSET($CC$3,0,0,'Données projet'!$E$12+1,1))-AVERAGE(OFFSET($H$3,0,0,'Données projet'!$E$12+1,1))</f>
        <v>309.86296291630748</v>
      </c>
      <c r="CE83" s="59">
        <f t="shared" si="94"/>
        <v>301.17633325088661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43.386776901888616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43.386776901888616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351</v>
      </c>
      <c r="CR83" s="12">
        <f>VLOOKUP(A83,'Données projet'!$A$139:$I$159,9,0)</f>
        <v>8.8000000000000007</v>
      </c>
      <c r="CS83" s="12">
        <f t="array" ref="CS83">INDEX(CR:CR,MIN(IF(ISNUMBER(CR83:CR279),ROW(CR83:CR279),"")))</f>
        <v>8.8000000000000007</v>
      </c>
      <c r="CT83" s="12">
        <f>IF('Données projet'!$A$140&gt;35,CT82+CS83-DB82,IF(A83&lt;'Données projet'!$A$140,$CQ$205^A83,IF(A83='Données projet'!$A$140,'Données projet'!$B$140,CT82+CS83-DB82)))</f>
        <v>350.99999999999989</v>
      </c>
      <c r="CU83" s="17">
        <f>CT83*VLOOKUP('Données projet'!$B$13,Paramètres!$A$1:$I$89,3,0)*VLOOKUP('Données projet'!$B$13,Paramètres!$A$1:$I$89,5,0)</f>
        <v>301.15799999999996</v>
      </c>
      <c r="CV83" s="13">
        <f t="shared" si="95"/>
        <v>71.419170296330975</v>
      </c>
      <c r="CW83" s="20">
        <f t="shared" si="67"/>
        <v>648.90523826610968</v>
      </c>
      <c r="CX83" s="59">
        <f t="shared" si="68"/>
        <v>932.06644683685181</v>
      </c>
      <c r="CY83" s="59">
        <f ca="1">AVERAGE(OFFSET($CX$3,0,0,'Données projet'!$E$13+1,1))-AVERAGE(OFFSET($H$3,0,0,'Données projet'!$E$13+1,1))</f>
        <v>462.66388549889928</v>
      </c>
      <c r="CZ83" s="59">
        <f t="shared" si="96"/>
        <v>265.3725203415089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0.53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93.836515712982248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93.836515712982248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210.25641030000014</v>
      </c>
      <c r="DP83" s="17">
        <f>DO83*VLOOKUP('Données projet'!$B$14,Paramètres!$A$1:$I$89,3,0)*VLOOKUP('Données projet'!$B$14,Paramètres!$A$1:$I$89,5,0)</f>
        <v>164.00000003400012</v>
      </c>
      <c r="DQ83" s="13">
        <f t="shared" si="97"/>
        <v>41.743425916009095</v>
      </c>
      <c r="DR83" s="20">
        <f t="shared" si="70"/>
        <v>358.3364668629327</v>
      </c>
      <c r="DS83" s="59">
        <f t="shared" si="71"/>
        <v>641.49767543367477</v>
      </c>
      <c r="DT83" s="59">
        <f ca="1">AVERAGE(OFFSET($DS$3,0,0,'Données projet'!$E$14+1,1))-AVERAGE(OFFSET($H$3,0,0,'Données projet'!$E$14+1,1))</f>
        <v>206.5241977687125</v>
      </c>
      <c r="DU83" s="59">
        <f t="shared" si="98"/>
        <v>205.25001043771269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25.973222710340337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25.973222710340337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159</v>
      </c>
      <c r="EH83" s="12">
        <f>VLOOKUP(A83,'Données projet'!$A$191:$I$211,9,0)</f>
        <v>1.6</v>
      </c>
      <c r="EI83" s="12">
        <f t="array" ref="EI83">INDEX(EH:EH,MIN(IF(ISNUMBER(EH83:EH279),ROW(EH83:EH279),"")))</f>
        <v>1.6</v>
      </c>
      <c r="EJ83" s="12">
        <f>IF('Données projet'!$A$192&gt;35,EJ82+EI83-ER82,IF(A83&lt;'Données projet'!$A$192,$EG$205^A83,IF(A83='Données projet'!$A$192,'Données projet'!$B$192,EJ82+EI83-ER82)))</f>
        <v>158.99999999999991</v>
      </c>
      <c r="EK83" s="17">
        <f>EJ83*VLOOKUP('Données projet'!$B$15,Paramètres!$A$1:$I$89,3,0)*VLOOKUP('Données projet'!$B$15,Paramètres!$A$1:$I$89,5,0)</f>
        <v>138.90239999999994</v>
      </c>
      <c r="EL83" s="13">
        <f t="shared" si="99"/>
        <v>36.045445680666425</v>
      </c>
      <c r="EM83" s="20">
        <f t="shared" si="73"/>
        <v>304.70083122716056</v>
      </c>
      <c r="EN83" s="59">
        <f t="shared" si="74"/>
        <v>587.86203979790264</v>
      </c>
      <c r="EO83" s="59">
        <f ca="1">AVERAGE(OFFSET($EN$3,0,0,'Données projet'!$E$15+1,1))-AVERAGE(OFFSET($H$3,0,0,'Données projet'!$E$15+1,1))</f>
        <v>205.83135724908942</v>
      </c>
      <c r="EP83" s="59">
        <f t="shared" si="100"/>
        <v>193.60053377311405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3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25.865236963997869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25.865236963997869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211</v>
      </c>
      <c r="FC83" s="12">
        <f>VLOOKUP(A83,'Données projet'!$A$217:$I$237,9,0)</f>
        <v>3.8</v>
      </c>
      <c r="FD83" s="12">
        <f t="array" ref="FD83">INDEX(FC:FC,MIN(IF(ISNUMBER(FC83:FC279),ROW(FC83:FC279),"")))</f>
        <v>3.8</v>
      </c>
      <c r="FE83" s="12">
        <f>IF('Données projet'!$A$218&gt;35,FE82+FD83-FM82,IF(A83&lt;'Données projet'!$A$218,$FB$205^A83,IF(A83='Données projet'!$A$218,'Données projet'!$B$218,FE82+FD83-FM82)))</f>
        <v>211.00000000000017</v>
      </c>
      <c r="FF83" s="17">
        <f>FE83*VLOOKUP('Données projet'!$B$16,Paramètres!$A$1:$I$89,3,0)*VLOOKUP('Données projet'!$B$16,Paramètres!$A$1:$I$89,5,0)</f>
        <v>138.24720000000011</v>
      </c>
      <c r="FG83" s="13">
        <f t="shared" si="101"/>
        <v>35.895169667226</v>
      </c>
      <c r="FH83" s="20">
        <f t="shared" si="76"/>
        <v>303.29796050375211</v>
      </c>
      <c r="FI83" s="59">
        <f t="shared" si="77"/>
        <v>586.45916907449418</v>
      </c>
      <c r="FJ83" s="59">
        <f ca="1">AVERAGE(OFFSET($FI$3,0,0,'Données projet'!$E$16+1,1))-AVERAGE(OFFSET($H$3,0,0,'Données projet'!$E$16+1,1))</f>
        <v>242.76791261317206</v>
      </c>
      <c r="FK83" s="59">
        <f t="shared" si="102"/>
        <v>244.28580264867682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15</v>
      </c>
      <c r="FN83" s="16">
        <f>IF(ISNA(VLOOKUP(A83,'Données projet'!$A$217:$I$237,5,0)),0%,VLOOKUP(A83,'Données projet'!$A$217:$I$237,5,0)*VLOOKUP('Données projet'!$B$16,Paramètres!$A$1:$I$89,7,0))</f>
        <v>0.43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38.295005939788879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38.295005939788879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7.6022222222222204</v>
      </c>
      <c r="FZ83" s="12">
        <f>IF('Données projet'!$A$244&gt;35,FZ82+FY83-GH82,IF(A83&lt;'Données projet'!$A$244,$FW$205^A83,IF(A83='Données projet'!$A$244,'Données projet'!$B$244,FZ82+FY83-GH82)))</f>
        <v>253.36111111111117</v>
      </c>
      <c r="GA83" s="17">
        <f>FZ83*VLOOKUP('Données projet'!$B$17,Paramètres!$A$1:$I$89,3,0)*VLOOKUP('Données projet'!$B$17,Paramètres!$A$1:$I$89,5,0)</f>
        <v>241.09843333333339</v>
      </c>
      <c r="GB83" s="13">
        <f t="shared" si="103"/>
        <v>58.675800919624443</v>
      </c>
      <c r="GC83" s="20">
        <f t="shared" si="79"/>
        <v>522.10679132390158</v>
      </c>
      <c r="GD83" s="59">
        <f t="shared" si="80"/>
        <v>805.26799989464371</v>
      </c>
      <c r="GE83" s="59">
        <f ca="1">AVERAGE(OFFSET($GD$3,0,0,'Données projet'!$E$17+1,1))-AVERAGE(OFFSET($H$3,0,0,'Données projet'!$E$17+1,1))</f>
        <v>512.71941256120977</v>
      </c>
      <c r="GF83" s="59">
        <f t="shared" si="104"/>
        <v>230.65031527019354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73.178631500640719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73.178631500640719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67.225784155656925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-5.6843418860808015E-14</v>
      </c>
      <c r="GV83" s="17">
        <f>GU83*VLOOKUP('Données projet'!$B$18,Paramètres!$A$1:$I$89,3,0)*VLOOKUP('Données projet'!$B$18,Paramètres!$A$1:$I$89,5,0)</f>
        <v>-2.5006556825246661E-14</v>
      </c>
      <c r="GW83" s="13" t="e">
        <f t="shared" si="105"/>
        <v>#NUM!</v>
      </c>
      <c r="GX83" s="20" t="e">
        <f t="shared" si="82"/>
        <v>#NUM!</v>
      </c>
      <c r="GY83" s="59" t="e">
        <f t="shared" si="83"/>
        <v>#NUM!</v>
      </c>
      <c r="GZ83" s="59">
        <f ca="1">AVERAGE(OFFSET($GY$3,0,0,'Données projet'!$E$18+1,1))-AVERAGE(OFFSET($H$3,0,0,'Données projet'!$E$18+1,1))</f>
        <v>180.68917161146683</v>
      </c>
      <c r="HA83" s="59">
        <f t="shared" si="106"/>
        <v>344.42126252322419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23.755282831818533</v>
      </c>
      <c r="HH83" s="21">
        <f>EXP(-LN(2)/25)*HH82+(1-EXP(-LN(2)/25))/(LN(2)/25)*Calculateur!HC83*Calculateur!HE83*VLOOKUP('Données projet'!$B$18,Paramètres!$A$1:$I$89,3,0)*0.475*44/12</f>
        <v>4.1411047835153436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27.896387615333879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2.25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8.25</v>
      </c>
      <c r="H84" s="66">
        <f t="shared" si="56"/>
        <v>223.66666666666666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7.6022222222222204</v>
      </c>
      <c r="N84" s="13">
        <f>IF('Données projet'!$A$36&gt;35,N83+M84-V83,IF(A84&lt;'Données projet'!$A$36,$K$205^A84,IF(A84='Données projet'!$A$36,'Données projet'!$B$36,N83+M84-V83)))</f>
        <v>260.96333333333337</v>
      </c>
      <c r="O84" s="13">
        <f>N84*VLOOKUP('Données projet'!$B$9,Paramètres!$A$1:$I$89,3,0)*VLOOKUP('Données projet'!$B$9,Paramètres!$A$1:$I$89,5,0)</f>
        <v>236.11962400000002</v>
      </c>
      <c r="P84" s="13">
        <f t="shared" si="87"/>
        <v>57.60385829887548</v>
      </c>
      <c r="Q84" s="20">
        <f t="shared" si="54"/>
        <v>511.56839833720818</v>
      </c>
      <c r="R84" s="59">
        <f t="shared" si="55"/>
        <v>794.90607053111717</v>
      </c>
      <c r="S84" s="59">
        <f ca="1">AVERAGE(OFFSET($R$3,0,0,'Données projet'!$E$9+1,1))-AVERAGE(OFFSET($H$3,0,0,'Données projet'!$E$9+1,1))</f>
        <v>490.57849401500789</v>
      </c>
      <c r="T84" s="59">
        <f t="shared" si="88"/>
        <v>221.7570623669753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68.215267277792151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68.215267277792151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6.4788888888888891</v>
      </c>
      <c r="AI84" s="13">
        <f>IF('Données projet'!$A$62&gt;35,AI83+AH84-AQ83,IF(A84&lt;'Données projet'!$A$62,$AF$205^A84,IF(A84='Données projet'!$A$62,'Données projet'!$B$62,AI83+AH84-AQ83)))</f>
        <v>196.87555555555556</v>
      </c>
      <c r="AJ84" s="13">
        <f>AI84*VLOOKUP('Données projet'!$B$10,Paramètres!$A$1:$I$89,3,0)*VLOOKUP('Données projet'!$B$10,Paramètres!$A$1:$I$89,5,0)</f>
        <v>132.06412266666666</v>
      </c>
      <c r="AK84" s="13">
        <f t="shared" si="89"/>
        <v>34.472879305960902</v>
      </c>
      <c r="AL84" s="20">
        <f t="shared" si="58"/>
        <v>290.05194510232633</v>
      </c>
      <c r="AM84" s="59">
        <f t="shared" si="59"/>
        <v>573.38961729623531</v>
      </c>
      <c r="AN84" s="59">
        <f ca="1">AVERAGE(OFFSET($AM$3,0,0,'Données projet'!$E$10+1,1))-AVERAGE(OFFSET($H$3,0,0,'Données projet'!$E$10+1,1))</f>
        <v>377.00534440335832</v>
      </c>
      <c r="AO84" s="59">
        <f t="shared" si="90"/>
        <v>131.56029120000656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41.762521810287517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41.762521810287517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2.8</v>
      </c>
      <c r="BD84" s="12">
        <f>IF('Données projet'!$A$88&gt;35,BD83+BC84-BL83,IF(A84&lt;'Données projet'!$A$88,$BA$205^A84,IF(A84='Données projet'!$A$88,'Données projet'!$B$88,BD83+BC84-BL83)))</f>
        <v>199.79999999999993</v>
      </c>
      <c r="BE84" s="13">
        <f>BD84*VLOOKUP('Données projet'!$B$11,Paramètres!$A$1:$I$89,3,0)*VLOOKUP('Données projet'!$B$11,Paramètres!$A$1:$I$89,5,0)</f>
        <v>174.54527999999993</v>
      </c>
      <c r="BF84" s="13">
        <f t="shared" si="91"/>
        <v>44.106446559111959</v>
      </c>
      <c r="BG84" s="20">
        <f t="shared" si="61"/>
        <v>380.81842375711989</v>
      </c>
      <c r="BH84" s="59">
        <f t="shared" si="62"/>
        <v>664.15609595102887</v>
      </c>
      <c r="BI84" s="59">
        <f ca="1">AVERAGE(OFFSET($BH$3,0,0,'Données projet'!$E$11+1,1))-AVERAGE(OFFSET($H$3,0,0,'Données projet'!$E$11+1,1))</f>
        <v>314.1123649635374</v>
      </c>
      <c r="BJ84" s="59">
        <f t="shared" si="92"/>
        <v>274.92342227914889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41.65884029265451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41.65884029265451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212.42519999999985</v>
      </c>
      <c r="CA84" s="13">
        <f t="shared" si="93"/>
        <v>52.465198231787184</v>
      </c>
      <c r="CB84" s="20">
        <f t="shared" si="64"/>
        <v>461.35077692036231</v>
      </c>
      <c r="CC84" s="59">
        <f t="shared" si="65"/>
        <v>744.68844911427129</v>
      </c>
      <c r="CD84" s="59">
        <f ca="1">AVERAGE(OFFSET($CC$3,0,0,'Données projet'!$E$12+1,1))-AVERAGE(OFFSET($H$3,0,0,'Données projet'!$E$12+1,1))</f>
        <v>309.86296291630748</v>
      </c>
      <c r="CE84" s="59">
        <f t="shared" si="94"/>
        <v>301.17633325088661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42.535988670163455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42.535988670163455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8.4</v>
      </c>
      <c r="CT84" s="12">
        <f>IF('Données projet'!$A$140&gt;35,CT83+CS84-DB83,IF(A84&lt;'Données projet'!$A$140,$CQ$205^A84,IF(A84='Données projet'!$A$140,'Données projet'!$B$140,CT83+CS84-DB83)))</f>
        <v>331.39999999999986</v>
      </c>
      <c r="CU84" s="17">
        <f>CT84*VLOOKUP('Données projet'!$B$13,Paramètres!$A$1:$I$89,3,0)*VLOOKUP('Données projet'!$B$13,Paramètres!$A$1:$I$89,5,0)</f>
        <v>284.34119999999996</v>
      </c>
      <c r="CV84" s="13">
        <f t="shared" si="95"/>
        <v>67.883606139618351</v>
      </c>
      <c r="CW84" s="20">
        <f t="shared" si="67"/>
        <v>613.4582040265019</v>
      </c>
      <c r="CX84" s="59">
        <f t="shared" si="68"/>
        <v>896.79587622041095</v>
      </c>
      <c r="CY84" s="59">
        <f ca="1">AVERAGE(OFFSET($CX$3,0,0,'Données projet'!$E$13+1,1))-AVERAGE(OFFSET($H$3,0,0,'Données projet'!$E$13+1,1))</f>
        <v>462.66388549889928</v>
      </c>
      <c r="CZ84" s="59">
        <f t="shared" si="96"/>
        <v>265.3725203415089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91.996438874473796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91.996438874473796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210.25641030000014</v>
      </c>
      <c r="DP84" s="17">
        <f>DO84*VLOOKUP('Données projet'!$B$14,Paramètres!$A$1:$I$89,3,0)*VLOOKUP('Données projet'!$B$14,Paramètres!$A$1:$I$89,5,0)</f>
        <v>164.00000003400012</v>
      </c>
      <c r="DQ84" s="13">
        <f t="shared" si="97"/>
        <v>41.743425916009095</v>
      </c>
      <c r="DR84" s="20">
        <f t="shared" si="70"/>
        <v>358.3364668629327</v>
      </c>
      <c r="DS84" s="59">
        <f t="shared" si="71"/>
        <v>641.67413905684168</v>
      </c>
      <c r="DT84" s="59">
        <f ca="1">AVERAGE(OFFSET($DS$3,0,0,'Données projet'!$E$14+1,1))-AVERAGE(OFFSET($H$3,0,0,'Données projet'!$E$14+1,1))</f>
        <v>206.5241977687125</v>
      </c>
      <c r="DU84" s="59">
        <f t="shared" si="98"/>
        <v>205.25001043771269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25.463903655092139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25.463903655092139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155.99999999999991</v>
      </c>
      <c r="EK84" s="17">
        <f>EJ84*VLOOKUP('Données projet'!$B$15,Paramètres!$A$1:$I$89,3,0)*VLOOKUP('Données projet'!$B$15,Paramètres!$A$1:$I$89,5,0)</f>
        <v>136.28159999999994</v>
      </c>
      <c r="EL84" s="13">
        <f t="shared" si="99"/>
        <v>35.443842312892279</v>
      </c>
      <c r="EM84" s="20">
        <f t="shared" si="73"/>
        <v>299.08847869495395</v>
      </c>
      <c r="EN84" s="59">
        <f t="shared" si="74"/>
        <v>582.42615088886294</v>
      </c>
      <c r="EO84" s="59">
        <f ca="1">AVERAGE(OFFSET($EN$3,0,0,'Données projet'!$E$15+1,1))-AVERAGE(OFFSET($H$3,0,0,'Données projet'!$E$15+1,1))</f>
        <v>205.83135724908942</v>
      </c>
      <c r="EP84" s="59">
        <f t="shared" si="100"/>
        <v>193.60053377311405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25.358035443370646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25.358035443370646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3.6</v>
      </c>
      <c r="FE84" s="12">
        <f>IF('Données projet'!$A$218&gt;35,FE83+FD84-FM83,IF(A84&lt;'Données projet'!$A$218,$FB$205^A84,IF(A84='Données projet'!$A$218,'Données projet'!$B$218,FE83+FD84-FM83)))</f>
        <v>199.60000000000016</v>
      </c>
      <c r="FF84" s="17">
        <f>FE84*VLOOKUP('Données projet'!$B$16,Paramètres!$A$1:$I$89,3,0)*VLOOKUP('Données projet'!$B$16,Paramètres!$A$1:$I$89,5,0)</f>
        <v>130.77792000000011</v>
      </c>
      <c r="FG84" s="13">
        <f t="shared" si="101"/>
        <v>34.176051340149542</v>
      </c>
      <c r="FH84" s="20">
        <f t="shared" si="76"/>
        <v>287.2948334174273</v>
      </c>
      <c r="FI84" s="59">
        <f t="shared" si="77"/>
        <v>570.63250561133623</v>
      </c>
      <c r="FJ84" s="59">
        <f ca="1">AVERAGE(OFFSET($FI$3,0,0,'Données projet'!$E$16+1,1))-AVERAGE(OFFSET($H$3,0,0,'Données projet'!$E$16+1,1))</f>
        <v>242.76791261317206</v>
      </c>
      <c r="FK84" s="59">
        <f t="shared" si="102"/>
        <v>244.28580264867682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37.544064230956863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37.544064230956863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7.6022222222222204</v>
      </c>
      <c r="FZ84" s="12">
        <f>IF('Données projet'!$A$244&gt;35,FZ83+FY84-GH83,IF(A84&lt;'Données projet'!$A$244,$FW$205^A84,IF(A84='Données projet'!$A$244,'Données projet'!$B$244,FZ83+FY84-GH83)))</f>
        <v>260.96333333333337</v>
      </c>
      <c r="GA84" s="17">
        <f>FZ84*VLOOKUP('Données projet'!$B$17,Paramètres!$A$1:$I$89,3,0)*VLOOKUP('Données projet'!$B$17,Paramètres!$A$1:$I$89,5,0)</f>
        <v>248.33270800000003</v>
      </c>
      <c r="GB84" s="13">
        <f t="shared" si="103"/>
        <v>60.228776441367344</v>
      </c>
      <c r="GC84" s="20">
        <f t="shared" si="79"/>
        <v>537.41125206871482</v>
      </c>
      <c r="GD84" s="59">
        <f t="shared" si="80"/>
        <v>820.74892426262386</v>
      </c>
      <c r="GE84" s="59">
        <f ca="1">AVERAGE(OFFSET($GD$3,0,0,'Données projet'!$E$17+1,1))-AVERAGE(OFFSET($H$3,0,0,'Données projet'!$E$17+1,1))</f>
        <v>512.71941256120977</v>
      </c>
      <c r="GF84" s="59">
        <f t="shared" si="104"/>
        <v>230.65031527019354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71.743643171471078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71.743643171471078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67.273910598338816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-5.6843418860808015E-14</v>
      </c>
      <c r="GV84" s="17">
        <f>GU84*VLOOKUP('Données projet'!$B$18,Paramètres!$A$1:$I$89,3,0)*VLOOKUP('Données projet'!$B$18,Paramètres!$A$1:$I$89,5,0)</f>
        <v>-2.5006556825246661E-14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180.68917161146683</v>
      </c>
      <c r="HA84" s="59">
        <f t="shared" si="106"/>
        <v>344.42126252322419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23.289456224778402</v>
      </c>
      <c r="HH84" s="21">
        <f>EXP(-LN(2)/25)*HH83+(1-EXP(-LN(2)/25))/(LN(2)/25)*Calculateur!HC84*Calculateur!HE84*VLOOKUP('Données projet'!$B$18,Paramètres!$A$1:$I$89,3,0)*0.475*44/12</f>
        <v>4.0278660554388805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27.317322280217283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2.25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8.25</v>
      </c>
      <c r="H85" s="66">
        <f t="shared" si="56"/>
        <v>223.66666666666666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7.6022222222222204</v>
      </c>
      <c r="N85" s="13">
        <f>IF('Données projet'!$A$36&gt;35,N84+M85-V84,IF(A85&lt;'Données projet'!$A$36,$K$205^A85,IF(A85='Données projet'!$A$36,'Données projet'!$B$36,N84+M85-V84)))</f>
        <v>268.56555555555559</v>
      </c>
      <c r="O85" s="13">
        <f>N85*VLOOKUP('Données projet'!$B$9,Paramètres!$A$1:$I$89,3,0)*VLOOKUP('Données projet'!$B$9,Paramètres!$A$1:$I$89,5,0)</f>
        <v>242.99811466666671</v>
      </c>
      <c r="P85" s="13">
        <f t="shared" si="87"/>
        <v>59.084122638145935</v>
      </c>
      <c r="Q85" s="20">
        <f t="shared" si="54"/>
        <v>526.12656330588186</v>
      </c>
      <c r="R85" s="59">
        <f t="shared" si="55"/>
        <v>809.63763787360926</v>
      </c>
      <c r="S85" s="59">
        <f ca="1">AVERAGE(OFFSET($R$3,0,0,'Données projet'!$E$9+1,1))-AVERAGE(OFFSET($H$3,0,0,'Données projet'!$E$9+1,1))</f>
        <v>490.57849401500789</v>
      </c>
      <c r="T85" s="59">
        <f t="shared" si="88"/>
        <v>221.7570623669753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66.877607493679321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66.877607493679321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6.4788888888888891</v>
      </c>
      <c r="AI85" s="13">
        <f>IF('Données projet'!$A$62&gt;35,AI84+AH85-AQ84,IF(A85&lt;'Données projet'!$A$62,$AF$205^A85,IF(A85='Données projet'!$A$62,'Données projet'!$B$62,AI84+AH85-AQ84)))</f>
        <v>203.35444444444445</v>
      </c>
      <c r="AJ85" s="13">
        <f>AI85*VLOOKUP('Données projet'!$B$10,Paramètres!$A$1:$I$89,3,0)*VLOOKUP('Données projet'!$B$10,Paramètres!$A$1:$I$89,5,0)</f>
        <v>136.41016133333335</v>
      </c>
      <c r="AK85" s="13">
        <f t="shared" si="89"/>
        <v>35.473384715386231</v>
      </c>
      <c r="AL85" s="20">
        <f t="shared" si="58"/>
        <v>299.3638427015199</v>
      </c>
      <c r="AM85" s="59">
        <f t="shared" si="59"/>
        <v>582.87491726924736</v>
      </c>
      <c r="AN85" s="59">
        <f ca="1">AVERAGE(OFFSET($AM$3,0,0,'Données projet'!$E$10+1,1))-AVERAGE(OFFSET($H$3,0,0,'Données projet'!$E$10+1,1))</f>
        <v>377.00534440335832</v>
      </c>
      <c r="AO85" s="59">
        <f t="shared" si="90"/>
        <v>131.56029120000656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40.943584230210867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40.943584230210867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2.8</v>
      </c>
      <c r="BD85" s="12">
        <f>IF('Données projet'!$A$88&gt;35,BD84+BC85-BL84,IF(A85&lt;'Données projet'!$A$88,$BA$205^A85,IF(A85='Données projet'!$A$88,'Données projet'!$B$88,BD84+BC85-BL84)))</f>
        <v>202.59999999999994</v>
      </c>
      <c r="BE85" s="13">
        <f>BD85*VLOOKUP('Données projet'!$B$11,Paramètres!$A$1:$I$89,3,0)*VLOOKUP('Données projet'!$B$11,Paramètres!$A$1:$I$89,5,0)</f>
        <v>176.99135999999996</v>
      </c>
      <c r="BF85" s="13">
        <f t="shared" si="91"/>
        <v>44.65216395512175</v>
      </c>
      <c r="BG85" s="20">
        <f t="shared" si="61"/>
        <v>386.02913755517028</v>
      </c>
      <c r="BH85" s="59">
        <f t="shared" si="62"/>
        <v>669.54021212289774</v>
      </c>
      <c r="BI85" s="59">
        <f ca="1">AVERAGE(OFFSET($BH$3,0,0,'Données projet'!$E$11+1,1))-AVERAGE(OFFSET($H$3,0,0,'Données projet'!$E$11+1,1))</f>
        <v>314.1123649635374</v>
      </c>
      <c r="BJ85" s="59">
        <f t="shared" si="92"/>
        <v>274.92342227914889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40.841935843899165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40.841935843899165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212.42519999999985</v>
      </c>
      <c r="CA85" s="13">
        <f t="shared" si="93"/>
        <v>52.465198231787184</v>
      </c>
      <c r="CB85" s="20">
        <f t="shared" si="64"/>
        <v>461.35077692036231</v>
      </c>
      <c r="CC85" s="59">
        <f t="shared" si="65"/>
        <v>744.86185148808977</v>
      </c>
      <c r="CD85" s="59">
        <f ca="1">AVERAGE(OFFSET($CC$3,0,0,'Données projet'!$E$12+1,1))-AVERAGE(OFFSET($H$3,0,0,'Données projet'!$E$12+1,1))</f>
        <v>309.86296291630748</v>
      </c>
      <c r="CE85" s="59">
        <f t="shared" si="94"/>
        <v>301.17633325088661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41.701883876732843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41.701883876732843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8.4</v>
      </c>
      <c r="CT85" s="12">
        <f>IF('Données projet'!$A$140&gt;35,CT84+CS85-DB84,IF(A85&lt;'Données projet'!$A$140,$CQ$205^A85,IF(A85='Données projet'!$A$140,'Données projet'!$B$140,CT84+CS85-DB84)))</f>
        <v>339.79999999999984</v>
      </c>
      <c r="CU85" s="17">
        <f>CT85*VLOOKUP('Données projet'!$B$13,Paramètres!$A$1:$I$89,3,0)*VLOOKUP('Données projet'!$B$13,Paramètres!$A$1:$I$89,5,0)</f>
        <v>291.5483999999999</v>
      </c>
      <c r="CV85" s="13">
        <f t="shared" si="95"/>
        <v>69.40174753959208</v>
      </c>
      <c r="CW85" s="20">
        <f t="shared" si="67"/>
        <v>628.65484029812262</v>
      </c>
      <c r="CX85" s="59">
        <f t="shared" si="68"/>
        <v>912.16591486585003</v>
      </c>
      <c r="CY85" s="59">
        <f ca="1">AVERAGE(OFFSET($CX$3,0,0,'Données projet'!$E$13+1,1))-AVERAGE(OFFSET($H$3,0,0,'Données projet'!$E$13+1,1))</f>
        <v>462.66388549889928</v>
      </c>
      <c r="CZ85" s="59">
        <f t="shared" si="96"/>
        <v>265.3725203415089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90.192444820432456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90.192444820432456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210.25641030000014</v>
      </c>
      <c r="DP85" s="17">
        <f>DO85*VLOOKUP('Données projet'!$B$14,Paramètres!$A$1:$I$89,3,0)*VLOOKUP('Données projet'!$B$14,Paramètres!$A$1:$I$89,5,0)</f>
        <v>164.00000003400012</v>
      </c>
      <c r="DQ85" s="13">
        <f t="shared" si="97"/>
        <v>41.743425916009095</v>
      </c>
      <c r="DR85" s="20">
        <f t="shared" si="70"/>
        <v>358.3364668629327</v>
      </c>
      <c r="DS85" s="59">
        <f t="shared" si="71"/>
        <v>641.84754143066016</v>
      </c>
      <c r="DT85" s="59">
        <f ca="1">AVERAGE(OFFSET($DS$3,0,0,'Données projet'!$E$14+1,1))-AVERAGE(OFFSET($H$3,0,0,'Données projet'!$E$14+1,1))</f>
        <v>206.5241977687125</v>
      </c>
      <c r="DU85" s="59">
        <f t="shared" si="98"/>
        <v>205.25001043771269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24.964572035863409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24.964572035863409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155.99999999999991</v>
      </c>
      <c r="EK85" s="17">
        <f>EJ85*VLOOKUP('Données projet'!$B$15,Paramètres!$A$1:$I$89,3,0)*VLOOKUP('Données projet'!$B$15,Paramètres!$A$1:$I$89,5,0)</f>
        <v>136.28159999999994</v>
      </c>
      <c r="EL85" s="13">
        <f t="shared" si="99"/>
        <v>35.443842312892279</v>
      </c>
      <c r="EM85" s="20">
        <f t="shared" si="73"/>
        <v>299.08847869495395</v>
      </c>
      <c r="EN85" s="59">
        <f t="shared" si="74"/>
        <v>582.59955326268141</v>
      </c>
      <c r="EO85" s="59">
        <f ca="1">AVERAGE(OFFSET($EN$3,0,0,'Données projet'!$E$15+1,1))-AVERAGE(OFFSET($H$3,0,0,'Données projet'!$E$15+1,1))</f>
        <v>205.83135724908942</v>
      </c>
      <c r="EP85" s="59">
        <f t="shared" si="100"/>
        <v>193.60053377311405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24.860779835200542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24.860779835200542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3.6</v>
      </c>
      <c r="FE85" s="12">
        <f>IF('Données projet'!$A$218&gt;35,FE84+FD85-FM84,IF(A85&lt;'Données projet'!$A$218,$FB$205^A85,IF(A85='Données projet'!$A$218,'Données projet'!$B$218,FE84+FD85-FM84)))</f>
        <v>203.20000000000016</v>
      </c>
      <c r="FF85" s="17">
        <f>FE85*VLOOKUP('Données projet'!$B$16,Paramètres!$A$1:$I$89,3,0)*VLOOKUP('Données projet'!$B$16,Paramètres!$A$1:$I$89,5,0)</f>
        <v>133.13664000000011</v>
      </c>
      <c r="FG85" s="13">
        <f t="shared" si="101"/>
        <v>34.720135986247172</v>
      </c>
      <c r="FH85" s="20">
        <f t="shared" si="76"/>
        <v>292.35055150938069</v>
      </c>
      <c r="FI85" s="59">
        <f t="shared" si="77"/>
        <v>575.86162607710821</v>
      </c>
      <c r="FJ85" s="59">
        <f ca="1">AVERAGE(OFFSET($FI$3,0,0,'Données projet'!$E$16+1,1))-AVERAGE(OFFSET($H$3,0,0,'Données projet'!$E$16+1,1))</f>
        <v>242.76791261317206</v>
      </c>
      <c r="FK85" s="59">
        <f t="shared" si="102"/>
        <v>244.28580264867682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36.807848031005832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36.807848031005832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7.6022222222222204</v>
      </c>
      <c r="FZ85" s="12">
        <f>IF('Données projet'!$A$244&gt;35,FZ84+FY85-GH84,IF(A85&lt;'Données projet'!$A$244,$FW$205^A85,IF(A85='Données projet'!$A$244,'Données projet'!$B$244,FZ84+FY85-GH84)))</f>
        <v>268.56555555555559</v>
      </c>
      <c r="GA85" s="17">
        <f>FZ85*VLOOKUP('Données projet'!$B$17,Paramètres!$A$1:$I$89,3,0)*VLOOKUP('Données projet'!$B$17,Paramètres!$A$1:$I$89,5,0)</f>
        <v>255.56698266666669</v>
      </c>
      <c r="GB85" s="13">
        <f t="shared" si="103"/>
        <v>61.776494122038606</v>
      </c>
      <c r="GC85" s="20">
        <f t="shared" si="79"/>
        <v>552.70655540699499</v>
      </c>
      <c r="GD85" s="59">
        <f t="shared" si="80"/>
        <v>836.21762997472251</v>
      </c>
      <c r="GE85" s="59">
        <f ca="1">AVERAGE(OFFSET($GD$3,0,0,'Données projet'!$E$17+1,1))-AVERAGE(OFFSET($H$3,0,0,'Données projet'!$E$17+1,1))</f>
        <v>512.71941256120977</v>
      </c>
      <c r="GF85" s="59">
        <f t="shared" si="104"/>
        <v>230.65031527019354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70.33679408818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70.33679408818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67.321202154834765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-5.6843418860808015E-14</v>
      </c>
      <c r="GV85" s="17">
        <f>GU85*VLOOKUP('Données projet'!$B$18,Paramètres!$A$1:$I$89,3,0)*VLOOKUP('Données projet'!$B$18,Paramètres!$A$1:$I$89,5,0)</f>
        <v>-2.5006556825246661E-14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180.68917161146683</v>
      </c>
      <c r="HA85" s="59">
        <f t="shared" si="106"/>
        <v>344.42126252322419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22.83276419337615</v>
      </c>
      <c r="HH85" s="21">
        <f>EXP(-LN(2)/25)*HH84+(1-EXP(-LN(2)/25))/(LN(2)/25)*Calculateur!HC85*Calculateur!HE85*VLOOKUP('Données projet'!$B$18,Paramètres!$A$1:$I$89,3,0)*0.475*44/12</f>
        <v>3.9177238463366342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26.750488039712785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2.25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8.25</v>
      </c>
      <c r="H86" s="66">
        <f t="shared" si="56"/>
        <v>223.66666666666666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7.6022222222222204</v>
      </c>
      <c r="N86" s="13">
        <f>IF('Données projet'!$A$36&gt;35,N85+M86-V85,IF(A86&lt;'Données projet'!$A$36,$K$205^A86,IF(A86='Données projet'!$A$36,'Données projet'!$B$36,N85+M86-V85)))</f>
        <v>276.16777777777781</v>
      </c>
      <c r="O86" s="13">
        <f>N86*VLOOKUP('Données projet'!$B$9,Paramètres!$A$1:$I$89,3,0)*VLOOKUP('Données projet'!$B$9,Paramètres!$A$1:$I$89,5,0)</f>
        <v>249.87660533333337</v>
      </c>
      <c r="P86" s="13">
        <f t="shared" si="87"/>
        <v>60.559516982471138</v>
      </c>
      <c r="Q86" s="20">
        <f t="shared" si="54"/>
        <v>540.67624636669279</v>
      </c>
      <c r="R86" s="59">
        <f t="shared" si="55"/>
        <v>824.35771516472278</v>
      </c>
      <c r="S86" s="59">
        <f ca="1">AVERAGE(OFFSET($R$3,0,0,'Données projet'!$E$9+1,1))-AVERAGE(OFFSET($H$3,0,0,'Données projet'!$E$9+1,1))</f>
        <v>490.57849401500789</v>
      </c>
      <c r="T86" s="59">
        <f t="shared" si="88"/>
        <v>221.7570623669753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65.566178402041032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65.566178402041032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6.4788888888888891</v>
      </c>
      <c r="AI86" s="13">
        <f>IF('Données projet'!$A$62&gt;35,AI85+AH86-AQ85,IF(A86&lt;'Données projet'!$A$62,$AF$205^A86,IF(A86='Données projet'!$A$62,'Données projet'!$B$62,AI85+AH86-AQ85)))</f>
        <v>209.83333333333334</v>
      </c>
      <c r="AJ86" s="13">
        <f>AI86*VLOOKUP('Données projet'!$B$10,Paramètres!$A$1:$I$89,3,0)*VLOOKUP('Données projet'!$B$10,Paramètres!$A$1:$I$89,5,0)</f>
        <v>140.75620000000001</v>
      </c>
      <c r="AK86" s="13">
        <f t="shared" si="89"/>
        <v>36.470185946614976</v>
      </c>
      <c r="AL86" s="20">
        <f t="shared" si="58"/>
        <v>308.66928885702106</v>
      </c>
      <c r="AM86" s="59">
        <f t="shared" si="59"/>
        <v>592.35075765505098</v>
      </c>
      <c r="AN86" s="59">
        <f ca="1">AVERAGE(OFFSET($AM$3,0,0,'Données projet'!$E$10+1,1))-AVERAGE(OFFSET($H$3,0,0,'Données projet'!$E$10+1,1))</f>
        <v>377.00534440335832</v>
      </c>
      <c r="AO86" s="59">
        <f t="shared" si="90"/>
        <v>131.56029120000656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40.140705516576922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40.140705516576922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2.8</v>
      </c>
      <c r="BD86" s="12">
        <f>IF('Données projet'!$A$88&gt;35,BD85+BC86-BL85,IF(A86&lt;'Données projet'!$A$88,$BA$205^A86,IF(A86='Données projet'!$A$88,'Données projet'!$B$88,BD85+BC86-BL85)))</f>
        <v>205.39999999999995</v>
      </c>
      <c r="BE86" s="13">
        <f>BD86*VLOOKUP('Données projet'!$B$11,Paramètres!$A$1:$I$89,3,0)*VLOOKUP('Données projet'!$B$11,Paramètres!$A$1:$I$89,5,0)</f>
        <v>179.43743999999998</v>
      </c>
      <c r="BF86" s="13">
        <f t="shared" si="91"/>
        <v>45.197004138831623</v>
      </c>
      <c r="BG86" s="20">
        <f t="shared" si="61"/>
        <v>391.23832354179837</v>
      </c>
      <c r="BH86" s="59">
        <f t="shared" si="62"/>
        <v>674.91979233982829</v>
      </c>
      <c r="BI86" s="59">
        <f ca="1">AVERAGE(OFFSET($BH$3,0,0,'Données projet'!$E$11+1,1))-AVERAGE(OFFSET($H$3,0,0,'Données projet'!$E$11+1,1))</f>
        <v>314.1123649635374</v>
      </c>
      <c r="BJ86" s="59">
        <f t="shared" si="92"/>
        <v>274.92342227914889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40.041050393121395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40.041050393121395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212.42519999999985</v>
      </c>
      <c r="CA86" s="13">
        <f t="shared" si="93"/>
        <v>52.465198231787184</v>
      </c>
      <c r="CB86" s="20">
        <f t="shared" si="64"/>
        <v>461.35077692036231</v>
      </c>
      <c r="CC86" s="59">
        <f t="shared" si="65"/>
        <v>745.03224571839223</v>
      </c>
      <c r="CD86" s="59">
        <f ca="1">AVERAGE(OFFSET($CC$3,0,0,'Données projet'!$E$12+1,1))-AVERAGE(OFFSET($H$3,0,0,'Données projet'!$E$12+1,1))</f>
        <v>309.86296291630748</v>
      </c>
      <c r="CE86" s="59">
        <f t="shared" si="94"/>
        <v>301.17633325088661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40.884135369547714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40.884135369547714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8.4</v>
      </c>
      <c r="CT86" s="12">
        <f>IF('Données projet'!$A$140&gt;35,CT85+CS86-DB85,IF(A86&lt;'Données projet'!$A$140,$CQ$205^A86,IF(A86='Données projet'!$A$140,'Données projet'!$B$140,CT85+CS86-DB85)))</f>
        <v>348.19999999999982</v>
      </c>
      <c r="CU86" s="17">
        <f>CT86*VLOOKUP('Données projet'!$B$13,Paramètres!$A$1:$I$89,3,0)*VLOOKUP('Données projet'!$B$13,Paramètres!$A$1:$I$89,5,0)</f>
        <v>298.75559999999984</v>
      </c>
      <c r="CV86" s="13">
        <f t="shared" si="95"/>
        <v>70.915526361788181</v>
      </c>
      <c r="CW86" s="20">
        <f t="shared" si="67"/>
        <v>643.84387841344744</v>
      </c>
      <c r="CX86" s="59">
        <f t="shared" si="68"/>
        <v>927.52534721147731</v>
      </c>
      <c r="CY86" s="59">
        <f ca="1">AVERAGE(OFFSET($CX$3,0,0,'Données projet'!$E$13+1,1))-AVERAGE(OFFSET($H$3,0,0,'Données projet'!$E$13+1,1))</f>
        <v>462.66388549889928</v>
      </c>
      <c r="CZ86" s="59">
        <f t="shared" si="96"/>
        <v>265.3725203415089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88.42382598946314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88.42382598946314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210.25641030000014</v>
      </c>
      <c r="DP86" s="17">
        <f>DO86*VLOOKUP('Données projet'!$B$14,Paramètres!$A$1:$I$89,3,0)*VLOOKUP('Données projet'!$B$14,Paramètres!$A$1:$I$89,5,0)</f>
        <v>164.00000003400012</v>
      </c>
      <c r="DQ86" s="13">
        <f t="shared" si="97"/>
        <v>41.743425916009095</v>
      </c>
      <c r="DR86" s="20">
        <f t="shared" si="70"/>
        <v>358.3364668629327</v>
      </c>
      <c r="DS86" s="59">
        <f t="shared" si="71"/>
        <v>642.01793566096262</v>
      </c>
      <c r="DT86" s="59">
        <f ca="1">AVERAGE(OFFSET($DS$3,0,0,'Données projet'!$E$14+1,1))-AVERAGE(OFFSET($H$3,0,0,'Données projet'!$E$14+1,1))</f>
        <v>206.5241977687125</v>
      </c>
      <c r="DU86" s="59">
        <f t="shared" si="98"/>
        <v>205.25001043771269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24.475032005125538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24.475032005125538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155.99999999999991</v>
      </c>
      <c r="EK86" s="17">
        <f>EJ86*VLOOKUP('Données projet'!$B$15,Paramètres!$A$1:$I$89,3,0)*VLOOKUP('Données projet'!$B$15,Paramètres!$A$1:$I$89,5,0)</f>
        <v>136.28159999999994</v>
      </c>
      <c r="EL86" s="13">
        <f t="shared" si="99"/>
        <v>35.443842312892279</v>
      </c>
      <c r="EM86" s="20">
        <f t="shared" si="73"/>
        <v>299.08847869495395</v>
      </c>
      <c r="EN86" s="59">
        <f t="shared" si="74"/>
        <v>582.76994749298387</v>
      </c>
      <c r="EO86" s="59">
        <f ca="1">AVERAGE(OFFSET($EN$3,0,0,'Données projet'!$E$15+1,1))-AVERAGE(OFFSET($H$3,0,0,'Données projet'!$E$15+1,1))</f>
        <v>205.83135724908942</v>
      </c>
      <c r="EP86" s="59">
        <f t="shared" si="100"/>
        <v>193.60053377311405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24.373275106210681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24.373275106210681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3.6</v>
      </c>
      <c r="FE86" s="12">
        <f>IF('Données projet'!$A$218&gt;35,FE85+FD86-FM85,IF(A86&lt;'Données projet'!$A$218,$FB$205^A86,IF(A86='Données projet'!$A$218,'Données projet'!$B$218,FE85+FD86-FM85)))</f>
        <v>206.80000000000015</v>
      </c>
      <c r="FF86" s="17">
        <f>FE86*VLOOKUP('Données projet'!$B$16,Paramètres!$A$1:$I$89,3,0)*VLOOKUP('Données projet'!$B$16,Paramètres!$A$1:$I$89,5,0)</f>
        <v>135.49536000000012</v>
      </c>
      <c r="FG86" s="13">
        <f t="shared" si="101"/>
        <v>35.263099712541788</v>
      </c>
      <c r="FH86" s="20">
        <f t="shared" si="76"/>
        <v>297.40431733267718</v>
      </c>
      <c r="FI86" s="59">
        <f t="shared" si="77"/>
        <v>581.08578613070711</v>
      </c>
      <c r="FJ86" s="59">
        <f ca="1">AVERAGE(OFFSET($FI$3,0,0,'Données projet'!$E$16+1,1))-AVERAGE(OFFSET($H$3,0,0,'Données projet'!$E$16+1,1))</f>
        <v>242.76791261317206</v>
      </c>
      <c r="FK86" s="59">
        <f t="shared" si="102"/>
        <v>244.28580264867682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36.086068581688295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36.086068581688295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7.6022222222222204</v>
      </c>
      <c r="FZ86" s="12">
        <f>IF('Données projet'!$A$244&gt;35,FZ85+FY86-GH85,IF(A86&lt;'Données projet'!$A$244,$FW$205^A86,IF(A86='Données projet'!$A$244,'Données projet'!$B$244,FZ85+FY86-GH85)))</f>
        <v>276.16777777777781</v>
      </c>
      <c r="GA86" s="17">
        <f>FZ86*VLOOKUP('Données projet'!$B$17,Paramètres!$A$1:$I$89,3,0)*VLOOKUP('Données projet'!$B$17,Paramètres!$A$1:$I$89,5,0)</f>
        <v>262.80125733333335</v>
      </c>
      <c r="GB86" s="13">
        <f t="shared" si="103"/>
        <v>63.319119889676735</v>
      </c>
      <c r="GC86" s="20">
        <f t="shared" si="79"/>
        <v>567.99299033007594</v>
      </c>
      <c r="GD86" s="59">
        <f t="shared" si="80"/>
        <v>851.67445912810581</v>
      </c>
      <c r="GE86" s="59">
        <f ca="1">AVERAGE(OFFSET($GD$3,0,0,'Données projet'!$E$17+1,1))-AVERAGE(OFFSET($H$3,0,0,'Données projet'!$E$17+1,1))</f>
        <v>512.71941256120977</v>
      </c>
      <c r="GF86" s="59">
        <f t="shared" si="104"/>
        <v>230.65031527019354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68.957532457319047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68.957532457319047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67.367673308553606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-5.6843418860808015E-14</v>
      </c>
      <c r="GV86" s="17">
        <f>GU86*VLOOKUP('Données projet'!$B$18,Paramètres!$A$1:$I$89,3,0)*VLOOKUP('Données projet'!$B$18,Paramètres!$A$1:$I$89,5,0)</f>
        <v>-2.5006556825246661E-14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180.68917161146683</v>
      </c>
      <c r="HA86" s="59">
        <f t="shared" si="106"/>
        <v>344.42126252322419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22.385027614155064</v>
      </c>
      <c r="HH86" s="21">
        <f>EXP(-LN(2)/25)*HH85+(1-EXP(-LN(2)/25))/(LN(2)/25)*Calculateur!HC86*Calculateur!HE86*VLOOKUP('Données projet'!$B$18,Paramètres!$A$1:$I$89,3,0)*0.475*44/12</f>
        <v>3.8105934817344158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26.195621095889479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2.25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8.25</v>
      </c>
      <c r="H87" s="66">
        <f t="shared" si="56"/>
        <v>223.66666666666666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283.77</v>
      </c>
      <c r="L87" s="12">
        <f>VLOOKUP(A87,'Données projet'!$A$35:$I$55,9,0)</f>
        <v>7.6022222222222204</v>
      </c>
      <c r="M87" s="12">
        <f t="array" ref="M87">INDEX(L:L,MIN(IF(ISNUMBER(L87:L283),ROW(L87:L283),"")))</f>
        <v>7.6022222222222204</v>
      </c>
      <c r="N87" s="13">
        <f>IF('Données projet'!$A$36&gt;35,N86+M87-V86,IF(A87&lt;'Données projet'!$A$36,$K$205^A87,IF(A87='Données projet'!$A$36,'Données projet'!$B$36,N86+M87-V86)))</f>
        <v>283.77000000000004</v>
      </c>
      <c r="O87" s="13">
        <f>N87*VLOOKUP('Données projet'!$B$9,Paramètres!$A$1:$I$89,3,0)*VLOOKUP('Données projet'!$B$9,Paramètres!$A$1:$I$89,5,0)</f>
        <v>256.75509600000004</v>
      </c>
      <c r="P87" s="13">
        <f t="shared" si="87"/>
        <v>62.030190794062293</v>
      </c>
      <c r="Q87" s="20">
        <f t="shared" si="54"/>
        <v>555.21770783299189</v>
      </c>
      <c r="R87" s="59">
        <f t="shared" si="55"/>
        <v>839.06661490237286</v>
      </c>
      <c r="S87" s="59">
        <f ca="1">AVERAGE(OFFSET($R$3,0,0,'Données projet'!$E$9+1,1))-AVERAGE(OFFSET($H$3,0,0,'Données projet'!$E$9+1,1))</f>
        <v>490.57849401500789</v>
      </c>
      <c r="T87" s="59">
        <f t="shared" si="88"/>
        <v>221.7570623669753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44.89</v>
      </c>
      <c r="W87" s="16">
        <f>IF(ISNA(VLOOKUP(A87,'Données projet'!$A$35:$I$55,5,0)),0%,VLOOKUP(A87,'Données projet'!$A$35:$I$55,5,0)*VLOOKUP('Données projet'!$B$9,Paramètres!$A$1:$I$89,7,0))</f>
        <v>0.43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83.587597523362675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83.587597523362675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6.4788888888888891</v>
      </c>
      <c r="AI87" s="13">
        <f>IF('Données projet'!$A$62&gt;35,AI86+AH87-AQ86,IF(A87&lt;'Données projet'!$A$62,$AF$205^A87,IF(A87='Données projet'!$A$62,'Données projet'!$B$62,AI86+AH87-AQ86)))</f>
        <v>216.31222222222223</v>
      </c>
      <c r="AJ87" s="13">
        <f>AI87*VLOOKUP('Données projet'!$B$10,Paramètres!$A$1:$I$89,3,0)*VLOOKUP('Données projet'!$B$10,Paramètres!$A$1:$I$89,5,0)</f>
        <v>145.10223866666669</v>
      </c>
      <c r="AK87" s="13">
        <f t="shared" si="89"/>
        <v>37.463410495944501</v>
      </c>
      <c r="AL87" s="20">
        <f t="shared" si="58"/>
        <v>317.96850562488112</v>
      </c>
      <c r="AM87" s="59">
        <f t="shared" si="59"/>
        <v>601.81741269426209</v>
      </c>
      <c r="AN87" s="59">
        <f ca="1">AVERAGE(OFFSET($AM$3,0,0,'Données projet'!$E$10+1,1))-AVERAGE(OFFSET($H$3,0,0,'Données projet'!$E$10+1,1))</f>
        <v>377.00534440335832</v>
      </c>
      <c r="AO87" s="59">
        <f t="shared" si="90"/>
        <v>131.56029120000656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39.353570764809675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39.353570764809675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2.8</v>
      </c>
      <c r="BD87" s="12">
        <f>IF('Données projet'!$A$88&gt;35,BD86+BC87-BL86,IF(A87&lt;'Données projet'!$A$88,$BA$205^A87,IF(A87='Données projet'!$A$88,'Données projet'!$B$88,BD86+BC87-BL86)))</f>
        <v>208.19999999999996</v>
      </c>
      <c r="BE87" s="13">
        <f>BD87*VLOOKUP('Données projet'!$B$11,Paramètres!$A$1:$I$89,3,0)*VLOOKUP('Données projet'!$B$11,Paramètres!$A$1:$I$89,5,0)</f>
        <v>181.88351999999998</v>
      </c>
      <c r="BF87" s="13">
        <f t="shared" si="91"/>
        <v>45.740980450513447</v>
      </c>
      <c r="BG87" s="20">
        <f t="shared" si="61"/>
        <v>396.4460049513109</v>
      </c>
      <c r="BH87" s="59">
        <f t="shared" si="62"/>
        <v>680.29491202069187</v>
      </c>
      <c r="BI87" s="59">
        <f ca="1">AVERAGE(OFFSET($BH$3,0,0,'Données projet'!$E$11+1,1))-AVERAGE(OFFSET($H$3,0,0,'Données projet'!$E$11+1,1))</f>
        <v>314.1123649635374</v>
      </c>
      <c r="BJ87" s="59">
        <f t="shared" si="92"/>
        <v>274.92342227914889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39.255869817541488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39.255869817541488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212.42519999999985</v>
      </c>
      <c r="CA87" s="13">
        <f t="shared" si="93"/>
        <v>52.465198231787184</v>
      </c>
      <c r="CB87" s="20">
        <f t="shared" si="64"/>
        <v>461.35077692036231</v>
      </c>
      <c r="CC87" s="59">
        <f t="shared" si="65"/>
        <v>745.19968398974333</v>
      </c>
      <c r="CD87" s="59">
        <f ca="1">AVERAGE(OFFSET($CC$3,0,0,'Données projet'!$E$12+1,1))-AVERAGE(OFFSET($H$3,0,0,'Données projet'!$E$12+1,1))</f>
        <v>309.86296291630748</v>
      </c>
      <c r="CE87" s="59">
        <f t="shared" si="94"/>
        <v>301.17633325088661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40.082422411811152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40.082422411811152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8.4</v>
      </c>
      <c r="CT87" s="12">
        <f>IF('Données projet'!$A$140&gt;35,CT86+CS87-DB86,IF(A87&lt;'Données projet'!$A$140,$CQ$205^A87,IF(A87='Données projet'!$A$140,'Données projet'!$B$140,CT86+CS87-DB86)))</f>
        <v>356.5999999999998</v>
      </c>
      <c r="CU87" s="17">
        <f>CT87*VLOOKUP('Données projet'!$B$13,Paramètres!$A$1:$I$89,3,0)*VLOOKUP('Données projet'!$B$13,Paramètres!$A$1:$I$89,5,0)</f>
        <v>305.96279999999985</v>
      </c>
      <c r="CV87" s="13">
        <f t="shared" si="95"/>
        <v>72.425059957831166</v>
      </c>
      <c r="CW87" s="20">
        <f t="shared" si="67"/>
        <v>659.02552275988899</v>
      </c>
      <c r="CX87" s="59">
        <f t="shared" si="68"/>
        <v>942.87442982926996</v>
      </c>
      <c r="CY87" s="59">
        <f ca="1">AVERAGE(OFFSET($CX$3,0,0,'Données projet'!$E$13+1,1))-AVERAGE(OFFSET($H$3,0,0,'Données projet'!$E$13+1,1))</f>
        <v>462.66388549889928</v>
      </c>
      <c r="CZ87" s="59">
        <f t="shared" si="96"/>
        <v>265.3725203415089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86.689888695018155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86.689888695018155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210.25641030000014</v>
      </c>
      <c r="DP87" s="17">
        <f>DO87*VLOOKUP('Données projet'!$B$14,Paramètres!$A$1:$I$89,3,0)*VLOOKUP('Données projet'!$B$14,Paramètres!$A$1:$I$89,5,0)</f>
        <v>164.00000003400012</v>
      </c>
      <c r="DQ87" s="13">
        <f t="shared" si="97"/>
        <v>41.743425916009095</v>
      </c>
      <c r="DR87" s="20">
        <f t="shared" si="70"/>
        <v>358.3364668629327</v>
      </c>
      <c r="DS87" s="59">
        <f t="shared" si="71"/>
        <v>642.18537393231372</v>
      </c>
      <c r="DT87" s="59">
        <f ca="1">AVERAGE(OFFSET($DS$3,0,0,'Données projet'!$E$14+1,1))-AVERAGE(OFFSET($H$3,0,0,'Données projet'!$E$14+1,1))</f>
        <v>206.5241977687125</v>
      </c>
      <c r="DU87" s="59">
        <f t="shared" si="98"/>
        <v>205.25001043771269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23.995091555800503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23.995091555800503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155.99999999999991</v>
      </c>
      <c r="EK87" s="17">
        <f>EJ87*VLOOKUP('Données projet'!$B$15,Paramètres!$A$1:$I$89,3,0)*VLOOKUP('Données projet'!$B$15,Paramètres!$A$1:$I$89,5,0)</f>
        <v>136.28159999999994</v>
      </c>
      <c r="EL87" s="13">
        <f t="shared" si="99"/>
        <v>35.443842312892279</v>
      </c>
      <c r="EM87" s="20">
        <f t="shared" si="73"/>
        <v>299.08847869495395</v>
      </c>
      <c r="EN87" s="59">
        <f t="shared" si="74"/>
        <v>582.93738576433498</v>
      </c>
      <c r="EO87" s="59">
        <f ca="1">AVERAGE(OFFSET($EN$3,0,0,'Données projet'!$E$15+1,1))-AVERAGE(OFFSET($H$3,0,0,'Données projet'!$E$15+1,1))</f>
        <v>205.83135724908942</v>
      </c>
      <c r="EP87" s="59">
        <f t="shared" si="100"/>
        <v>193.60053377311405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23.895330047607786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23.895330047607786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3.6</v>
      </c>
      <c r="FE87" s="12">
        <f>IF('Données projet'!$A$218&gt;35,FE86+FD87-FM86,IF(A87&lt;'Données projet'!$A$218,$FB$205^A87,IF(A87='Données projet'!$A$218,'Données projet'!$B$218,FE86+FD87-FM86)))</f>
        <v>210.40000000000015</v>
      </c>
      <c r="FF87" s="17">
        <f>FE87*VLOOKUP('Données projet'!$B$16,Paramètres!$A$1:$I$89,3,0)*VLOOKUP('Données projet'!$B$16,Paramètres!$A$1:$I$89,5,0)</f>
        <v>137.8540800000001</v>
      </c>
      <c r="FG87" s="13">
        <f t="shared" si="101"/>
        <v>35.804964283629992</v>
      </c>
      <c r="FH87" s="20">
        <f t="shared" si="76"/>
        <v>302.45616879398909</v>
      </c>
      <c r="FI87" s="59">
        <f t="shared" si="77"/>
        <v>586.30507586337012</v>
      </c>
      <c r="FJ87" s="59">
        <f ca="1">AVERAGE(OFFSET($FI$3,0,0,'Données projet'!$E$16+1,1))-AVERAGE(OFFSET($H$3,0,0,'Données projet'!$E$16+1,1))</f>
        <v>242.76791261317206</v>
      </c>
      <c r="FK87" s="59">
        <f t="shared" si="102"/>
        <v>244.28580264867682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35.378442787129885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35.378442787129885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>
        <f>VLOOKUP(A87,'Données projet'!$A$243:$I$263,2,0)</f>
        <v>283.77</v>
      </c>
      <c r="FX87" s="12">
        <f>VLOOKUP(A87,'Données projet'!$A$243:$I$263,9,0)</f>
        <v>7.6022222222222204</v>
      </c>
      <c r="FY87" s="12">
        <f t="array" ref="FY87">INDEX(FX:FX,MIN(IF(ISNUMBER(FX87:FX283),ROW(FX87:FX283),"")))</f>
        <v>7.6022222222222204</v>
      </c>
      <c r="FZ87" s="12">
        <f>IF('Données projet'!$A$244&gt;35,FZ86+FY87-GH86,IF(A87&lt;'Données projet'!$A$244,$FW$205^A87,IF(A87='Données projet'!$A$244,'Données projet'!$B$244,FZ86+FY87-GH86)))</f>
        <v>283.77000000000004</v>
      </c>
      <c r="GA87" s="17">
        <f>FZ87*VLOOKUP('Données projet'!$B$17,Paramètres!$A$1:$I$89,3,0)*VLOOKUP('Données projet'!$B$17,Paramètres!$A$1:$I$89,5,0)</f>
        <v>270.03553200000005</v>
      </c>
      <c r="GB87" s="13">
        <f t="shared" si="103"/>
        <v>64.856810017253252</v>
      </c>
      <c r="GC87" s="20">
        <f t="shared" si="79"/>
        <v>583.27082901338281</v>
      </c>
      <c r="GD87" s="59">
        <f t="shared" si="80"/>
        <v>867.11973608276378</v>
      </c>
      <c r="GE87" s="59">
        <f ca="1">AVERAGE(OFFSET($GD$3,0,0,'Données projet'!$E$17+1,1))-AVERAGE(OFFSET($H$3,0,0,'Données projet'!$E$17+1,1))</f>
        <v>512.71941256120977</v>
      </c>
      <c r="GF87" s="59">
        <f t="shared" si="104"/>
        <v>230.65031527019354</v>
      </c>
      <c r="GG87" s="15">
        <f>IF(ISNA(VLOOKUP(A87,'Données projet'!$A$243:$I$263,3,0)),0,VLOOKUP(A87,'Données projet'!$A$243:$I$263,3,0))</f>
        <v>6</v>
      </c>
      <c r="GH87" s="15">
        <f>IF(ISNA(VLOOKUP(A87,'Données projet'!$A$243:$I$263,4,0)),0,VLOOKUP(A87,'Données projet'!$A$243:$I$263,4,0))</f>
        <v>44.89</v>
      </c>
      <c r="GI87" s="16">
        <f>IF(ISNA(VLOOKUP(A87,'Données projet'!$A$243:$I$263,5,0)),0%,VLOOKUP(A87,'Données projet'!$A$243:$I$263,5,0)*VLOOKUP('Données projet'!$B$17,Paramètres!$A$1:$I$89,7,0))</f>
        <v>0.43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87.911093946984906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87.911093946984906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67.413338291649353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-5.6843418860808015E-14</v>
      </c>
      <c r="GV87" s="17">
        <f>GU87*VLOOKUP('Données projet'!$B$18,Paramètres!$A$1:$I$89,3,0)*VLOOKUP('Données projet'!$B$18,Paramètres!$A$1:$I$89,5,0)</f>
        <v>-2.5006556825246661E-14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180.68917161146683</v>
      </c>
      <c r="HA87" s="59">
        <f t="shared" si="106"/>
        <v>344.42126252322419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21.946070876160153</v>
      </c>
      <c r="HH87" s="21">
        <f>EXP(-LN(2)/25)*HH86+(1-EXP(-LN(2)/25))/(LN(2)/25)*Calculateur!HC87*Calculateur!HE87*VLOOKUP('Données projet'!$B$18,Paramètres!$A$1:$I$89,3,0)*0.475*44/12</f>
        <v>3.7063926025859861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25.652463478746139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2.25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8.25</v>
      </c>
      <c r="H88" s="66">
        <f t="shared" si="56"/>
        <v>223.66666666666666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7.1655555555555566</v>
      </c>
      <c r="N88" s="13">
        <f>IF('Données projet'!$A$36&gt;35,N87+M88-V87,IF(A88&lt;'Données projet'!$A$36,$K$205^A88,IF(A88='Données projet'!$A$36,'Données projet'!$B$36,N87+M88-V87)))</f>
        <v>246.04555555555561</v>
      </c>
      <c r="O88" s="13">
        <f>N88*VLOOKUP('Données projet'!$B$9,Paramètres!$A$1:$I$89,3,0)*VLOOKUP('Données projet'!$B$9,Paramètres!$A$1:$I$89,5,0)</f>
        <v>222.62201866666672</v>
      </c>
      <c r="P88" s="13">
        <f t="shared" si="87"/>
        <v>54.684374969859142</v>
      </c>
      <c r="Q88" s="20">
        <f t="shared" si="54"/>
        <v>482.97530225028254</v>
      </c>
      <c r="R88" s="59">
        <f t="shared" si="55"/>
        <v>766.98874291134257</v>
      </c>
      <c r="S88" s="59">
        <f ca="1">AVERAGE(OFFSET($R$3,0,0,'Données projet'!$E$9+1,1))-AVERAGE(OFFSET($H$3,0,0,'Données projet'!$E$9+1,1))</f>
        <v>490.57849401500789</v>
      </c>
      <c r="T88" s="59">
        <f t="shared" si="88"/>
        <v>221.7570623669753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81.948495719329827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81.948495719329827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6.4788888888888891</v>
      </c>
      <c r="AI88" s="13">
        <f>IF('Données projet'!$A$62&gt;35,AI87+AH88-AQ87,IF(A88&lt;'Données projet'!$A$62,$AF$205^A88,IF(A88='Données projet'!$A$62,'Données projet'!$B$62,AI87+AH88-AQ87)))</f>
        <v>222.79111111111112</v>
      </c>
      <c r="AJ88" s="13">
        <f>AI88*VLOOKUP('Données projet'!$B$10,Paramètres!$A$1:$I$89,3,0)*VLOOKUP('Données projet'!$B$10,Paramètres!$A$1:$I$89,5,0)</f>
        <v>149.44827733333332</v>
      </c>
      <c r="AK88" s="13">
        <f t="shared" si="89"/>
        <v>38.453177788162662</v>
      </c>
      <c r="AL88" s="20">
        <f t="shared" si="58"/>
        <v>327.26170100327221</v>
      </c>
      <c r="AM88" s="59">
        <f t="shared" si="59"/>
        <v>611.27514166433218</v>
      </c>
      <c r="AN88" s="59">
        <f ca="1">AVERAGE(OFFSET($AM$3,0,0,'Données projet'!$E$10+1,1))-AVERAGE(OFFSET($H$3,0,0,'Données projet'!$E$10+1,1))</f>
        <v>377.00534440335832</v>
      </c>
      <c r="AO88" s="59">
        <f t="shared" si="90"/>
        <v>131.56029120000656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38.581871245419791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38.581871245419791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211</v>
      </c>
      <c r="BB88" s="12">
        <f>VLOOKUP(A88,'Données projet'!$A$87:$I$107,9,0)</f>
        <v>2.8</v>
      </c>
      <c r="BC88" s="12">
        <f t="array" ref="BC88">INDEX(BB:BB,MIN(IF(ISNUMBER(BB88:BB284),ROW(BB88:BB284),"")))</f>
        <v>2.8</v>
      </c>
      <c r="BD88" s="12">
        <f>IF('Données projet'!$A$88&gt;35,BD87+BC88-BL87,IF(A88&lt;'Données projet'!$A$88,$BA$205^A88,IF(A88='Données projet'!$A$88,'Données projet'!$B$88,BD87+BC88-BL87)))</f>
        <v>210.99999999999997</v>
      </c>
      <c r="BE88" s="13">
        <f>BD88*VLOOKUP('Données projet'!$B$11,Paramètres!$A$1:$I$89,3,0)*VLOOKUP('Données projet'!$B$11,Paramètres!$A$1:$I$89,5,0)</f>
        <v>184.3296</v>
      </c>
      <c r="BF88" s="13">
        <f t="shared" si="91"/>
        <v>46.284105851003062</v>
      </c>
      <c r="BG88" s="20">
        <f t="shared" si="61"/>
        <v>401.65220435716361</v>
      </c>
      <c r="BH88" s="59">
        <f t="shared" si="62"/>
        <v>685.66564501822359</v>
      </c>
      <c r="BI88" s="59">
        <f ca="1">AVERAGE(OFFSET($BH$3,0,0,'Données projet'!$E$11+1,1))-AVERAGE(OFFSET($H$3,0,0,'Données projet'!$E$11+1,1))</f>
        <v>314.1123649635374</v>
      </c>
      <c r="BJ88" s="59">
        <f t="shared" si="92"/>
        <v>274.92342227914889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10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42.638763525443778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42.638763525443778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212.42519999999985</v>
      </c>
      <c r="CA88" s="13">
        <f t="shared" si="93"/>
        <v>52.465198231787184</v>
      </c>
      <c r="CB88" s="20">
        <f t="shared" si="64"/>
        <v>461.35077692036231</v>
      </c>
      <c r="CC88" s="59">
        <f t="shared" si="65"/>
        <v>745.36421758142228</v>
      </c>
      <c r="CD88" s="59">
        <f ca="1">AVERAGE(OFFSET($CC$3,0,0,'Données projet'!$E$12+1,1))-AVERAGE(OFFSET($H$3,0,0,'Données projet'!$E$12+1,1))</f>
        <v>309.86296291630748</v>
      </c>
      <c r="CE88" s="59">
        <f t="shared" si="94"/>
        <v>301.17633325088661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39.296430556179182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39.296430556179182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365</v>
      </c>
      <c r="CR88" s="12">
        <f>VLOOKUP(A88,'Données projet'!$A$139:$I$159,9,0)</f>
        <v>8.4</v>
      </c>
      <c r="CS88" s="12">
        <f t="array" ref="CS88">INDEX(CR:CR,MIN(IF(ISNUMBER(CR88:CR284),ROW(CR88:CR284),"")))</f>
        <v>8.4</v>
      </c>
      <c r="CT88" s="12">
        <f>IF('Données projet'!$A$140&gt;35,CT87+CS88-DB87,IF(A88&lt;'Données projet'!$A$140,$CQ$205^A88,IF(A88='Données projet'!$A$140,'Données projet'!$B$140,CT87+CS88-DB87)))</f>
        <v>364.99999999999977</v>
      </c>
      <c r="CU88" s="17">
        <f>CT88*VLOOKUP('Données projet'!$B$13,Paramètres!$A$1:$I$89,3,0)*VLOOKUP('Données projet'!$B$13,Paramètres!$A$1:$I$89,5,0)</f>
        <v>313.16999999999985</v>
      </c>
      <c r="CV88" s="13">
        <f t="shared" si="95"/>
        <v>73.930459835341836</v>
      </c>
      <c r="CW88" s="20">
        <f t="shared" si="67"/>
        <v>674.19996754655335</v>
      </c>
      <c r="CX88" s="59">
        <f t="shared" si="68"/>
        <v>958.21340820761338</v>
      </c>
      <c r="CY88" s="59">
        <f ca="1">AVERAGE(OFFSET($CX$3,0,0,'Données projet'!$E$13+1,1))-AVERAGE(OFFSET($H$3,0,0,'Données projet'!$E$13+1,1))</f>
        <v>462.66388549889928</v>
      </c>
      <c r="CZ88" s="59">
        <f t="shared" si="96"/>
        <v>265.3725203415089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27</v>
      </c>
      <c r="DC88" s="16">
        <f>IF(ISNA(VLOOKUP(A88,'Données projet'!$A$139:$I$159,5,0)),0%,VLOOKUP(A88,'Données projet'!$A$139:$I$159,5,0)*VLOOKUP('Données projet'!$B$13,Paramètres!$A$1:$I$89,7,0))</f>
        <v>0.53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98.562896063817888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98.562896063817888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210.25641030000014</v>
      </c>
      <c r="DP88" s="17">
        <f>DO88*VLOOKUP('Données projet'!$B$14,Paramètres!$A$1:$I$89,3,0)*VLOOKUP('Données projet'!$B$14,Paramètres!$A$1:$I$89,5,0)</f>
        <v>164.00000003400012</v>
      </c>
      <c r="DQ88" s="13">
        <f t="shared" si="97"/>
        <v>41.743425916009095</v>
      </c>
      <c r="DR88" s="20">
        <f t="shared" si="70"/>
        <v>358.3364668629327</v>
      </c>
      <c r="DS88" s="59">
        <f t="shared" si="71"/>
        <v>642.34990752399267</v>
      </c>
      <c r="DT88" s="59">
        <f ca="1">AVERAGE(OFFSET($DS$3,0,0,'Données projet'!$E$14+1,1))-AVERAGE(OFFSET($H$3,0,0,'Données projet'!$E$14+1,1))</f>
        <v>206.5241977687125</v>
      </c>
      <c r="DU88" s="59">
        <f t="shared" si="98"/>
        <v>205.25001043771269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23.524562445951961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23.524562445951961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155.99999999999991</v>
      </c>
      <c r="EK88" s="17">
        <f>EJ88*VLOOKUP('Données projet'!$B$15,Paramètres!$A$1:$I$89,3,0)*VLOOKUP('Données projet'!$B$15,Paramètres!$A$1:$I$89,5,0)</f>
        <v>136.28159999999994</v>
      </c>
      <c r="EL88" s="13">
        <f t="shared" si="99"/>
        <v>35.443842312892279</v>
      </c>
      <c r="EM88" s="20">
        <f t="shared" si="73"/>
        <v>299.08847869495395</v>
      </c>
      <c r="EN88" s="59">
        <f t="shared" si="74"/>
        <v>583.10191935601392</v>
      </c>
      <c r="EO88" s="59">
        <f ca="1">AVERAGE(OFFSET($EN$3,0,0,'Données projet'!$E$15+1,1))-AVERAGE(OFFSET($H$3,0,0,'Données projet'!$E$15+1,1))</f>
        <v>205.83135724908942</v>
      </c>
      <c r="EP88" s="59">
        <f t="shared" si="100"/>
        <v>193.60053377311405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23.426757200086392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23.426757200086392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214</v>
      </c>
      <c r="FC88" s="12">
        <f>VLOOKUP(A88,'Données projet'!$A$217:$I$237,9,0)</f>
        <v>3.6</v>
      </c>
      <c r="FD88" s="12">
        <f t="array" ref="FD88">INDEX(FC:FC,MIN(IF(ISNUMBER(FC88:FC284),ROW(FC88:FC284),"")))</f>
        <v>3.6</v>
      </c>
      <c r="FE88" s="12">
        <f>IF('Données projet'!$A$218&gt;35,FE87+FD88-FM87,IF(A88&lt;'Données projet'!$A$218,$FB$205^A88,IF(A88='Données projet'!$A$218,'Données projet'!$B$218,FE87+FD88-FM87)))</f>
        <v>214.00000000000014</v>
      </c>
      <c r="FF88" s="17">
        <f>FE88*VLOOKUP('Données projet'!$B$16,Paramètres!$A$1:$I$89,3,0)*VLOOKUP('Données projet'!$B$16,Paramètres!$A$1:$I$89,5,0)</f>
        <v>140.21280000000007</v>
      </c>
      <c r="FG88" s="13">
        <f t="shared" si="101"/>
        <v>36.345750676634587</v>
      </c>
      <c r="FH88" s="20">
        <f t="shared" si="76"/>
        <v>307.50614242847206</v>
      </c>
      <c r="FI88" s="59">
        <f t="shared" si="77"/>
        <v>591.51958308953203</v>
      </c>
      <c r="FJ88" s="59">
        <f ca="1">AVERAGE(OFFSET($FI$3,0,0,'Données projet'!$E$16+1,1))-AVERAGE(OFFSET($H$3,0,0,'Données projet'!$E$16+1,1))</f>
        <v>242.76791261317206</v>
      </c>
      <c r="FK88" s="59">
        <f t="shared" si="102"/>
        <v>244.28580264867682</v>
      </c>
      <c r="FL88" s="15">
        <f>IF(ISNA(VLOOKUP(A88,'Données projet'!$A$217:$I$237,3,0)),0,VLOOKUP(A88,'Données projet'!$A$217:$I$237,3,0))</f>
        <v>16</v>
      </c>
      <c r="FM88" s="15">
        <f>IF(ISNA(VLOOKUP(A88,'Données projet'!$A$217:$I$237,4,0)),0,VLOOKUP(A88,'Données projet'!$A$217:$I$237,4,0))</f>
        <v>14</v>
      </c>
      <c r="FN88" s="16">
        <f>IF(ISNA(VLOOKUP(A88,'Données projet'!$A$217:$I$237,5,0)),0%,VLOOKUP(A88,'Données projet'!$A$217:$I$237,5,0)*VLOOKUP('Données projet'!$B$16,Paramètres!$A$1:$I$89,7,0))</f>
        <v>0.43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39.045004342666978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39.045004342666978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7.1655555555555566</v>
      </c>
      <c r="FZ88" s="12">
        <f>IF('Données projet'!$A$244&gt;35,FZ87+FY88-GH87,IF(A88&lt;'Données projet'!$A$244,$FW$205^A88,IF(A88='Données projet'!$A$244,'Données projet'!$B$244,FZ87+FY88-GH87)))</f>
        <v>246.04555555555561</v>
      </c>
      <c r="GA88" s="17">
        <f>FZ88*VLOOKUP('Données projet'!$B$17,Paramètres!$A$1:$I$89,3,0)*VLOOKUP('Données projet'!$B$17,Paramètres!$A$1:$I$89,5,0)</f>
        <v>234.13695066666673</v>
      </c>
      <c r="GB88" s="13">
        <f t="shared" si="103"/>
        <v>57.176256802226199</v>
      </c>
      <c r="GC88" s="20">
        <f t="shared" si="79"/>
        <v>507.3705030083218</v>
      </c>
      <c r="GD88" s="59">
        <f t="shared" si="80"/>
        <v>791.38394366938178</v>
      </c>
      <c r="GE88" s="59">
        <f ca="1">AVERAGE(OFFSET($GD$3,0,0,'Données projet'!$E$17+1,1))-AVERAGE(OFFSET($H$3,0,0,'Données projet'!$E$17+1,1))</f>
        <v>512.71941256120977</v>
      </c>
      <c r="GF88" s="59">
        <f t="shared" si="104"/>
        <v>230.65031527019354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86.18721101515726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86.18721101515726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67.458211089380001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-5.6843418860808015E-14</v>
      </c>
      <c r="GV88" s="17">
        <f>GU88*VLOOKUP('Données projet'!$B$18,Paramètres!$A$1:$I$89,3,0)*VLOOKUP('Données projet'!$B$18,Paramètres!$A$1:$I$89,5,0)</f>
        <v>-2.5006556825246661E-14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180.68917161146683</v>
      </c>
      <c r="HA88" s="59">
        <f t="shared" si="106"/>
        <v>344.42126252322419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21.51572181206015</v>
      </c>
      <c r="HH88" s="21">
        <f>EXP(-LN(2)/25)*HH87+(1-EXP(-LN(2)/25))/(LN(2)/25)*Calculateur!HC88*Calculateur!HE88*VLOOKUP('Données projet'!$B$18,Paramètres!$A$1:$I$89,3,0)*0.475*44/12</f>
        <v>3.6050411019575566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25.120762914017707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2.25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8.25</v>
      </c>
      <c r="H89" s="66">
        <f t="shared" si="56"/>
        <v>223.66666666666666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7.1655555555555566</v>
      </c>
      <c r="N89" s="13">
        <f>IF('Données projet'!$A$36&gt;35,N88+M89-V88,IF(A89&lt;'Données projet'!$A$36,$K$205^A89,IF(A89='Données projet'!$A$36,'Données projet'!$B$36,N88+M89-V88)))</f>
        <v>253.21111111111117</v>
      </c>
      <c r="O89" s="13">
        <f>N89*VLOOKUP('Données projet'!$B$9,Paramètres!$A$1:$I$89,3,0)*VLOOKUP('Données projet'!$B$9,Paramètres!$A$1:$I$89,5,0)</f>
        <v>229.10541333333336</v>
      </c>
      <c r="P89" s="13">
        <f t="shared" si="87"/>
        <v>56.089207128116492</v>
      </c>
      <c r="Q89" s="20">
        <f t="shared" si="54"/>
        <v>496.71396397035846</v>
      </c>
      <c r="R89" s="59">
        <f t="shared" si="55"/>
        <v>780.88908393312386</v>
      </c>
      <c r="S89" s="59">
        <f ca="1">AVERAGE(OFFSET($R$3,0,0,'Données projet'!$E$9+1,1))-AVERAGE(OFFSET($H$3,0,0,'Données projet'!$E$9+1,1))</f>
        <v>490.57849401500789</v>
      </c>
      <c r="T89" s="59">
        <f t="shared" si="88"/>
        <v>221.7570623669753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80.341535701920677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80.341535701920677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>
        <f>VLOOKUP(A89,'Données projet'!$A$61:$I$81,2,0)</f>
        <v>229.27</v>
      </c>
      <c r="AG89" s="12">
        <f>VLOOKUP(A89,'Données projet'!$A$61:$I$81,9,0)</f>
        <v>6.4788888888888891</v>
      </c>
      <c r="AH89" s="12">
        <f t="array" ref="AH89">INDEX(AG:AG,MIN(IF(ISNUMBER(AG89:AG285),ROW(AG89:AG285),"")))</f>
        <v>6.4788888888888891</v>
      </c>
      <c r="AI89" s="13">
        <f>IF('Données projet'!$A$62&gt;35,AI88+AH89-AQ88,IF(A89&lt;'Données projet'!$A$62,$AF$205^A89,IF(A89='Données projet'!$A$62,'Données projet'!$B$62,AI88+AH89-AQ88)))</f>
        <v>229.27</v>
      </c>
      <c r="AJ89" s="13">
        <f>AI89*VLOOKUP('Données projet'!$B$10,Paramètres!$A$1:$I$89,3,0)*VLOOKUP('Données projet'!$B$10,Paramètres!$A$1:$I$89,5,0)</f>
        <v>153.79431600000001</v>
      </c>
      <c r="AK89" s="13">
        <f t="shared" si="89"/>
        <v>39.439599907223034</v>
      </c>
      <c r="AL89" s="20">
        <f t="shared" si="58"/>
        <v>336.54907020508011</v>
      </c>
      <c r="AM89" s="59">
        <f t="shared" si="59"/>
        <v>620.72419016784556</v>
      </c>
      <c r="AN89" s="59">
        <f ca="1">AVERAGE(OFFSET($AM$3,0,0,'Données projet'!$E$10+1,1))-AVERAGE(OFFSET($H$3,0,0,'Données projet'!$E$10+1,1))</f>
        <v>377.00534440335832</v>
      </c>
      <c r="AO89" s="59">
        <f t="shared" si="90"/>
        <v>131.56029120000656</v>
      </c>
      <c r="AP89" s="15">
        <f>IF(ISNA(VLOOKUP(A89,'Données projet'!$A$61:$I$81,3,0)),0,VLOOKUP(A89,'Données projet'!$A$61:$I$81,3,0))</f>
        <v>4</v>
      </c>
      <c r="AQ89" s="15">
        <f>IF(ISNA(VLOOKUP(A89,'Données projet'!$A$61:$I$81,4,0)),0,VLOOKUP(A89,'Données projet'!$A$61:$I$81,4,0))</f>
        <v>34.46</v>
      </c>
      <c r="AR89" s="16">
        <f>IF(ISNA(VLOOKUP(A89,'Données projet'!$A$61:$I$81,5,0)),0%,VLOOKUP(A89,'Données projet'!$A$61:$I$81,5,0)*VLOOKUP('Données projet'!$B$10,Paramètres!$A$1:$I$89,7,0))</f>
        <v>0.53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51.368816599717398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51.368816599717398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2.8</v>
      </c>
      <c r="BD89" s="12">
        <f>IF('Données projet'!$A$88&gt;35,BD88+BC89-BL88,IF(A89&lt;'Données projet'!$A$88,$BA$205^A89,IF(A89='Données projet'!$A$88,'Données projet'!$B$88,BD88+BC89-BL88)))</f>
        <v>203.79999999999998</v>
      </c>
      <c r="BE89" s="13">
        <f>BD89*VLOOKUP('Données projet'!$B$11,Paramètres!$A$1:$I$89,3,0)*VLOOKUP('Données projet'!$B$11,Paramètres!$A$1:$I$89,5,0)</f>
        <v>178.03968</v>
      </c>
      <c r="BF89" s="13">
        <f t="shared" si="91"/>
        <v>44.885773518007284</v>
      </c>
      <c r="BG89" s="20">
        <f t="shared" si="61"/>
        <v>388.26183154386268</v>
      </c>
      <c r="BH89" s="59">
        <f t="shared" si="62"/>
        <v>672.43695150662813</v>
      </c>
      <c r="BI89" s="59">
        <f ca="1">AVERAGE(OFFSET($BH$3,0,0,'Données projet'!$E$11+1,1))-AVERAGE(OFFSET($H$3,0,0,'Données projet'!$E$11+1,1))</f>
        <v>314.1123649635374</v>
      </c>
      <c r="BJ89" s="59">
        <f t="shared" si="92"/>
        <v>274.92342227914889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41.80264337978759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41.80264337978759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212.42519999999985</v>
      </c>
      <c r="CA89" s="13">
        <f t="shared" si="93"/>
        <v>52.465198231787184</v>
      </c>
      <c r="CB89" s="20">
        <f t="shared" si="64"/>
        <v>461.35077692036231</v>
      </c>
      <c r="CC89" s="59">
        <f t="shared" si="65"/>
        <v>745.52589688312776</v>
      </c>
      <c r="CD89" s="59">
        <f ca="1">AVERAGE(OFFSET($CC$3,0,0,'Données projet'!$E$12+1,1))-AVERAGE(OFFSET($H$3,0,0,'Données projet'!$E$12+1,1))</f>
        <v>309.86296291630748</v>
      </c>
      <c r="CE89" s="59">
        <f t="shared" si="94"/>
        <v>301.17633325088661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38.525851521428457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38.525851521428457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7.8</v>
      </c>
      <c r="CT89" s="12">
        <f>IF('Données projet'!$A$140&gt;35,CT88+CS89-DB88,IF(A89&lt;'Données projet'!$A$140,$CQ$205^A89,IF(A89='Données projet'!$A$140,'Données projet'!$B$140,CT88+CS89-DB88)))</f>
        <v>345.79999999999978</v>
      </c>
      <c r="CU89" s="17">
        <f>CT89*VLOOKUP('Données projet'!$B$13,Paramètres!$A$1:$I$89,3,0)*VLOOKUP('Données projet'!$B$13,Paramètres!$A$1:$I$89,5,0)</f>
        <v>296.69639999999981</v>
      </c>
      <c r="CV89" s="13">
        <f t="shared" si="95"/>
        <v>70.48345633189993</v>
      </c>
      <c r="CW89" s="20">
        <f t="shared" si="67"/>
        <v>639.50491644472538</v>
      </c>
      <c r="CX89" s="59">
        <f t="shared" si="68"/>
        <v>923.68003640749089</v>
      </c>
      <c r="CY89" s="59">
        <f ca="1">AVERAGE(OFFSET($CX$3,0,0,'Données projet'!$E$13+1,1))-AVERAGE(OFFSET($H$3,0,0,'Données projet'!$E$13+1,1))</f>
        <v>462.66388549889928</v>
      </c>
      <c r="CZ89" s="59">
        <f t="shared" si="96"/>
        <v>265.3725203415089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96.630137789436915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96.630137789436915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210.25641030000014</v>
      </c>
      <c r="DP89" s="17">
        <f>DO89*VLOOKUP('Données projet'!$B$14,Paramètres!$A$1:$I$89,3,0)*VLOOKUP('Données projet'!$B$14,Paramètres!$A$1:$I$89,5,0)</f>
        <v>164.00000003400012</v>
      </c>
      <c r="DQ89" s="13">
        <f t="shared" si="97"/>
        <v>41.743425916009095</v>
      </c>
      <c r="DR89" s="20">
        <f t="shared" si="70"/>
        <v>358.3364668629327</v>
      </c>
      <c r="DS89" s="59">
        <f t="shared" si="71"/>
        <v>642.51158682569815</v>
      </c>
      <c r="DT89" s="59">
        <f ca="1">AVERAGE(OFFSET($DS$3,0,0,'Données projet'!$E$14+1,1))-AVERAGE(OFFSET($H$3,0,0,'Données projet'!$E$14+1,1))</f>
        <v>206.5241977687125</v>
      </c>
      <c r="DU89" s="59">
        <f t="shared" si="98"/>
        <v>205.25001043771269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23.063260124953132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23.063260124953132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155.99999999999991</v>
      </c>
      <c r="EK89" s="17">
        <f>EJ89*VLOOKUP('Données projet'!$B$15,Paramètres!$A$1:$I$89,3,0)*VLOOKUP('Données projet'!$B$15,Paramètres!$A$1:$I$89,5,0)</f>
        <v>136.28159999999994</v>
      </c>
      <c r="EL89" s="13">
        <f t="shared" si="99"/>
        <v>35.443842312892279</v>
      </c>
      <c r="EM89" s="20">
        <f t="shared" si="73"/>
        <v>299.08847869495395</v>
      </c>
      <c r="EN89" s="59">
        <f t="shared" si="74"/>
        <v>583.2635986577194</v>
      </c>
      <c r="EO89" s="59">
        <f ca="1">AVERAGE(OFFSET($EN$3,0,0,'Données projet'!$E$15+1,1))-AVERAGE(OFFSET($H$3,0,0,'Données projet'!$E$15+1,1))</f>
        <v>205.83135724908942</v>
      </c>
      <c r="EP89" s="59">
        <f t="shared" si="100"/>
        <v>193.60053377311405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22.967372780303677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22.967372780303677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3.4</v>
      </c>
      <c r="FE89" s="12">
        <f>IF('Données projet'!$A$218&gt;35,FE88+FD89-FM88,IF(A89&lt;'Données projet'!$A$218,$FB$205^A89,IF(A89='Données projet'!$A$218,'Données projet'!$B$218,FE88+FD89-FM88)))</f>
        <v>203.40000000000015</v>
      </c>
      <c r="FF89" s="17">
        <f>FE89*VLOOKUP('Données projet'!$B$16,Paramètres!$A$1:$I$89,3,0)*VLOOKUP('Données projet'!$B$16,Paramètres!$A$1:$I$89,5,0)</f>
        <v>133.2676800000001</v>
      </c>
      <c r="FG89" s="13">
        <f t="shared" si="101"/>
        <v>34.750329840004937</v>
      </c>
      <c r="FH89" s="20">
        <f t="shared" si="76"/>
        <v>292.63136713800878</v>
      </c>
      <c r="FI89" s="59">
        <f t="shared" si="77"/>
        <v>576.80648710077423</v>
      </c>
      <c r="FJ89" s="59">
        <f ca="1">AVERAGE(OFFSET($FI$3,0,0,'Données projet'!$E$16+1,1))-AVERAGE(OFFSET($H$3,0,0,'Données projet'!$E$16+1,1))</f>
        <v>242.76791261317206</v>
      </c>
      <c r="FK89" s="59">
        <f t="shared" si="102"/>
        <v>244.28580264867682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38.279355622608385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38.279355622608385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7.1655555555555566</v>
      </c>
      <c r="FZ89" s="12">
        <f>IF('Données projet'!$A$244&gt;35,FZ88+FY89-GH88,IF(A89&lt;'Données projet'!$A$244,$FW$205^A89,IF(A89='Données projet'!$A$244,'Données projet'!$B$244,FZ88+FY89-GH88)))</f>
        <v>253.21111111111117</v>
      </c>
      <c r="GA89" s="17">
        <f>FZ89*VLOOKUP('Données projet'!$B$17,Paramètres!$A$1:$I$89,3,0)*VLOOKUP('Données projet'!$B$17,Paramètres!$A$1:$I$89,5,0)</f>
        <v>240.95569333333339</v>
      </c>
      <c r="GB89" s="13">
        <f t="shared" si="103"/>
        <v>58.645104974831632</v>
      </c>
      <c r="GC89" s="20">
        <f t="shared" si="79"/>
        <v>521.80472372005397</v>
      </c>
      <c r="GD89" s="59">
        <f t="shared" si="80"/>
        <v>805.97984368281936</v>
      </c>
      <c r="GE89" s="59">
        <f ca="1">AVERAGE(OFFSET($GD$3,0,0,'Données projet'!$E$17+1,1))-AVERAGE(OFFSET($H$3,0,0,'Données projet'!$E$17+1,1))</f>
        <v>512.71941256120977</v>
      </c>
      <c r="GF89" s="59">
        <f t="shared" si="104"/>
        <v>230.65031527019354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84.497132376157992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84.497132376157992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67.502305444390572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-5.6843418860808015E-14</v>
      </c>
      <c r="GV89" s="17">
        <f>GU89*VLOOKUP('Données projet'!$B$18,Paramètres!$A$1:$I$89,3,0)*VLOOKUP('Données projet'!$B$18,Paramètres!$A$1:$I$89,5,0)</f>
        <v>-2.5006556825246661E-14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180.68917161146683</v>
      </c>
      <c r="HA89" s="59">
        <f t="shared" si="106"/>
        <v>344.42126252322419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21.093811630620138</v>
      </c>
      <c r="HH89" s="21">
        <f>EXP(-LN(2)/25)*HH88+(1-EXP(-LN(2)/25))/(LN(2)/25)*Calculateur!HC89*Calculateur!HE89*VLOOKUP('Données projet'!$B$18,Paramètres!$A$1:$I$89,3,0)*0.475*44/12</f>
        <v>3.506461063443655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24.600272694063793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2.25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8.25</v>
      </c>
      <c r="H90" s="66">
        <f t="shared" si="56"/>
        <v>223.66666666666666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7.1655555555555566</v>
      </c>
      <c r="N90" s="13">
        <f>IF('Données projet'!$A$36&gt;35,N89+M90-V89,IF(A90&lt;'Données projet'!$A$36,$K$205^A90,IF(A90='Données projet'!$A$36,'Données projet'!$B$36,N89+M90-V89)))</f>
        <v>260.37666666666672</v>
      </c>
      <c r="O90" s="13">
        <f>N90*VLOOKUP('Données projet'!$B$9,Paramètres!$A$1:$I$89,3,0)*VLOOKUP('Données projet'!$B$9,Paramètres!$A$1:$I$89,5,0)</f>
        <v>235.58880800000003</v>
      </c>
      <c r="P90" s="13">
        <f t="shared" si="87"/>
        <v>57.489418767993982</v>
      </c>
      <c r="Q90" s="20">
        <f t="shared" si="54"/>
        <v>510.44457828758954</v>
      </c>
      <c r="R90" s="59">
        <f t="shared" si="55"/>
        <v>794.77857277763655</v>
      </c>
      <c r="S90" s="59">
        <f ca="1">AVERAGE(OFFSET($R$3,0,0,'Données projet'!$E$9+1,1))-AVERAGE(OFFSET($H$3,0,0,'Données projet'!$E$9+1,1))</f>
        <v>490.57849401500789</v>
      </c>
      <c r="T90" s="59">
        <f t="shared" si="88"/>
        <v>221.7570623669753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78.766087190304091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78.766087190304091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6.4177777777777765</v>
      </c>
      <c r="AI90" s="13">
        <f>IF('Données projet'!$A$62&gt;35,AI89+AH90-AQ89,IF(A90&lt;'Données projet'!$A$62,$AF$205^A90,IF(A90='Données projet'!$A$62,'Données projet'!$B$62,AI89+AH90-AQ89)))</f>
        <v>201.22777777777779</v>
      </c>
      <c r="AJ90" s="13">
        <f>AI90*VLOOKUP('Données projet'!$B$10,Paramètres!$A$1:$I$89,3,0)*VLOOKUP('Données projet'!$B$10,Paramètres!$A$1:$I$89,5,0)</f>
        <v>134.98359333333335</v>
      </c>
      <c r="AK90" s="13">
        <f t="shared" si="89"/>
        <v>35.145388087393243</v>
      </c>
      <c r="AL90" s="20">
        <f t="shared" si="58"/>
        <v>296.30797597443211</v>
      </c>
      <c r="AM90" s="59">
        <f t="shared" si="59"/>
        <v>580.64197046447907</v>
      </c>
      <c r="AN90" s="59">
        <f ca="1">AVERAGE(OFFSET($AM$3,0,0,'Données projet'!$E$10+1,1))-AVERAGE(OFFSET($H$3,0,0,'Données projet'!$E$10+1,1))</f>
        <v>377.00534440335832</v>
      </c>
      <c r="AO90" s="59">
        <f t="shared" si="90"/>
        <v>131.56029120000656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50.361505438081302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50.361505438081302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2.8</v>
      </c>
      <c r="BD90" s="12">
        <f>IF('Données projet'!$A$88&gt;35,BD89+BC90-BL89,IF(A90&lt;'Données projet'!$A$88,$BA$205^A90,IF(A90='Données projet'!$A$88,'Données projet'!$B$88,BD89+BC90-BL89)))</f>
        <v>206.6</v>
      </c>
      <c r="BE90" s="13">
        <f>BD90*VLOOKUP('Données projet'!$B$11,Paramètres!$A$1:$I$89,3,0)*VLOOKUP('Données projet'!$B$11,Paramètres!$A$1:$I$89,5,0)</f>
        <v>180.48576000000003</v>
      </c>
      <c r="BF90" s="13">
        <f t="shared" si="91"/>
        <v>45.430241859839441</v>
      </c>
      <c r="BG90" s="20">
        <f t="shared" si="61"/>
        <v>393.47036990588708</v>
      </c>
      <c r="BH90" s="59">
        <f t="shared" si="62"/>
        <v>677.80436439593404</v>
      </c>
      <c r="BI90" s="59">
        <f ca="1">AVERAGE(OFFSET($BH$3,0,0,'Données projet'!$E$11+1,1))-AVERAGE(OFFSET($H$3,0,0,'Données projet'!$E$11+1,1))</f>
        <v>314.1123649635374</v>
      </c>
      <c r="BJ90" s="59">
        <f t="shared" si="92"/>
        <v>274.92342227914889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40.982919040204784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40.982919040204784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212.42519999999985</v>
      </c>
      <c r="CA90" s="13">
        <f t="shared" si="93"/>
        <v>52.465198231787184</v>
      </c>
      <c r="CB90" s="20">
        <f t="shared" si="64"/>
        <v>461.35077692036231</v>
      </c>
      <c r="CC90" s="59">
        <f t="shared" si="65"/>
        <v>745.68477141040933</v>
      </c>
      <c r="CD90" s="59">
        <f ca="1">AVERAGE(OFFSET($CC$3,0,0,'Données projet'!$E$12+1,1))-AVERAGE(OFFSET($H$3,0,0,'Données projet'!$E$12+1,1))</f>
        <v>309.86296291630748</v>
      </c>
      <c r="CE90" s="59">
        <f t="shared" si="94"/>
        <v>301.17633325088661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37.77038307154239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37.77038307154239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7.8</v>
      </c>
      <c r="CT90" s="12">
        <f>IF('Données projet'!$A$140&gt;35,CT89+CS90-DB89,IF(A90&lt;'Données projet'!$A$140,$CQ$205^A90,IF(A90='Données projet'!$A$140,'Données projet'!$B$140,CT89+CS90-DB89)))</f>
        <v>353.5999999999998</v>
      </c>
      <c r="CU90" s="17">
        <f>CT90*VLOOKUP('Données projet'!$B$13,Paramètres!$A$1:$I$89,3,0)*VLOOKUP('Données projet'!$B$13,Paramètres!$A$1:$I$89,5,0)</f>
        <v>303.38879999999989</v>
      </c>
      <c r="CV90" s="13">
        <f t="shared" si="95"/>
        <v>71.88642102141435</v>
      </c>
      <c r="CW90" s="20">
        <f t="shared" si="67"/>
        <v>653.60434327896314</v>
      </c>
      <c r="CX90" s="59">
        <f t="shared" si="68"/>
        <v>937.9383377690101</v>
      </c>
      <c r="CY90" s="59">
        <f ca="1">AVERAGE(OFFSET($CX$3,0,0,'Données projet'!$E$13+1,1))-AVERAGE(OFFSET($H$3,0,0,'Données projet'!$E$13+1,1))</f>
        <v>462.66388549889928</v>
      </c>
      <c r="CZ90" s="59">
        <f t="shared" si="96"/>
        <v>265.3725203415089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94.735279725950406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94.735279725950406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210.25641030000014</v>
      </c>
      <c r="DP90" s="17">
        <f>DO90*VLOOKUP('Données projet'!$B$14,Paramètres!$A$1:$I$89,3,0)*VLOOKUP('Données projet'!$B$14,Paramètres!$A$1:$I$89,5,0)</f>
        <v>164.00000003400012</v>
      </c>
      <c r="DQ90" s="13">
        <f t="shared" si="97"/>
        <v>41.743425916009095</v>
      </c>
      <c r="DR90" s="20">
        <f t="shared" si="70"/>
        <v>358.3364668629327</v>
      </c>
      <c r="DS90" s="59">
        <f t="shared" si="71"/>
        <v>642.67046135297971</v>
      </c>
      <c r="DT90" s="59">
        <f ca="1">AVERAGE(OFFSET($DS$3,0,0,'Données projet'!$E$14+1,1))-AVERAGE(OFFSET($H$3,0,0,'Données projet'!$E$14+1,1))</f>
        <v>206.5241977687125</v>
      </c>
      <c r="DU90" s="59">
        <f t="shared" si="98"/>
        <v>205.25001043771269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22.611003661102458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22.611003661102458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155.99999999999991</v>
      </c>
      <c r="EK90" s="17">
        <f>EJ90*VLOOKUP('Données projet'!$B$15,Paramètres!$A$1:$I$89,3,0)*VLOOKUP('Données projet'!$B$15,Paramètres!$A$1:$I$89,5,0)</f>
        <v>136.28159999999994</v>
      </c>
      <c r="EL90" s="13">
        <f t="shared" si="99"/>
        <v>35.443842312892279</v>
      </c>
      <c r="EM90" s="20">
        <f t="shared" si="73"/>
        <v>299.08847869495395</v>
      </c>
      <c r="EN90" s="59">
        <f t="shared" si="74"/>
        <v>583.42247318500097</v>
      </c>
      <c r="EO90" s="59">
        <f ca="1">AVERAGE(OFFSET($EN$3,0,0,'Données projet'!$E$15+1,1))-AVERAGE(OFFSET($H$3,0,0,'Données projet'!$E$15+1,1))</f>
        <v>205.83135724908942</v>
      </c>
      <c r="EP90" s="59">
        <f t="shared" si="100"/>
        <v>193.60053377311405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22.516996608796074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22.516996608796074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3.4</v>
      </c>
      <c r="FE90" s="12">
        <f>IF('Données projet'!$A$218&gt;35,FE89+FD90-FM89,IF(A90&lt;'Données projet'!$A$218,$FB$205^A90,IF(A90='Données projet'!$A$218,'Données projet'!$B$218,FE89+FD90-FM89)))</f>
        <v>206.80000000000015</v>
      </c>
      <c r="FF90" s="17">
        <f>FE90*VLOOKUP('Données projet'!$B$16,Paramètres!$A$1:$I$89,3,0)*VLOOKUP('Données projet'!$B$16,Paramètres!$A$1:$I$89,5,0)</f>
        <v>135.49536000000012</v>
      </c>
      <c r="FG90" s="13">
        <f t="shared" si="101"/>
        <v>35.263099712541788</v>
      </c>
      <c r="FH90" s="20">
        <f t="shared" si="76"/>
        <v>297.40431733267718</v>
      </c>
      <c r="FI90" s="59">
        <f t="shared" si="77"/>
        <v>581.7383118227242</v>
      </c>
      <c r="FJ90" s="59">
        <f ca="1">AVERAGE(OFFSET($FI$3,0,0,'Données projet'!$E$16+1,1))-AVERAGE(OFFSET($H$3,0,0,'Données projet'!$E$16+1,1))</f>
        <v>242.76791261317206</v>
      </c>
      <c r="FK90" s="59">
        <f t="shared" si="102"/>
        <v>244.28580264867682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37.528720806950531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37.528720806950531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7.1655555555555566</v>
      </c>
      <c r="FZ90" s="12">
        <f>IF('Données projet'!$A$244&gt;35,FZ89+FY90-GH89,IF(A90&lt;'Données projet'!$A$244,$FW$205^A90,IF(A90='Données projet'!$A$244,'Données projet'!$B$244,FZ89+FY90-GH89)))</f>
        <v>260.37666666666672</v>
      </c>
      <c r="GA90" s="17">
        <f>FZ90*VLOOKUP('Données projet'!$B$17,Paramètres!$A$1:$I$89,3,0)*VLOOKUP('Données projet'!$B$17,Paramètres!$A$1:$I$89,5,0)</f>
        <v>247.77443600000007</v>
      </c>
      <c r="GB90" s="13">
        <f t="shared" si="103"/>
        <v>60.109122079228108</v>
      </c>
      <c r="GC90" s="20">
        <f t="shared" si="79"/>
        <v>536.23053032132236</v>
      </c>
      <c r="GD90" s="59">
        <f t="shared" si="80"/>
        <v>820.56452481136944</v>
      </c>
      <c r="GE90" s="59">
        <f ca="1">AVERAGE(OFFSET($GD$3,0,0,'Données projet'!$E$17+1,1))-AVERAGE(OFFSET($H$3,0,0,'Données projet'!$E$17+1,1))</f>
        <v>512.71941256120977</v>
      </c>
      <c r="GF90" s="59">
        <f t="shared" si="104"/>
        <v>230.65031527019354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82.840195148423319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82.840195148423319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67.545634860921908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-5.6843418860808015E-14</v>
      </c>
      <c r="GV90" s="17">
        <f>GU90*VLOOKUP('Données projet'!$B$18,Paramètres!$A$1:$I$89,3,0)*VLOOKUP('Données projet'!$B$18,Paramètres!$A$1:$I$89,5,0)</f>
        <v>-2.5006556825246661E-14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180.68917161146683</v>
      </c>
      <c r="HA90" s="59">
        <f t="shared" si="106"/>
        <v>344.42126252322419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20.680174850498364</v>
      </c>
      <c r="HH90" s="21">
        <f>EXP(-LN(2)/25)*HH89+(1-EXP(-LN(2)/25))/(LN(2)/25)*Calculateur!HC90*Calculateur!HE90*VLOOKUP('Données projet'!$B$18,Paramètres!$A$1:$I$89,3,0)*0.475*44/12</f>
        <v>3.410576701267015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24.090751551765379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2.25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8.25</v>
      </c>
      <c r="H91" s="66">
        <f t="shared" si="56"/>
        <v>223.66666666666666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7.1655555555555566</v>
      </c>
      <c r="N91" s="13">
        <f>IF('Données projet'!$A$36&gt;35,N90+M91-V90,IF(A91&lt;'Données projet'!$A$36,$K$205^A91,IF(A91='Données projet'!$A$36,'Données projet'!$B$36,N90+M91-V90)))</f>
        <v>267.54222222222228</v>
      </c>
      <c r="O91" s="13">
        <f>N91*VLOOKUP('Données projet'!$B$9,Paramètres!$A$1:$I$89,3,0)*VLOOKUP('Données projet'!$B$9,Paramètres!$A$1:$I$89,5,0)</f>
        <v>242.0722026666667</v>
      </c>
      <c r="P91" s="13">
        <f t="shared" si="87"/>
        <v>58.885151656108263</v>
      </c>
      <c r="Q91" s="20">
        <f t="shared" si="54"/>
        <v>524.16739211216634</v>
      </c>
      <c r="R91" s="59">
        <f t="shared" si="55"/>
        <v>808.65750501163689</v>
      </c>
      <c r="S91" s="59">
        <f ca="1">AVERAGE(OFFSET($R$3,0,0,'Données projet'!$E$9+1,1))-AVERAGE(OFFSET($H$3,0,0,'Données projet'!$E$9+1,1))</f>
        <v>490.57849401500789</v>
      </c>
      <c r="T91" s="59">
        <f t="shared" si="88"/>
        <v>221.7570623669753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77.221532263071609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77.221532263071609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6.4177777777777765</v>
      </c>
      <c r="AI91" s="13">
        <f>IF('Données projet'!$A$62&gt;35,AI90+AH91-AQ90,IF(A91&lt;'Données projet'!$A$62,$AF$205^A91,IF(A91='Données projet'!$A$62,'Données projet'!$B$62,AI90+AH91-AQ90)))</f>
        <v>207.64555555555557</v>
      </c>
      <c r="AJ91" s="13">
        <f>AI91*VLOOKUP('Données projet'!$B$10,Paramètres!$A$1:$I$89,3,0)*VLOOKUP('Données projet'!$B$10,Paramètres!$A$1:$I$89,5,0)</f>
        <v>139.28863866666669</v>
      </c>
      <c r="AK91" s="13">
        <f t="shared" si="89"/>
        <v>36.133994319548776</v>
      </c>
      <c r="AL91" s="20">
        <f t="shared" si="58"/>
        <v>305.52775245099195</v>
      </c>
      <c r="AM91" s="59">
        <f t="shared" si="59"/>
        <v>590.01786535046244</v>
      </c>
      <c r="AN91" s="59">
        <f ca="1">AVERAGE(OFFSET($AM$3,0,0,'Données projet'!$E$10+1,1))-AVERAGE(OFFSET($H$3,0,0,'Données projet'!$E$10+1,1))</f>
        <v>377.00534440335832</v>
      </c>
      <c r="AO91" s="59">
        <f t="shared" si="90"/>
        <v>131.56029120000656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49.373947033925745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49.373947033925745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2.8</v>
      </c>
      <c r="BD91" s="12">
        <f>IF('Données projet'!$A$88&gt;35,BD90+BC91-BL90,IF(A91&lt;'Données projet'!$A$88,$BA$205^A91,IF(A91='Données projet'!$A$88,'Données projet'!$B$88,BD90+BC91-BL90)))</f>
        <v>209.4</v>
      </c>
      <c r="BE91" s="13">
        <f>BD91*VLOOKUP('Données projet'!$B$11,Paramètres!$A$1:$I$89,3,0)*VLOOKUP('Données projet'!$B$11,Paramètres!$A$1:$I$89,5,0)</f>
        <v>182.93184000000002</v>
      </c>
      <c r="BF91" s="13">
        <f t="shared" si="91"/>
        <v>45.973851929814685</v>
      </c>
      <c r="BG91" s="20">
        <f t="shared" si="61"/>
        <v>398.67741344442726</v>
      </c>
      <c r="BH91" s="59">
        <f t="shared" si="62"/>
        <v>683.16752634389775</v>
      </c>
      <c r="BI91" s="59">
        <f ca="1">AVERAGE(OFFSET($BH$3,0,0,'Données projet'!$E$11+1,1))-AVERAGE(OFFSET($H$3,0,0,'Données projet'!$E$11+1,1))</f>
        <v>314.1123649635374</v>
      </c>
      <c r="BJ91" s="59">
        <f t="shared" si="92"/>
        <v>274.92342227914889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40.179268994938724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40.179268994938724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212.42519999999985</v>
      </c>
      <c r="CA91" s="13">
        <f t="shared" si="93"/>
        <v>52.465198231787184</v>
      </c>
      <c r="CB91" s="20">
        <f t="shared" si="64"/>
        <v>461.35077692036231</v>
      </c>
      <c r="CC91" s="59">
        <f t="shared" si="65"/>
        <v>745.8408898198328</v>
      </c>
      <c r="CD91" s="59">
        <f ca="1">AVERAGE(OFFSET($CC$3,0,0,'Données projet'!$E$12+1,1))-AVERAGE(OFFSET($H$3,0,0,'Données projet'!$E$12+1,1))</f>
        <v>309.86296291630748</v>
      </c>
      <c r="CE91" s="59">
        <f t="shared" si="94"/>
        <v>301.17633325088661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37.02972889716834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37.02972889716834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7.8</v>
      </c>
      <c r="CT91" s="12">
        <f>IF('Données projet'!$A$140&gt;35,CT90+CS91-DB90,IF(A91&lt;'Données projet'!$A$140,$CQ$205^A91,IF(A91='Données projet'!$A$140,'Données projet'!$B$140,CT90+CS91-DB90)))</f>
        <v>361.39999999999981</v>
      </c>
      <c r="CU91" s="17">
        <f>CT91*VLOOKUP('Données projet'!$B$13,Paramètres!$A$1:$I$89,3,0)*VLOOKUP('Données projet'!$B$13,Paramètres!$A$1:$I$89,5,0)</f>
        <v>310.08119999999985</v>
      </c>
      <c r="CV91" s="13">
        <f t="shared" si="95"/>
        <v>73.285787705139427</v>
      </c>
      <c r="CW91" s="20">
        <f t="shared" si="67"/>
        <v>667.69750358645092</v>
      </c>
      <c r="CX91" s="59">
        <f t="shared" si="68"/>
        <v>952.18761648592135</v>
      </c>
      <c r="CY91" s="59">
        <f ca="1">AVERAGE(OFFSET($CX$3,0,0,'Données projet'!$E$13+1,1))-AVERAGE(OFFSET($H$3,0,0,'Données projet'!$E$13+1,1))</f>
        <v>462.66388549889928</v>
      </c>
      <c r="CZ91" s="59">
        <f t="shared" si="96"/>
        <v>265.3725203415089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92.877578673339571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92.877578673339571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210.25641030000014</v>
      </c>
      <c r="DP91" s="17">
        <f>DO91*VLOOKUP('Données projet'!$B$14,Paramètres!$A$1:$I$89,3,0)*VLOOKUP('Données projet'!$B$14,Paramètres!$A$1:$I$89,5,0)</f>
        <v>164.00000003400012</v>
      </c>
      <c r="DQ91" s="13">
        <f t="shared" si="97"/>
        <v>41.743425916009095</v>
      </c>
      <c r="DR91" s="20">
        <f t="shared" si="70"/>
        <v>358.3364668629327</v>
      </c>
      <c r="DS91" s="59">
        <f t="shared" si="71"/>
        <v>642.82657976240318</v>
      </c>
      <c r="DT91" s="59">
        <f ca="1">AVERAGE(OFFSET($DS$3,0,0,'Données projet'!$E$14+1,1))-AVERAGE(OFFSET($H$3,0,0,'Données projet'!$E$14+1,1))</f>
        <v>206.5241977687125</v>
      </c>
      <c r="DU91" s="59">
        <f t="shared" si="98"/>
        <v>205.25001043771269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22.167615670658691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22.167615670658691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155.99999999999991</v>
      </c>
      <c r="EK91" s="17">
        <f>EJ91*VLOOKUP('Données projet'!$B$15,Paramètres!$A$1:$I$89,3,0)*VLOOKUP('Données projet'!$B$15,Paramètres!$A$1:$I$89,5,0)</f>
        <v>136.28159999999994</v>
      </c>
      <c r="EL91" s="13">
        <f t="shared" si="99"/>
        <v>35.443842312892279</v>
      </c>
      <c r="EM91" s="20">
        <f t="shared" si="73"/>
        <v>299.08847869495395</v>
      </c>
      <c r="EN91" s="59">
        <f t="shared" si="74"/>
        <v>583.57859159442444</v>
      </c>
      <c r="EO91" s="59">
        <f ca="1">AVERAGE(OFFSET($EN$3,0,0,'Données projet'!$E$15+1,1))-AVERAGE(OFFSET($H$3,0,0,'Données projet'!$E$15+1,1))</f>
        <v>205.83135724908942</v>
      </c>
      <c r="EP91" s="59">
        <f t="shared" si="100"/>
        <v>193.60053377311405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22.075452039309393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22.075452039309393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3.4</v>
      </c>
      <c r="FE91" s="12">
        <f>IF('Données projet'!$A$218&gt;35,FE90+FD91-FM90,IF(A91&lt;'Données projet'!$A$218,$FB$205^A91,IF(A91='Données projet'!$A$218,'Données projet'!$B$218,FE90+FD91-FM90)))</f>
        <v>210.20000000000016</v>
      </c>
      <c r="FF91" s="17">
        <f>FE91*VLOOKUP('Données projet'!$B$16,Paramètres!$A$1:$I$89,3,0)*VLOOKUP('Données projet'!$B$16,Paramètres!$A$1:$I$89,5,0)</f>
        <v>137.72304000000011</v>
      </c>
      <c r="FG91" s="13">
        <f t="shared" si="101"/>
        <v>35.774889172094717</v>
      </c>
      <c r="FH91" s="20">
        <f t="shared" si="76"/>
        <v>302.17555997473181</v>
      </c>
      <c r="FI91" s="59">
        <f t="shared" si="77"/>
        <v>586.6656728742023</v>
      </c>
      <c r="FJ91" s="59">
        <f ca="1">AVERAGE(OFFSET($FI$3,0,0,'Données projet'!$E$16+1,1))-AVERAGE(OFFSET($H$3,0,0,'Données projet'!$E$16+1,1))</f>
        <v>242.76791261317206</v>
      </c>
      <c r="FK91" s="59">
        <f t="shared" si="102"/>
        <v>244.28580264867682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36.792805482185699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36.792805482185699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7.1655555555555566</v>
      </c>
      <c r="FZ91" s="12">
        <f>IF('Données projet'!$A$244&gt;35,FZ90+FY91-GH90,IF(A91&lt;'Données projet'!$A$244,$FW$205^A91,IF(A91='Données projet'!$A$244,'Données projet'!$B$244,FZ90+FY91-GH90)))</f>
        <v>267.54222222222228</v>
      </c>
      <c r="GA91" s="17">
        <f>FZ91*VLOOKUP('Données projet'!$B$17,Paramètres!$A$1:$I$89,3,0)*VLOOKUP('Données projet'!$B$17,Paramètres!$A$1:$I$89,5,0)</f>
        <v>254.59317866666672</v>
      </c>
      <c r="GB91" s="13">
        <f t="shared" si="103"/>
        <v>61.56845634211615</v>
      </c>
      <c r="GC91" s="20">
        <f t="shared" si="79"/>
        <v>550.64818097363013</v>
      </c>
      <c r="GD91" s="59">
        <f t="shared" si="80"/>
        <v>835.13829387310057</v>
      </c>
      <c r="GE91" s="59">
        <f ca="1">AVERAGE(OFFSET($GD$3,0,0,'Données projet'!$E$17+1,1))-AVERAGE(OFFSET($H$3,0,0,'Données projet'!$E$17+1,1))</f>
        <v>512.71941256120977</v>
      </c>
      <c r="GF91" s="59">
        <f t="shared" si="104"/>
        <v>230.65031527019354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81.215749449092598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81.215749449092598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67.588212608946492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-5.6843418860808015E-14</v>
      </c>
      <c r="GV91" s="17">
        <f>GU91*VLOOKUP('Données projet'!$B$18,Paramètres!$A$1:$I$89,3,0)*VLOOKUP('Données projet'!$B$18,Paramètres!$A$1:$I$89,5,0)</f>
        <v>-2.5006556825246661E-14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180.68917161146683</v>
      </c>
      <c r="HA91" s="59">
        <f t="shared" si="106"/>
        <v>344.42126252322419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20.274649235341254</v>
      </c>
      <c r="HH91" s="21">
        <f>EXP(-LN(2)/25)*HH90+(1-EXP(-LN(2)/25))/(LN(2)/25)*Calculateur!HC91*Calculateur!HE91*VLOOKUP('Données projet'!$B$18,Paramètres!$A$1:$I$89,3,0)*0.475*44/12</f>
        <v>3.3173143020164346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23.591963537357689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2.25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8.25</v>
      </c>
      <c r="H92" s="66">
        <f t="shared" si="56"/>
        <v>223.66666666666666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7.1655555555555566</v>
      </c>
      <c r="N92" s="13">
        <f>IF('Données projet'!$A$36&gt;35,N91+M92-V91,IF(A92&lt;'Données projet'!$A$36,$K$205^A92,IF(A92='Données projet'!$A$36,'Données projet'!$B$36,N91+M92-V91)))</f>
        <v>274.70777777777784</v>
      </c>
      <c r="O92" s="13">
        <f>N92*VLOOKUP('Données projet'!$B$9,Paramètres!$A$1:$I$89,3,0)*VLOOKUP('Données projet'!$B$9,Paramètres!$A$1:$I$89,5,0)</f>
        <v>248.55559733333337</v>
      </c>
      <c r="P92" s="13">
        <f t="shared" si="87"/>
        <v>60.276539532887902</v>
      </c>
      <c r="Q92" s="20">
        <f t="shared" si="54"/>
        <v>537.88263837533532</v>
      </c>
      <c r="R92" s="59">
        <f t="shared" si="55"/>
        <v>822.52616137885434</v>
      </c>
      <c r="S92" s="59">
        <f ca="1">AVERAGE(OFFSET($R$3,0,0,'Données projet'!$E$9+1,1))-AVERAGE(OFFSET($H$3,0,0,'Données projet'!$E$9+1,1))</f>
        <v>490.57849401500789</v>
      </c>
      <c r="T92" s="59">
        <f t="shared" si="88"/>
        <v>221.7570623669753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75.707265115876666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75.707265115876666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6.4177777777777765</v>
      </c>
      <c r="AI92" s="13">
        <f>IF('Données projet'!$A$62&gt;35,AI91+AH92-AQ91,IF(A92&lt;'Données projet'!$A$62,$AF$205^A92,IF(A92='Données projet'!$A$62,'Données projet'!$B$62,AI91+AH92-AQ91)))</f>
        <v>214.06333333333336</v>
      </c>
      <c r="AJ92" s="13">
        <f>AI92*VLOOKUP('Données projet'!$B$10,Paramètres!$A$1:$I$89,3,0)*VLOOKUP('Données projet'!$B$10,Paramètres!$A$1:$I$89,5,0)</f>
        <v>143.59368400000002</v>
      </c>
      <c r="AK92" s="13">
        <f t="shared" si="89"/>
        <v>37.119049717120916</v>
      </c>
      <c r="AL92" s="20">
        <f t="shared" si="58"/>
        <v>314.741344557319</v>
      </c>
      <c r="AM92" s="59">
        <f t="shared" si="59"/>
        <v>599.38486756083796</v>
      </c>
      <c r="AN92" s="59">
        <f ca="1">AVERAGE(OFFSET($AM$3,0,0,'Données projet'!$E$10+1,1))-AVERAGE(OFFSET($H$3,0,0,'Données projet'!$E$10+1,1))</f>
        <v>377.00534440335832</v>
      </c>
      <c r="AO92" s="59">
        <f t="shared" si="90"/>
        <v>131.56029120000656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48.405754047724528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48.405754047724528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2.8</v>
      </c>
      <c r="BD92" s="12">
        <f>IF('Données projet'!$A$88&gt;35,BD91+BC92-BL91,IF(A92&lt;'Données projet'!$A$88,$BA$205^A92,IF(A92='Données projet'!$A$88,'Données projet'!$B$88,BD91+BC92-BL91)))</f>
        <v>212.20000000000002</v>
      </c>
      <c r="BE92" s="13">
        <f>BD92*VLOOKUP('Données projet'!$B$11,Paramètres!$A$1:$I$89,3,0)*VLOOKUP('Données projet'!$B$11,Paramètres!$A$1:$I$89,5,0)</f>
        <v>185.37792000000005</v>
      </c>
      <c r="BF92" s="13">
        <f t="shared" si="91"/>
        <v>46.516616531004161</v>
      </c>
      <c r="BG92" s="20">
        <f t="shared" si="61"/>
        <v>403.88298445816571</v>
      </c>
      <c r="BH92" s="59">
        <f t="shared" si="62"/>
        <v>688.52650746168467</v>
      </c>
      <c r="BI92" s="59">
        <f ca="1">AVERAGE(OFFSET($BH$3,0,0,'Données projet'!$E$11+1,1))-AVERAGE(OFFSET($H$3,0,0,'Données projet'!$E$11+1,1))</f>
        <v>314.1123649635374</v>
      </c>
      <c r="BJ92" s="59">
        <f t="shared" si="92"/>
        <v>274.92342227914889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39.391378036882202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39.391378036882202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212.42519999999985</v>
      </c>
      <c r="CA92" s="13">
        <f t="shared" si="93"/>
        <v>52.465198231787184</v>
      </c>
      <c r="CB92" s="20">
        <f t="shared" si="64"/>
        <v>461.35077692036231</v>
      </c>
      <c r="CC92" s="59">
        <f t="shared" si="65"/>
        <v>745.99429992388127</v>
      </c>
      <c r="CD92" s="59">
        <f ca="1">AVERAGE(OFFSET($CC$3,0,0,'Données projet'!$E$12+1,1))-AVERAGE(OFFSET($H$3,0,0,'Données projet'!$E$12+1,1))</f>
        <v>309.86296291630748</v>
      </c>
      <c r="CE92" s="59">
        <f t="shared" si="94"/>
        <v>301.17633325088661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36.303598499399321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36.303598499399321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7.8</v>
      </c>
      <c r="CT92" s="12">
        <f>IF('Données projet'!$A$140&gt;35,CT91+CS92-DB91,IF(A92&lt;'Données projet'!$A$140,$CQ$205^A92,IF(A92='Données projet'!$A$140,'Données projet'!$B$140,CT91+CS92-DB91)))</f>
        <v>369.19999999999982</v>
      </c>
      <c r="CU92" s="17">
        <f>CT92*VLOOKUP('Données projet'!$B$13,Paramètres!$A$1:$I$89,3,0)*VLOOKUP('Données projet'!$B$13,Paramètres!$A$1:$I$89,5,0)</f>
        <v>316.77359999999987</v>
      </c>
      <c r="CV92" s="13">
        <f t="shared" si="95"/>
        <v>74.681642981668006</v>
      </c>
      <c r="CW92" s="20">
        <f t="shared" si="67"/>
        <v>681.78454819307149</v>
      </c>
      <c r="CX92" s="59">
        <f t="shared" si="68"/>
        <v>966.42807119659051</v>
      </c>
      <c r="CY92" s="59">
        <f ca="1">AVERAGE(OFFSET($CX$3,0,0,'Données projet'!$E$13+1,1))-AVERAGE(OFFSET($H$3,0,0,'Données projet'!$E$13+1,1))</f>
        <v>462.66388549889928</v>
      </c>
      <c r="CZ92" s="59">
        <f t="shared" si="96"/>
        <v>265.3725203415089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91.056306005284682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91.056306005284682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210.25641030000014</v>
      </c>
      <c r="DP92" s="17">
        <f>DO92*VLOOKUP('Données projet'!$B$14,Paramètres!$A$1:$I$89,3,0)*VLOOKUP('Données projet'!$B$14,Paramètres!$A$1:$I$89,5,0)</f>
        <v>164.00000003400012</v>
      </c>
      <c r="DQ92" s="13">
        <f t="shared" si="97"/>
        <v>41.743425916009095</v>
      </c>
      <c r="DR92" s="20">
        <f t="shared" si="70"/>
        <v>358.3364668629327</v>
      </c>
      <c r="DS92" s="59">
        <f t="shared" si="71"/>
        <v>642.97998986645166</v>
      </c>
      <c r="DT92" s="59">
        <f ca="1">AVERAGE(OFFSET($DS$3,0,0,'Données projet'!$E$14+1,1))-AVERAGE(OFFSET($H$3,0,0,'Données projet'!$E$14+1,1))</f>
        <v>206.5241977687125</v>
      </c>
      <c r="DU92" s="59">
        <f t="shared" si="98"/>
        <v>205.25001043771269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21.732922248267553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21.732922248267553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155.99999999999991</v>
      </c>
      <c r="EK92" s="17">
        <f>EJ92*VLOOKUP('Données projet'!$B$15,Paramètres!$A$1:$I$89,3,0)*VLOOKUP('Données projet'!$B$15,Paramètres!$A$1:$I$89,5,0)</f>
        <v>136.28159999999994</v>
      </c>
      <c r="EL92" s="13">
        <f t="shared" si="99"/>
        <v>35.443842312892279</v>
      </c>
      <c r="EM92" s="20">
        <f t="shared" si="73"/>
        <v>299.08847869495395</v>
      </c>
      <c r="EN92" s="59">
        <f t="shared" si="74"/>
        <v>583.73200169847291</v>
      </c>
      <c r="EO92" s="59">
        <f ca="1">AVERAGE(OFFSET($EN$3,0,0,'Données projet'!$E$15+1,1))-AVERAGE(OFFSET($H$3,0,0,'Données projet'!$E$15+1,1))</f>
        <v>205.83135724908942</v>
      </c>
      <c r="EP92" s="59">
        <f t="shared" si="100"/>
        <v>193.60053377311405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21.642565889514753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21.642565889514753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3.4</v>
      </c>
      <c r="FE92" s="12">
        <f>IF('Données projet'!$A$218&gt;35,FE91+FD92-FM91,IF(A92&lt;'Données projet'!$A$218,$FB$205^A92,IF(A92='Données projet'!$A$218,'Données projet'!$B$218,FE91+FD92-FM91)))</f>
        <v>213.60000000000016</v>
      </c>
      <c r="FF92" s="17">
        <f>FE92*VLOOKUP('Données projet'!$B$16,Paramètres!$A$1:$I$89,3,0)*VLOOKUP('Données projet'!$B$16,Paramètres!$A$1:$I$89,5,0)</f>
        <v>139.9507200000001</v>
      </c>
      <c r="FG92" s="13">
        <f t="shared" si="101"/>
        <v>36.285715907711953</v>
      </c>
      <c r="FH92" s="20">
        <f t="shared" si="76"/>
        <v>306.94512587259851</v>
      </c>
      <c r="FI92" s="59">
        <f t="shared" si="77"/>
        <v>591.58864887611753</v>
      </c>
      <c r="FJ92" s="59">
        <f ca="1">AVERAGE(OFFSET($FI$3,0,0,'Données projet'!$E$16+1,1))-AVERAGE(OFFSET($H$3,0,0,'Données projet'!$E$16+1,1))</f>
        <v>242.76791261317206</v>
      </c>
      <c r="FK92" s="59">
        <f t="shared" si="102"/>
        <v>244.28580264867682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36.071321008075479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36.071321008075479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7.1655555555555566</v>
      </c>
      <c r="FZ92" s="12">
        <f>IF('Données projet'!$A$244&gt;35,FZ91+FY92-GH91,IF(A92&lt;'Données projet'!$A$244,$FW$205^A92,IF(A92='Données projet'!$A$244,'Données projet'!$B$244,FZ91+FY92-GH91)))</f>
        <v>274.70777777777784</v>
      </c>
      <c r="GA92" s="17">
        <f>FZ92*VLOOKUP('Données projet'!$B$17,Paramètres!$A$1:$I$89,3,0)*VLOOKUP('Données projet'!$B$17,Paramètres!$A$1:$I$89,5,0)</f>
        <v>261.4119213333334</v>
      </c>
      <c r="GB92" s="13">
        <f t="shared" si="103"/>
        <v>63.023247598267517</v>
      </c>
      <c r="GC92" s="20">
        <f t="shared" si="79"/>
        <v>565.0579192225382</v>
      </c>
      <c r="GD92" s="59">
        <f t="shared" si="80"/>
        <v>849.70144222605722</v>
      </c>
      <c r="GE92" s="59">
        <f ca="1">AVERAGE(OFFSET($GD$3,0,0,'Données projet'!$E$17+1,1))-AVERAGE(OFFSET($H$3,0,0,'Données projet'!$E$17+1,1))</f>
        <v>512.71941256120977</v>
      </c>
      <c r="GF92" s="59">
        <f t="shared" si="104"/>
        <v>230.65031527019354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79.623158139111709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79.623158139111709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67.630051728232445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-5.6843418860808015E-14</v>
      </c>
      <c r="GV92" s="17">
        <f>GU92*VLOOKUP('Données projet'!$B$18,Paramètres!$A$1:$I$89,3,0)*VLOOKUP('Données projet'!$B$18,Paramètres!$A$1:$I$89,5,0)</f>
        <v>-2.5006556825246661E-14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180.68917161146683</v>
      </c>
      <c r="HA92" s="59">
        <f t="shared" si="106"/>
        <v>344.42126252322419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19.877075730151173</v>
      </c>
      <c r="HH92" s="21">
        <f>EXP(-LN(2)/25)*HH91+(1-EXP(-LN(2)/25))/(LN(2)/25)*Calculateur!HC92*Calculateur!HE92*VLOOKUP('Données projet'!$B$18,Paramètres!$A$1:$I$89,3,0)*0.475*44/12</f>
        <v>3.2266021679778181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23.103677898128993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2.25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8.25</v>
      </c>
      <c r="H93" s="66">
        <f t="shared" si="56"/>
        <v>223.66666666666666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7.1655555555555566</v>
      </c>
      <c r="N93" s="13">
        <f>IF('Données projet'!$A$36&gt;35,N92+M93-V92,IF(A93&lt;'Données projet'!$A$36,$K$205^A93,IF(A93='Données projet'!$A$36,'Données projet'!$B$36,N92+M93-V92)))</f>
        <v>281.87333333333339</v>
      </c>
      <c r="O93" s="13">
        <f>N93*VLOOKUP('Données projet'!$B$9,Paramètres!$A$1:$I$89,3,0)*VLOOKUP('Données projet'!$B$9,Paramètres!$A$1:$I$89,5,0)</f>
        <v>255.03899200000006</v>
      </c>
      <c r="P93" s="13">
        <f t="shared" si="87"/>
        <v>61.663708764324099</v>
      </c>
      <c r="Q93" s="20">
        <f t="shared" si="54"/>
        <v>551.59053716453127</v>
      </c>
      <c r="R93" s="59">
        <f t="shared" si="55"/>
        <v>836.38480894976703</v>
      </c>
      <c r="S93" s="59">
        <f ca="1">AVERAGE(OFFSET($R$3,0,0,'Données projet'!$E$9+1,1))-AVERAGE(OFFSET($H$3,0,0,'Données projet'!$E$9+1,1))</f>
        <v>490.57849401500789</v>
      </c>
      <c r="T93" s="59">
        <f t="shared" si="88"/>
        <v>221.7570623669753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74.222691823826452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74.222691823826452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6.4177777777777765</v>
      </c>
      <c r="AI93" s="13">
        <f>IF('Données projet'!$A$62&gt;35,AI92+AH93-AQ92,IF(A93&lt;'Données projet'!$A$62,$AF$205^A93,IF(A93='Données projet'!$A$62,'Données projet'!$B$62,AI92+AH93-AQ92)))</f>
        <v>220.48111111111115</v>
      </c>
      <c r="AJ93" s="13">
        <f>AI93*VLOOKUP('Données projet'!$B$10,Paramètres!$A$1:$I$89,3,0)*VLOOKUP('Données projet'!$B$10,Paramètres!$A$1:$I$89,5,0)</f>
        <v>147.89872933333336</v>
      </c>
      <c r="AK93" s="13">
        <f t="shared" si="89"/>
        <v>38.100672957241741</v>
      </c>
      <c r="AL93" s="20">
        <f t="shared" si="58"/>
        <v>323.94895898941832</v>
      </c>
      <c r="AM93" s="59">
        <f t="shared" si="59"/>
        <v>608.74323077465408</v>
      </c>
      <c r="AN93" s="59">
        <f ca="1">AVERAGE(OFFSET($AM$3,0,0,'Données projet'!$E$10+1,1))-AVERAGE(OFFSET($H$3,0,0,'Données projet'!$E$10+1,1))</f>
        <v>377.00534440335832</v>
      </c>
      <c r="AO93" s="59">
        <f t="shared" si="90"/>
        <v>131.56029120000656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47.456546735443311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47.456546735443311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215</v>
      </c>
      <c r="BB93" s="12">
        <f>VLOOKUP(A93,'Données projet'!$A$87:$I$107,9,0)</f>
        <v>2.8</v>
      </c>
      <c r="BC93" s="12">
        <f t="array" ref="BC93">INDEX(BB:BB,MIN(IF(ISNUMBER(BB93:BB289),ROW(BB93:BB289),"")))</f>
        <v>2.8</v>
      </c>
      <c r="BD93" s="12">
        <f>IF('Données projet'!$A$88&gt;35,BD92+BC93-BL92,IF(A93&lt;'Données projet'!$A$88,$BA$205^A93,IF(A93='Données projet'!$A$88,'Données projet'!$B$88,BD92+BC93-BL92)))</f>
        <v>215.00000000000003</v>
      </c>
      <c r="BE93" s="13">
        <f>BD93*VLOOKUP('Données projet'!$B$11,Paramètres!$A$1:$I$89,3,0)*VLOOKUP('Données projet'!$B$11,Paramètres!$A$1:$I$89,5,0)</f>
        <v>187.82400000000007</v>
      </c>
      <c r="BF93" s="13">
        <f t="shared" si="91"/>
        <v>47.05854810918273</v>
      </c>
      <c r="BG93" s="20">
        <f t="shared" si="61"/>
        <v>409.08710462349336</v>
      </c>
      <c r="BH93" s="59">
        <f t="shared" si="62"/>
        <v>693.88137640872912</v>
      </c>
      <c r="BI93" s="59">
        <f ca="1">AVERAGE(OFFSET($BH$3,0,0,'Données projet'!$E$11+1,1))-AVERAGE(OFFSET($H$3,0,0,'Données projet'!$E$11+1,1))</f>
        <v>314.1123649635374</v>
      </c>
      <c r="BJ93" s="59">
        <f t="shared" si="92"/>
        <v>274.92342227914889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10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42.771614511255073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42.771614511255073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212.42519999999985</v>
      </c>
      <c r="CA93" s="13">
        <f t="shared" si="93"/>
        <v>52.465198231787184</v>
      </c>
      <c r="CB93" s="20">
        <f t="shared" si="64"/>
        <v>461.35077692036231</v>
      </c>
      <c r="CC93" s="59">
        <f t="shared" si="65"/>
        <v>746.14504870559813</v>
      </c>
      <c r="CD93" s="59">
        <f ca="1">AVERAGE(OFFSET($CC$3,0,0,'Données projet'!$E$12+1,1))-AVERAGE(OFFSET($H$3,0,0,'Données projet'!$E$12+1,1))</f>
        <v>309.86296291630748</v>
      </c>
      <c r="CE93" s="59">
        <f t="shared" si="94"/>
        <v>301.17633325088661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35.591707075834748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35.591707075834748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377</v>
      </c>
      <c r="CR93" s="12">
        <f>VLOOKUP(A93,'Données projet'!$A$139:$I$159,9,0)</f>
        <v>7.8</v>
      </c>
      <c r="CS93" s="12">
        <f t="array" ref="CS93">INDEX(CR:CR,MIN(IF(ISNUMBER(CR93:CR289),ROW(CR93:CR289),"")))</f>
        <v>7.8</v>
      </c>
      <c r="CT93" s="12">
        <f>IF('Données projet'!$A$140&gt;35,CT92+CS93-DB92,IF(A93&lt;'Données projet'!$A$140,$CQ$205^A93,IF(A93='Données projet'!$A$140,'Données projet'!$B$140,CT92+CS93-DB92)))</f>
        <v>376.99999999999983</v>
      </c>
      <c r="CU93" s="17">
        <f>CT93*VLOOKUP('Données projet'!$B$13,Paramètres!$A$1:$I$89,3,0)*VLOOKUP('Données projet'!$B$13,Paramètres!$A$1:$I$89,5,0)</f>
        <v>323.46599999999989</v>
      </c>
      <c r="CV93" s="13">
        <f t="shared" si="95"/>
        <v>76.074069581431147</v>
      </c>
      <c r="CW93" s="20">
        <f t="shared" si="67"/>
        <v>695.86562118765903</v>
      </c>
      <c r="CX93" s="59">
        <f t="shared" si="68"/>
        <v>980.6598929728948</v>
      </c>
      <c r="CY93" s="59">
        <f ca="1">AVERAGE(OFFSET($CX$3,0,0,'Données projet'!$E$13+1,1))-AVERAGE(OFFSET($H$3,0,0,'Données projet'!$E$13+1,1))</f>
        <v>462.66388549889928</v>
      </c>
      <c r="CZ93" s="59">
        <f t="shared" si="96"/>
        <v>265.3725203415089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26</v>
      </c>
      <c r="DC93" s="16">
        <f>IF(ISNA(VLOOKUP(A93,'Données projet'!$A$139:$I$159,5,0)),0%,VLOOKUP(A93,'Données projet'!$A$139:$I$159,5,0)*VLOOKUP('Données projet'!$B$13,Paramètres!$A$1:$I$89,7,0))</f>
        <v>0.53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102.34098899349287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102.34098899349287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210.25641030000014</v>
      </c>
      <c r="DP93" s="17">
        <f>DO93*VLOOKUP('Données projet'!$B$14,Paramètres!$A$1:$I$89,3,0)*VLOOKUP('Données projet'!$B$14,Paramètres!$A$1:$I$89,5,0)</f>
        <v>164.00000003400012</v>
      </c>
      <c r="DQ93" s="13">
        <f t="shared" si="97"/>
        <v>41.743425916009095</v>
      </c>
      <c r="DR93" s="20">
        <f t="shared" si="70"/>
        <v>358.3364668629327</v>
      </c>
      <c r="DS93" s="59">
        <f t="shared" si="71"/>
        <v>643.13073864816852</v>
      </c>
      <c r="DT93" s="59">
        <f ca="1">AVERAGE(OFFSET($DS$3,0,0,'Données projet'!$E$14+1,1))-AVERAGE(OFFSET($H$3,0,0,'Données projet'!$E$14+1,1))</f>
        <v>206.5241977687125</v>
      </c>
      <c r="DU93" s="59">
        <f t="shared" si="98"/>
        <v>205.25001043771269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21.306752898752698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21.306752898752698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155.99999999999991</v>
      </c>
      <c r="EK93" s="17">
        <f>EJ93*VLOOKUP('Données projet'!$B$15,Paramètres!$A$1:$I$89,3,0)*VLOOKUP('Données projet'!$B$15,Paramètres!$A$1:$I$89,5,0)</f>
        <v>136.28159999999994</v>
      </c>
      <c r="EL93" s="13">
        <f t="shared" si="99"/>
        <v>35.443842312892279</v>
      </c>
      <c r="EM93" s="20">
        <f t="shared" si="73"/>
        <v>299.08847869495395</v>
      </c>
      <c r="EN93" s="59">
        <f t="shared" si="74"/>
        <v>583.88275048018977</v>
      </c>
      <c r="EO93" s="59">
        <f ca="1">AVERAGE(OFFSET($EN$3,0,0,'Données projet'!$E$15+1,1))-AVERAGE(OFFSET($H$3,0,0,'Données projet'!$E$15+1,1))</f>
        <v>205.83135724908942</v>
      </c>
      <c r="EP93" s="59">
        <f t="shared" si="100"/>
        <v>193.60053377311405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21.218168373083103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21.218168373083103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217</v>
      </c>
      <c r="FC93" s="12">
        <f>VLOOKUP(A93,'Données projet'!$A$217:$I$237,9,0)</f>
        <v>3.4</v>
      </c>
      <c r="FD93" s="12">
        <f t="array" ref="FD93">INDEX(FC:FC,MIN(IF(ISNUMBER(FC93:FC289),ROW(FC93:FC289),"")))</f>
        <v>3.4</v>
      </c>
      <c r="FE93" s="12">
        <f>IF('Données projet'!$A$218&gt;35,FE92+FD93-FM92,IF(A93&lt;'Données projet'!$A$218,$FB$205^A93,IF(A93='Données projet'!$A$218,'Données projet'!$B$218,FE92+FD93-FM92)))</f>
        <v>217.00000000000017</v>
      </c>
      <c r="FF93" s="17">
        <f>FE93*VLOOKUP('Données projet'!$B$16,Paramètres!$A$1:$I$89,3,0)*VLOOKUP('Données projet'!$B$16,Paramètres!$A$1:$I$89,5,0)</f>
        <v>142.17840000000012</v>
      </c>
      <c r="FG93" s="13">
        <f t="shared" si="101"/>
        <v>36.795597013009385</v>
      </c>
      <c r="FH93" s="20">
        <f t="shared" si="76"/>
        <v>311.71304479765826</v>
      </c>
      <c r="FI93" s="59">
        <f t="shared" si="77"/>
        <v>596.50731658289396</v>
      </c>
      <c r="FJ93" s="59">
        <f ca="1">AVERAGE(OFFSET($FI$3,0,0,'Données projet'!$E$16+1,1))-AVERAGE(OFFSET($H$3,0,0,'Données projet'!$E$16+1,1))</f>
        <v>242.76791261317206</v>
      </c>
      <c r="FK93" s="59">
        <f t="shared" si="102"/>
        <v>244.28580264867682</v>
      </c>
      <c r="FL93" s="15">
        <f>IF(ISNA(VLOOKUP(A93,'Données projet'!$A$217:$I$237,3,0)),0,VLOOKUP(A93,'Données projet'!$A$217:$I$237,3,0))</f>
        <v>17</v>
      </c>
      <c r="FM93" s="15">
        <f>IF(ISNA(VLOOKUP(A93,'Données projet'!$A$217:$I$237,4,0)),0,VLOOKUP(A93,'Données projet'!$A$217:$I$237,4,0))</f>
        <v>13</v>
      </c>
      <c r="FN93" s="16">
        <f>IF(ISNA(VLOOKUP(A93,'Données projet'!$A$217:$I$237,5,0)),0%,VLOOKUP(A93,'Données projet'!$A$217:$I$237,5,0)*VLOOKUP('Données projet'!$B$16,Paramètres!$A$1:$I$89,7,0))</f>
        <v>0.43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39.41284484146572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39.41284484146572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7.1655555555555566</v>
      </c>
      <c r="FZ93" s="12">
        <f>IF('Données projet'!$A$244&gt;35,FZ92+FY93-GH92,IF(A93&lt;'Données projet'!$A$244,$FW$205^A93,IF(A93='Données projet'!$A$244,'Données projet'!$B$244,FZ92+FY93-GH92)))</f>
        <v>281.87333333333339</v>
      </c>
      <c r="GA93" s="17">
        <f>FZ93*VLOOKUP('Données projet'!$B$17,Paramètres!$A$1:$I$89,3,0)*VLOOKUP('Données projet'!$B$17,Paramètres!$A$1:$I$89,5,0)</f>
        <v>268.23066400000005</v>
      </c>
      <c r="GB93" s="13">
        <f t="shared" si="103"/>
        <v>64.473627971975077</v>
      </c>
      <c r="GC93" s="20">
        <f t="shared" si="79"/>
        <v>579.45997518452327</v>
      </c>
      <c r="GD93" s="59">
        <f t="shared" si="80"/>
        <v>864.25424696975904</v>
      </c>
      <c r="GE93" s="59">
        <f ca="1">AVERAGE(OFFSET($GD$3,0,0,'Données projet'!$E$17+1,1))-AVERAGE(OFFSET($H$3,0,0,'Données projet'!$E$17+1,1))</f>
        <v>512.71941256120977</v>
      </c>
      <c r="GF93" s="59">
        <f t="shared" si="104"/>
        <v>230.65031527019354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78.06179657333476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78.06179657333476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67.671165032337029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-5.6843418860808015E-14</v>
      </c>
      <c r="GV93" s="17">
        <f>GU93*VLOOKUP('Données projet'!$B$18,Paramètres!$A$1:$I$89,3,0)*VLOOKUP('Données projet'!$B$18,Paramètres!$A$1:$I$89,5,0)</f>
        <v>-2.5006556825246661E-14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180.68917161146683</v>
      </c>
      <c r="HA93" s="59">
        <f t="shared" si="106"/>
        <v>344.42126252322419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19.487298398901977</v>
      </c>
      <c r="HH93" s="21">
        <f>EXP(-LN(2)/25)*HH92+(1-EXP(-LN(2)/25))/(LN(2)/25)*Calculateur!HC93*Calculateur!HE93*VLOOKUP('Données projet'!$B$18,Paramètres!$A$1:$I$89,3,0)*0.475*44/12</f>
        <v>3.1383705620148312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22.625668960916808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2.25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8.25</v>
      </c>
      <c r="H94" s="66">
        <f t="shared" si="56"/>
        <v>223.66666666666666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7.1655555555555566</v>
      </c>
      <c r="N94" s="13">
        <f>IF('Données projet'!$A$36&gt;35,N93+M94-V93,IF(A94&lt;'Données projet'!$A$36,$K$205^A94,IF(A94='Données projet'!$A$36,'Données projet'!$B$36,N93+M94-V93)))</f>
        <v>289.03888888888895</v>
      </c>
      <c r="O94" s="13">
        <f>N94*VLOOKUP('Données projet'!$B$9,Paramètres!$A$1:$I$89,3,0)*VLOOKUP('Données projet'!$B$9,Paramètres!$A$1:$I$89,5,0)</f>
        <v>261.5223866666667</v>
      </c>
      <c r="P94" s="13">
        <f t="shared" si="87"/>
        <v>63.046778925583041</v>
      </c>
      <c r="Q94" s="20">
        <f t="shared" si="54"/>
        <v>565.29129673983505</v>
      </c>
      <c r="R94" s="59">
        <f t="shared" si="55"/>
        <v>850.2337021524487</v>
      </c>
      <c r="S94" s="59">
        <f ca="1">AVERAGE(OFFSET($R$3,0,0,'Données projet'!$E$9+1,1))-AVERAGE(OFFSET($H$3,0,0,'Données projet'!$E$9+1,1))</f>
        <v>490.57849401500789</v>
      </c>
      <c r="T94" s="59">
        <f t="shared" si="88"/>
        <v>221.7570623669753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72.767230108533056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72.767230108533056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6.4177777777777765</v>
      </c>
      <c r="AI94" s="13">
        <f>IF('Données projet'!$A$62&gt;35,AI93+AH94-AQ93,IF(A94&lt;'Données projet'!$A$62,$AF$205^A94,IF(A94='Données projet'!$A$62,'Données projet'!$B$62,AI93+AH94-AQ93)))</f>
        <v>226.89888888888893</v>
      </c>
      <c r="AJ94" s="13">
        <f>AI94*VLOOKUP('Données projet'!$B$10,Paramètres!$A$1:$I$89,3,0)*VLOOKUP('Données projet'!$B$10,Paramètres!$A$1:$I$89,5,0)</f>
        <v>152.2037746666667</v>
      </c>
      <c r="AK94" s="13">
        <f t="shared" si="89"/>
        <v>39.07897541527128</v>
      </c>
      <c r="AL94" s="20">
        <f t="shared" si="58"/>
        <v>333.15078972604198</v>
      </c>
      <c r="AM94" s="59">
        <f t="shared" si="59"/>
        <v>618.09319513865557</v>
      </c>
      <c r="AN94" s="59">
        <f ca="1">AVERAGE(OFFSET($AM$3,0,0,'Données projet'!$E$10+1,1))-AVERAGE(OFFSET($H$3,0,0,'Données projet'!$E$10+1,1))</f>
        <v>377.00534440335832</v>
      </c>
      <c r="AO94" s="59">
        <f t="shared" si="90"/>
        <v>131.56029120000656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46.525952799596631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46.525952799596631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2.8</v>
      </c>
      <c r="BD94" s="12">
        <f>IF('Données projet'!$A$88&gt;35,BD93+BC94-BL93,IF(A94&lt;'Données projet'!$A$88,$BA$205^A94,IF(A94='Données projet'!$A$88,'Données projet'!$B$88,BD93+BC94-BL93)))</f>
        <v>207.80000000000004</v>
      </c>
      <c r="BE94" s="13">
        <f>BD94*VLOOKUP('Données projet'!$B$11,Paramètres!$A$1:$I$89,3,0)*VLOOKUP('Données projet'!$B$11,Paramètres!$A$1:$I$89,5,0)</f>
        <v>181.53408000000007</v>
      </c>
      <c r="BF94" s="13">
        <f t="shared" si="91"/>
        <v>45.663321943731901</v>
      </c>
      <c r="BG94" s="20">
        <f t="shared" si="61"/>
        <v>395.7021417186665</v>
      </c>
      <c r="BH94" s="59">
        <f t="shared" si="62"/>
        <v>680.64454713128021</v>
      </c>
      <c r="BI94" s="59">
        <f ca="1">AVERAGE(OFFSET($BH$3,0,0,'Données projet'!$E$11+1,1))-AVERAGE(OFFSET($H$3,0,0,'Données projet'!$E$11+1,1))</f>
        <v>314.1123649635374</v>
      </c>
      <c r="BJ94" s="59">
        <f t="shared" si="92"/>
        <v>274.92342227914889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41.932889238798225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41.932889238798225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212.42519999999985</v>
      </c>
      <c r="CA94" s="13">
        <f t="shared" si="93"/>
        <v>52.465198231787184</v>
      </c>
      <c r="CB94" s="20">
        <f t="shared" si="64"/>
        <v>461.35077692036231</v>
      </c>
      <c r="CC94" s="59">
        <f t="shared" si="65"/>
        <v>746.2931823329759</v>
      </c>
      <c r="CD94" s="59">
        <f ca="1">AVERAGE(OFFSET($CC$3,0,0,'Données projet'!$E$12+1,1))-AVERAGE(OFFSET($H$3,0,0,'Données projet'!$E$12+1,1))</f>
        <v>309.86296291630748</v>
      </c>
      <c r="CE94" s="59">
        <f t="shared" si="94"/>
        <v>301.17633325088661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34.893775408875378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34.893775408875378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7.6</v>
      </c>
      <c r="CT94" s="12">
        <f>IF('Données projet'!$A$140&gt;35,CT93+CS94-DB93,IF(A94&lt;'Données projet'!$A$140,$CQ$205^A94,IF(A94='Données projet'!$A$140,'Données projet'!$B$140,CT93+CS94-DB93)))</f>
        <v>358.59999999999985</v>
      </c>
      <c r="CU94" s="17">
        <f>CT94*VLOOKUP('Données projet'!$B$13,Paramètres!$A$1:$I$89,3,0)*VLOOKUP('Données projet'!$B$13,Paramètres!$A$1:$I$89,5,0)</f>
        <v>307.67879999999991</v>
      </c>
      <c r="CV94" s="13">
        <f t="shared" si="95"/>
        <v>72.783859383050768</v>
      </c>
      <c r="CW94" s="20">
        <f t="shared" si="67"/>
        <v>662.63913175881328</v>
      </c>
      <c r="CX94" s="59">
        <f t="shared" si="68"/>
        <v>947.58153717142693</v>
      </c>
      <c r="CY94" s="59">
        <f ca="1">AVERAGE(OFFSET($CX$3,0,0,'Données projet'!$E$13+1,1))-AVERAGE(OFFSET($H$3,0,0,'Données projet'!$E$13+1,1))</f>
        <v>462.66388549889928</v>
      </c>
      <c r="CZ94" s="59">
        <f t="shared" si="96"/>
        <v>265.3725203415089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100.33414462117011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100.33414462117011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210.25641030000014</v>
      </c>
      <c r="DP94" s="17">
        <f>DO94*VLOOKUP('Données projet'!$B$14,Paramètres!$A$1:$I$89,3,0)*VLOOKUP('Données projet'!$B$14,Paramètres!$A$1:$I$89,5,0)</f>
        <v>164.00000003400012</v>
      </c>
      <c r="DQ94" s="13">
        <f t="shared" si="97"/>
        <v>41.743425916009095</v>
      </c>
      <c r="DR94" s="20">
        <f t="shared" si="70"/>
        <v>358.3364668629327</v>
      </c>
      <c r="DS94" s="59">
        <f t="shared" si="71"/>
        <v>643.27887227554629</v>
      </c>
      <c r="DT94" s="59">
        <f ca="1">AVERAGE(OFFSET($DS$3,0,0,'Données projet'!$E$14+1,1))-AVERAGE(OFFSET($H$3,0,0,'Données projet'!$E$14+1,1))</f>
        <v>206.5241977687125</v>
      </c>
      <c r="DU94" s="59">
        <f t="shared" si="98"/>
        <v>205.25001043771269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20.888940470244194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20.888940470244194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155.99999999999991</v>
      </c>
      <c r="EK94" s="17">
        <f>EJ94*VLOOKUP('Données projet'!$B$15,Paramètres!$A$1:$I$89,3,0)*VLOOKUP('Données projet'!$B$15,Paramètres!$A$1:$I$89,5,0)</f>
        <v>136.28159999999994</v>
      </c>
      <c r="EL94" s="13">
        <f t="shared" si="99"/>
        <v>35.443842312892279</v>
      </c>
      <c r="EM94" s="20">
        <f t="shared" si="73"/>
        <v>299.08847869495395</v>
      </c>
      <c r="EN94" s="59">
        <f t="shared" si="74"/>
        <v>584.03088410756754</v>
      </c>
      <c r="EO94" s="59">
        <f ca="1">AVERAGE(OFFSET($EN$3,0,0,'Données projet'!$E$15+1,1))-AVERAGE(OFFSET($H$3,0,0,'Données projet'!$E$15+1,1))</f>
        <v>205.83135724908942</v>
      </c>
      <c r="EP94" s="59">
        <f t="shared" si="100"/>
        <v>193.60053377311405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20.802093033091754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20.802093033091754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204.00000000000017</v>
      </c>
      <c r="FF94" s="17">
        <f>FE94*VLOOKUP('Données projet'!$B$16,Paramètres!$A$1:$I$89,3,0)*VLOOKUP('Données projet'!$B$16,Paramètres!$A$1:$I$89,5,0)</f>
        <v>133.66080000000011</v>
      </c>
      <c r="FG94" s="13">
        <f t="shared" si="101"/>
        <v>34.840890682716783</v>
      </c>
      <c r="FH94" s="20">
        <f t="shared" si="76"/>
        <v>293.4737779390652</v>
      </c>
      <c r="FI94" s="59">
        <f t="shared" si="77"/>
        <v>578.41618335167891</v>
      </c>
      <c r="FJ94" s="59">
        <f ca="1">AVERAGE(OFFSET($FI$3,0,0,'Données projet'!$E$16+1,1))-AVERAGE(OFFSET($H$3,0,0,'Données projet'!$E$16+1,1))</f>
        <v>242.76791261317206</v>
      </c>
      <c r="FK94" s="59">
        <f t="shared" si="102"/>
        <v>244.28580264867682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38.63998299358623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38.63998299358623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7.1655555555555566</v>
      </c>
      <c r="FZ94" s="12">
        <f>IF('Données projet'!$A$244&gt;35,FZ93+FY94-GH93,IF(A94&lt;'Données projet'!$A$244,$FW$205^A94,IF(A94='Données projet'!$A$244,'Données projet'!$B$244,FZ93+FY94-GH93)))</f>
        <v>289.03888888888895</v>
      </c>
      <c r="GA94" s="17">
        <f>FZ94*VLOOKUP('Données projet'!$B$17,Paramètres!$A$1:$I$89,3,0)*VLOOKUP('Données projet'!$B$17,Paramètres!$A$1:$I$89,5,0)</f>
        <v>275.0494066666667</v>
      </c>
      <c r="GB94" s="13">
        <f t="shared" si="103"/>
        <v>65.919722487258852</v>
      </c>
      <c r="GC94" s="20">
        <f t="shared" si="79"/>
        <v>593.85456660975365</v>
      </c>
      <c r="GD94" s="59">
        <f t="shared" si="80"/>
        <v>878.7969720223673</v>
      </c>
      <c r="GE94" s="59">
        <f ca="1">AVERAGE(OFFSET($GD$3,0,0,'Données projet'!$E$17+1,1))-AVERAGE(OFFSET($H$3,0,0,'Données projet'!$E$17+1,1))</f>
        <v>512.71941256120977</v>
      </c>
      <c r="GF94" s="59">
        <f t="shared" si="104"/>
        <v>230.65031527019354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76.531052355526185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76.531052355526185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67.711565112530991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-5.6843418860808015E-14</v>
      </c>
      <c r="GV94" s="17">
        <f>GU94*VLOOKUP('Données projet'!$B$18,Paramètres!$A$1:$I$89,3,0)*VLOOKUP('Données projet'!$B$18,Paramètres!$A$1:$I$89,5,0)</f>
        <v>-2.5006556825246661E-14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180.68917161146683</v>
      </c>
      <c r="HA94" s="59">
        <f t="shared" si="106"/>
        <v>344.42126252322419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19.105164363377881</v>
      </c>
      <c r="HH94" s="21">
        <f>EXP(-LN(2)/25)*HH93+(1-EXP(-LN(2)/25))/(LN(2)/25)*Calculateur!HC94*Calculateur!HE94*VLOOKUP('Données projet'!$B$18,Paramètres!$A$1:$I$89,3,0)*0.475*44/12</f>
        <v>3.0525516539568005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22.157716017334682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2.25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8.25</v>
      </c>
      <c r="H95" s="66">
        <f t="shared" si="56"/>
        <v>223.66666666666666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7.1655555555555566</v>
      </c>
      <c r="N95" s="13">
        <f>IF('Données projet'!$A$36&gt;35,N94+M95-V94,IF(A95&lt;'Données projet'!$A$36,$K$205^A95,IF(A95='Données projet'!$A$36,'Données projet'!$B$36,N94+M95-V94)))</f>
        <v>296.2044444444445</v>
      </c>
      <c r="O95" s="13">
        <f>N95*VLOOKUP('Données projet'!$B$9,Paramètres!$A$1:$I$89,3,0)*VLOOKUP('Données projet'!$B$9,Paramètres!$A$1:$I$89,5,0)</f>
        <v>268.0057813333334</v>
      </c>
      <c r="P95" s="13">
        <f t="shared" si="87"/>
        <v>64.425863325115259</v>
      </c>
      <c r="Q95" s="20">
        <f t="shared" si="54"/>
        <v>578.98511444679809</v>
      </c>
      <c r="R95" s="59">
        <f t="shared" si="55"/>
        <v>864.07308369953171</v>
      </c>
      <c r="S95" s="59">
        <f ca="1">AVERAGE(OFFSET($R$3,0,0,'Données projet'!$E$9+1,1))-AVERAGE(OFFSET($H$3,0,0,'Données projet'!$E$9+1,1))</f>
        <v>490.57849401500789</v>
      </c>
      <c r="T95" s="59">
        <f t="shared" si="88"/>
        <v>221.7570623669753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71.340309109732573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71.340309109732573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6.4177777777777765</v>
      </c>
      <c r="AI95" s="13">
        <f>IF('Données projet'!$A$62&gt;35,AI94+AH95-AQ94,IF(A95&lt;'Données projet'!$A$62,$AF$205^A95,IF(A95='Données projet'!$A$62,'Données projet'!$B$62,AI94+AH95-AQ94)))</f>
        <v>233.31666666666672</v>
      </c>
      <c r="AJ95" s="13">
        <f>AI95*VLOOKUP('Données projet'!$B$10,Paramètres!$A$1:$I$89,3,0)*VLOOKUP('Données projet'!$B$10,Paramètres!$A$1:$I$89,5,0)</f>
        <v>156.50882000000004</v>
      </c>
      <c r="AK95" s="13">
        <f t="shared" si="89"/>
        <v>40.054061807713303</v>
      </c>
      <c r="AL95" s="20">
        <f t="shared" si="58"/>
        <v>342.34701914843407</v>
      </c>
      <c r="AM95" s="59">
        <f t="shared" si="59"/>
        <v>627.43498840116774</v>
      </c>
      <c r="AN95" s="59">
        <f ca="1">AVERAGE(OFFSET($AM$3,0,0,'Données projet'!$E$10+1,1))-AVERAGE(OFFSET($H$3,0,0,'Données projet'!$E$10+1,1))</f>
        <v>377.00534440335832</v>
      </c>
      <c r="AO95" s="59">
        <f t="shared" si="90"/>
        <v>131.56029120000656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45.613607243225651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45.613607243225651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2.8</v>
      </c>
      <c r="BD95" s="12">
        <f>IF('Données projet'!$A$88&gt;35,BD94+BC95-BL94,IF(A95&lt;'Données projet'!$A$88,$BA$205^A95,IF(A95='Données projet'!$A$88,'Données projet'!$B$88,BD94+BC95-BL94)))</f>
        <v>210.60000000000005</v>
      </c>
      <c r="BE95" s="13">
        <f>BD95*VLOOKUP('Données projet'!$B$11,Paramètres!$A$1:$I$89,3,0)*VLOOKUP('Données projet'!$B$11,Paramètres!$A$1:$I$89,5,0)</f>
        <v>183.98016000000007</v>
      </c>
      <c r="BF95" s="13">
        <f t="shared" si="91"/>
        <v>46.206568123393758</v>
      </c>
      <c r="BG95" s="20">
        <f t="shared" si="61"/>
        <v>400.9085514815776</v>
      </c>
      <c r="BH95" s="59">
        <f t="shared" si="62"/>
        <v>685.99652073431128</v>
      </c>
      <c r="BI95" s="59">
        <f ca="1">AVERAGE(OFFSET($BH$3,0,0,'Données projet'!$E$11+1,1))-AVERAGE(OFFSET($H$3,0,0,'Données projet'!$E$11+1,1))</f>
        <v>314.1123649635374</v>
      </c>
      <c r="BJ95" s="59">
        <f t="shared" si="92"/>
        <v>274.92342227914889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41.110610857362353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41.110610857362353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212.42519999999985</v>
      </c>
      <c r="CA95" s="13">
        <f t="shared" si="93"/>
        <v>52.465198231787184</v>
      </c>
      <c r="CB95" s="20">
        <f t="shared" si="64"/>
        <v>461.35077692036231</v>
      </c>
      <c r="CC95" s="59">
        <f t="shared" si="65"/>
        <v>746.43874617309598</v>
      </c>
      <c r="CD95" s="59">
        <f ca="1">AVERAGE(OFFSET($CC$3,0,0,'Données projet'!$E$12+1,1))-AVERAGE(OFFSET($H$3,0,0,'Données projet'!$E$12+1,1))</f>
        <v>309.86296291630748</v>
      </c>
      <c r="CE95" s="59">
        <f t="shared" si="94"/>
        <v>301.17633325088661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34.209529756208802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34.209529756208802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7.6</v>
      </c>
      <c r="CT95" s="12">
        <f>IF('Données projet'!$A$140&gt;35,CT94+CS95-DB94,IF(A95&lt;'Données projet'!$A$140,$CQ$205^A95,IF(A95='Données projet'!$A$140,'Données projet'!$B$140,CT94+CS95-DB94)))</f>
        <v>366.19999999999987</v>
      </c>
      <c r="CU95" s="17">
        <f>CT95*VLOOKUP('Données projet'!$B$13,Paramètres!$A$1:$I$89,3,0)*VLOOKUP('Données projet'!$B$13,Paramètres!$A$1:$I$89,5,0)</f>
        <v>314.19959999999992</v>
      </c>
      <c r="CV95" s="13">
        <f t="shared" si="95"/>
        <v>74.145185764564587</v>
      </c>
      <c r="CW95" s="20">
        <f t="shared" si="67"/>
        <v>676.36716853994983</v>
      </c>
      <c r="CX95" s="59">
        <f t="shared" si="68"/>
        <v>961.45513779268344</v>
      </c>
      <c r="CY95" s="59">
        <f ca="1">AVERAGE(OFFSET($CX$3,0,0,'Données projet'!$E$13+1,1))-AVERAGE(OFFSET($H$3,0,0,'Données projet'!$E$13+1,1))</f>
        <v>462.66388549889928</v>
      </c>
      <c r="CZ95" s="59">
        <f t="shared" si="96"/>
        <v>265.3725203415089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98.366653242934404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98.366653242934404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210.25641030000014</v>
      </c>
      <c r="DP95" s="17">
        <f>DO95*VLOOKUP('Données projet'!$B$14,Paramètres!$A$1:$I$89,3,0)*VLOOKUP('Données projet'!$B$14,Paramètres!$A$1:$I$89,5,0)</f>
        <v>164.00000003400012</v>
      </c>
      <c r="DQ95" s="13">
        <f t="shared" si="97"/>
        <v>41.743425916009095</v>
      </c>
      <c r="DR95" s="20">
        <f t="shared" si="70"/>
        <v>358.3364668629327</v>
      </c>
      <c r="DS95" s="59">
        <f t="shared" si="71"/>
        <v>643.42443611566637</v>
      </c>
      <c r="DT95" s="59">
        <f ca="1">AVERAGE(OFFSET($DS$3,0,0,'Données projet'!$E$14+1,1))-AVERAGE(OFFSET($H$3,0,0,'Données projet'!$E$14+1,1))</f>
        <v>206.5241977687125</v>
      </c>
      <c r="DU95" s="59">
        <f t="shared" si="98"/>
        <v>205.25001043771269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20.479321088618324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20.479321088618324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155.99999999999991</v>
      </c>
      <c r="EK95" s="17">
        <f>EJ95*VLOOKUP('Données projet'!$B$15,Paramètres!$A$1:$I$89,3,0)*VLOOKUP('Données projet'!$B$15,Paramètres!$A$1:$I$89,5,0)</f>
        <v>136.28159999999994</v>
      </c>
      <c r="EL95" s="13">
        <f t="shared" si="99"/>
        <v>35.443842312892279</v>
      </c>
      <c r="EM95" s="20">
        <f t="shared" si="73"/>
        <v>299.08847869495395</v>
      </c>
      <c r="EN95" s="59">
        <f t="shared" si="74"/>
        <v>584.17644794768762</v>
      </c>
      <c r="EO95" s="59">
        <f ca="1">AVERAGE(OFFSET($EN$3,0,0,'Données projet'!$E$15+1,1))-AVERAGE(OFFSET($H$3,0,0,'Données projet'!$E$15+1,1))</f>
        <v>205.83135724908942</v>
      </c>
      <c r="EP95" s="59">
        <f t="shared" si="100"/>
        <v>193.60053377311405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20.394176676736738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20.394176676736738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204.00000000000017</v>
      </c>
      <c r="FF95" s="17">
        <f>FE95*VLOOKUP('Données projet'!$B$16,Paramètres!$A$1:$I$89,3,0)*VLOOKUP('Données projet'!$B$16,Paramètres!$A$1:$I$89,5,0)</f>
        <v>133.66080000000011</v>
      </c>
      <c r="FG95" s="13">
        <f t="shared" si="101"/>
        <v>34.840890682716783</v>
      </c>
      <c r="FH95" s="20">
        <f t="shared" si="76"/>
        <v>293.4737779390652</v>
      </c>
      <c r="FI95" s="59">
        <f t="shared" si="77"/>
        <v>578.56174719179887</v>
      </c>
      <c r="FJ95" s="59">
        <f ca="1">AVERAGE(OFFSET($FI$3,0,0,'Données projet'!$E$16+1,1))-AVERAGE(OFFSET($H$3,0,0,'Données projet'!$E$16+1,1))</f>
        <v>242.76791261317206</v>
      </c>
      <c r="FK95" s="59">
        <f t="shared" si="102"/>
        <v>244.28580264867682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37.882276495144474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37.882276495144474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7.1655555555555566</v>
      </c>
      <c r="FZ95" s="12">
        <f>IF('Données projet'!$A$244&gt;35,FZ94+FY95-GH94,IF(A95&lt;'Données projet'!$A$244,$FW$205^A95,IF(A95='Données projet'!$A$244,'Données projet'!$B$244,FZ94+FY95-GH94)))</f>
        <v>296.2044444444445</v>
      </c>
      <c r="GA95" s="17">
        <f>FZ95*VLOOKUP('Données projet'!$B$17,Paramètres!$A$1:$I$89,3,0)*VLOOKUP('Données projet'!$B$17,Paramètres!$A$1:$I$89,5,0)</f>
        <v>281.86814933333341</v>
      </c>
      <c r="GB95" s="13">
        <f t="shared" si="103"/>
        <v>67.361649615859278</v>
      </c>
      <c r="GC95" s="20">
        <f t="shared" si="79"/>
        <v>608.24189983651058</v>
      </c>
      <c r="GD95" s="59">
        <f t="shared" si="80"/>
        <v>893.32986908924431</v>
      </c>
      <c r="GE95" s="59">
        <f ca="1">AVERAGE(OFFSET($GD$3,0,0,'Données projet'!$E$17+1,1))-AVERAGE(OFFSET($H$3,0,0,'Données projet'!$E$17+1,1))</f>
        <v>512.71941256120977</v>
      </c>
      <c r="GF95" s="59">
        <f t="shared" si="104"/>
        <v>230.65031527019354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75.030325098167054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75.030325098167054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67.751264341654633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-5.6843418860808015E-14</v>
      </c>
      <c r="GV95" s="17">
        <f>GU95*VLOOKUP('Données projet'!$B$18,Paramètres!$A$1:$I$89,3,0)*VLOOKUP('Données projet'!$B$18,Paramètres!$A$1:$I$89,5,0)</f>
        <v>-2.5006556825246661E-14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180.68917161146683</v>
      </c>
      <c r="HA95" s="59">
        <f t="shared" si="106"/>
        <v>344.42126252322419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18.730523743211663</v>
      </c>
      <c r="HH95" s="21">
        <f>EXP(-LN(2)/25)*HH94+(1-EXP(-LN(2)/25))/(LN(2)/25)*Calculateur!HC95*Calculateur!HE95*VLOOKUP('Données projet'!$B$18,Paramètres!$A$1:$I$89,3,0)*0.475*44/12</f>
        <v>2.9690794684526369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21.6996032116643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2.25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8.25</v>
      </c>
      <c r="H96" s="66">
        <f t="shared" si="56"/>
        <v>223.66666666666666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303.37</v>
      </c>
      <c r="L96" s="12">
        <f>VLOOKUP(A96,'Données projet'!$A$35:$I$55,9,0)</f>
        <v>7.1655555555555566</v>
      </c>
      <c r="M96" s="12">
        <f t="array" ref="M96">INDEX(L:L,MIN(IF(ISNUMBER(L96:L292),ROW(L96:L292),"")))</f>
        <v>7.1655555555555566</v>
      </c>
      <c r="N96" s="13">
        <f>IF('Données projet'!$A$36&gt;35,N95+M96-V95,IF(A96&lt;'Données projet'!$A$36,$K$205^A96,IF(A96='Données projet'!$A$36,'Données projet'!$B$36,N95+M96-V95)))</f>
        <v>303.37000000000006</v>
      </c>
      <c r="O96" s="13">
        <f>N96*VLOOKUP('Données projet'!$B$9,Paramètres!$A$1:$I$89,3,0)*VLOOKUP('Données projet'!$B$9,Paramètres!$A$1:$I$89,5,0)</f>
        <v>274.48917600000004</v>
      </c>
      <c r="P96" s="13">
        <f t="shared" si="87"/>
        <v>65.801069476622075</v>
      </c>
      <c r="Q96" s="20">
        <f t="shared" si="54"/>
        <v>592.67217753845</v>
      </c>
      <c r="R96" s="59">
        <f t="shared" si="55"/>
        <v>877.90318542410955</v>
      </c>
      <c r="S96" s="59">
        <f ca="1">AVERAGE(OFFSET($R$3,0,0,'Données projet'!$E$9+1,1))-AVERAGE(OFFSET($H$3,0,0,'Données projet'!$E$9+1,1))</f>
        <v>490.57849401500789</v>
      </c>
      <c r="T96" s="59">
        <f t="shared" si="88"/>
        <v>221.7570623669753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38.57</v>
      </c>
      <c r="W96" s="16">
        <f>IF(ISNA(VLOOKUP(A96,'Données projet'!$A$35:$I$55,5,0)),0%,VLOOKUP(A96,'Données projet'!$A$35:$I$55,5,0)*VLOOKUP('Données projet'!$B$9,Paramètres!$A$1:$I$89,7,0))</f>
        <v>0.43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86.530277090415069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86.530277090415069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6.4177777777777765</v>
      </c>
      <c r="AI96" s="13">
        <f>IF('Données projet'!$A$62&gt;35,AI95+AH96-AQ95,IF(A96&lt;'Données projet'!$A$62,$AF$205^A96,IF(A96='Données projet'!$A$62,'Données projet'!$B$62,AI95+AH96-AQ95)))</f>
        <v>239.73444444444451</v>
      </c>
      <c r="AJ96" s="13">
        <f>AI96*VLOOKUP('Données projet'!$B$10,Paramètres!$A$1:$I$89,3,0)*VLOOKUP('Données projet'!$B$10,Paramètres!$A$1:$I$89,5,0)</f>
        <v>160.81386533333338</v>
      </c>
      <c r="AK96" s="13">
        <f t="shared" si="89"/>
        <v>41.026030762403479</v>
      </c>
      <c r="AL96" s="20">
        <f t="shared" si="58"/>
        <v>351.53781903340837</v>
      </c>
      <c r="AM96" s="59">
        <f t="shared" si="59"/>
        <v>636.76882691906781</v>
      </c>
      <c r="AN96" s="59">
        <f ca="1">AVERAGE(OFFSET($AM$3,0,0,'Données projet'!$E$10+1,1))-AVERAGE(OFFSET($H$3,0,0,'Données projet'!$E$10+1,1))</f>
        <v>377.00534440335832</v>
      </c>
      <c r="AO96" s="59">
        <f t="shared" si="90"/>
        <v>131.56029120000656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44.719152226739261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44.719152226739261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2.8</v>
      </c>
      <c r="BD96" s="12">
        <f>IF('Données projet'!$A$88&gt;35,BD95+BC96-BL95,IF(A96&lt;'Données projet'!$A$88,$BA$205^A96,IF(A96='Données projet'!$A$88,'Données projet'!$B$88,BD95+BC96-BL95)))</f>
        <v>213.40000000000006</v>
      </c>
      <c r="BE96" s="13">
        <f>BD96*VLOOKUP('Données projet'!$B$11,Paramètres!$A$1:$I$89,3,0)*VLOOKUP('Données projet'!$B$11,Paramètres!$A$1:$I$89,5,0)</f>
        <v>186.42624000000009</v>
      </c>
      <c r="BF96" s="13">
        <f t="shared" si="91"/>
        <v>46.748974211060826</v>
      </c>
      <c r="BG96" s="20">
        <f t="shared" si="61"/>
        <v>406.11349808426439</v>
      </c>
      <c r="BH96" s="59">
        <f t="shared" si="62"/>
        <v>691.34450596992383</v>
      </c>
      <c r="BI96" s="59">
        <f ca="1">AVERAGE(OFFSET($BH$3,0,0,'Données projet'!$E$11+1,1))-AVERAGE(OFFSET($H$3,0,0,'Données projet'!$E$11+1,1))</f>
        <v>314.1123649635374</v>
      </c>
      <c r="BJ96" s="59">
        <f t="shared" si="92"/>
        <v>274.92342227914889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40.304456853446148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40.304456853446148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212.42519999999985</v>
      </c>
      <c r="CA96" s="13">
        <f t="shared" si="93"/>
        <v>52.465198231787184</v>
      </c>
      <c r="CB96" s="20">
        <f t="shared" si="64"/>
        <v>461.35077692036231</v>
      </c>
      <c r="CC96" s="59">
        <f t="shared" si="65"/>
        <v>746.5817848060218</v>
      </c>
      <c r="CD96" s="59">
        <f ca="1">AVERAGE(OFFSET($CC$3,0,0,'Données projet'!$E$12+1,1))-AVERAGE(OFFSET($H$3,0,0,'Données projet'!$E$12+1,1))</f>
        <v>309.86296291630748</v>
      </c>
      <c r="CE96" s="59">
        <f t="shared" si="94"/>
        <v>301.17633325088661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33.538701743442374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33.538701743442374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7.6</v>
      </c>
      <c r="CT96" s="12">
        <f>IF('Données projet'!$A$140&gt;35,CT95+CS96-DB95,IF(A96&lt;'Données projet'!$A$140,$CQ$205^A96,IF(A96='Données projet'!$A$140,'Données projet'!$B$140,CT95+CS96-DB95)))</f>
        <v>373.7999999999999</v>
      </c>
      <c r="CU96" s="17">
        <f>CT96*VLOOKUP('Données projet'!$B$13,Paramètres!$A$1:$I$89,3,0)*VLOOKUP('Données projet'!$B$13,Paramètres!$A$1:$I$89,5,0)</f>
        <v>320.72039999999993</v>
      </c>
      <c r="CV96" s="13">
        <f t="shared" si="95"/>
        <v>75.503227270035708</v>
      </c>
      <c r="CW96" s="20">
        <f t="shared" si="67"/>
        <v>690.0894841619787</v>
      </c>
      <c r="CX96" s="59">
        <f t="shared" si="68"/>
        <v>975.32049204763825</v>
      </c>
      <c r="CY96" s="59">
        <f ca="1">AVERAGE(OFFSET($CX$3,0,0,'Données projet'!$E$13+1,1))-AVERAGE(OFFSET($H$3,0,0,'Données projet'!$E$13+1,1))</f>
        <v>462.66388549889928</v>
      </c>
      <c r="CZ96" s="59">
        <f t="shared" si="96"/>
        <v>265.3725203415089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96.437743170574649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96.437743170574649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210.25641030000014</v>
      </c>
      <c r="DP96" s="17">
        <f>DO96*VLOOKUP('Données projet'!$B$14,Paramètres!$A$1:$I$89,3,0)*VLOOKUP('Données projet'!$B$14,Paramètres!$A$1:$I$89,5,0)</f>
        <v>164.00000003400012</v>
      </c>
      <c r="DQ96" s="13">
        <f t="shared" si="97"/>
        <v>41.743425916009095</v>
      </c>
      <c r="DR96" s="20">
        <f t="shared" si="70"/>
        <v>358.3364668629327</v>
      </c>
      <c r="DS96" s="59">
        <f t="shared" si="71"/>
        <v>643.56747474859219</v>
      </c>
      <c r="DT96" s="59">
        <f ca="1">AVERAGE(OFFSET($DS$3,0,0,'Données projet'!$E$14+1,1))-AVERAGE(OFFSET($H$3,0,0,'Données projet'!$E$14+1,1))</f>
        <v>206.5241977687125</v>
      </c>
      <c r="DU96" s="59">
        <f t="shared" si="98"/>
        <v>205.25001043771269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20.077734093222983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20.077734093222983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155.99999999999991</v>
      </c>
      <c r="EK96" s="17">
        <f>EJ96*VLOOKUP('Données projet'!$B$15,Paramètres!$A$1:$I$89,3,0)*VLOOKUP('Données projet'!$B$15,Paramètres!$A$1:$I$89,5,0)</f>
        <v>136.28159999999994</v>
      </c>
      <c r="EL96" s="13">
        <f t="shared" si="99"/>
        <v>35.443842312892279</v>
      </c>
      <c r="EM96" s="20">
        <f t="shared" si="73"/>
        <v>299.08847869495395</v>
      </c>
      <c r="EN96" s="59">
        <f t="shared" si="74"/>
        <v>584.31948658061344</v>
      </c>
      <c r="EO96" s="59">
        <f ca="1">AVERAGE(OFFSET($EN$3,0,0,'Données projet'!$E$15+1,1))-AVERAGE(OFFSET($H$3,0,0,'Données projet'!$E$15+1,1))</f>
        <v>205.83135724908942</v>
      </c>
      <c r="EP96" s="59">
        <f t="shared" si="100"/>
        <v>193.60053377311405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19.994259311325433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19.994259311325433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204.00000000000017</v>
      </c>
      <c r="FF96" s="17">
        <f>FE96*VLOOKUP('Données projet'!$B$16,Paramètres!$A$1:$I$89,3,0)*VLOOKUP('Données projet'!$B$16,Paramètres!$A$1:$I$89,5,0)</f>
        <v>133.66080000000011</v>
      </c>
      <c r="FG96" s="13">
        <f t="shared" si="101"/>
        <v>34.840890682716783</v>
      </c>
      <c r="FH96" s="20">
        <f t="shared" si="76"/>
        <v>293.4737779390652</v>
      </c>
      <c r="FI96" s="59">
        <f t="shared" si="77"/>
        <v>578.70478582472469</v>
      </c>
      <c r="FJ96" s="59">
        <f ca="1">AVERAGE(OFFSET($FI$3,0,0,'Données projet'!$E$16+1,1))-AVERAGE(OFFSET($H$3,0,0,'Données projet'!$E$16+1,1))</f>
        <v>242.76791261317206</v>
      </c>
      <c r="FK96" s="59">
        <f t="shared" si="102"/>
        <v>244.28580264867682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37.139428158981836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37.139428158981836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>
        <f>VLOOKUP(A96,'Données projet'!$A$243:$I$263,2,0)</f>
        <v>303.37</v>
      </c>
      <c r="FX96" s="12">
        <f>VLOOKUP(A96,'Données projet'!$A$243:$I$263,9,0)</f>
        <v>7.1655555555555566</v>
      </c>
      <c r="FY96" s="12">
        <f t="array" ref="FY96">INDEX(FX:FX,MIN(IF(ISNUMBER(FX96:FX292),ROW(FX96:FX292),"")))</f>
        <v>7.1655555555555566</v>
      </c>
      <c r="FZ96" s="12">
        <f>IF('Données projet'!$A$244&gt;35,FZ95+FY96-GH95,IF(A96&lt;'Données projet'!$A$244,$FW$205^A96,IF(A96='Données projet'!$A$244,'Données projet'!$B$244,FZ95+FY96-GH95)))</f>
        <v>303.37000000000006</v>
      </c>
      <c r="GA96" s="17">
        <f>FZ96*VLOOKUP('Données projet'!$B$17,Paramètres!$A$1:$I$89,3,0)*VLOOKUP('Données projet'!$B$17,Paramètres!$A$1:$I$89,5,0)</f>
        <v>288.68689200000006</v>
      </c>
      <c r="GB96" s="13">
        <f t="shared" si="103"/>
        <v>68.799521770709674</v>
      </c>
      <c r="GC96" s="20">
        <f t="shared" si="79"/>
        <v>622.62217065065283</v>
      </c>
      <c r="GD96" s="59">
        <f t="shared" si="80"/>
        <v>907.85317853631227</v>
      </c>
      <c r="GE96" s="59">
        <f ca="1">AVERAGE(OFFSET($GD$3,0,0,'Données projet'!$E$17+1,1))-AVERAGE(OFFSET($H$3,0,0,'Données projet'!$E$17+1,1))</f>
        <v>512.71941256120977</v>
      </c>
      <c r="GF96" s="59">
        <f t="shared" si="104"/>
        <v>230.65031527019354</v>
      </c>
      <c r="GG96" s="15">
        <f>IF(ISNA(VLOOKUP(A96,'Données projet'!$A$243:$I$263,3,0)),0,VLOOKUP(A96,'Données projet'!$A$243:$I$263,3,0))</f>
        <v>7</v>
      </c>
      <c r="GH96" s="15">
        <f>IF(ISNA(VLOOKUP(A96,'Données projet'!$A$243:$I$263,4,0)),0,VLOOKUP(A96,'Données projet'!$A$243:$I$263,4,0))</f>
        <v>38.57</v>
      </c>
      <c r="GI96" s="16">
        <f>IF(ISNA(VLOOKUP(A96,'Données projet'!$A$243:$I$263,5,0)),0%,VLOOKUP(A96,'Données projet'!$A$243:$I$263,5,0)*VLOOKUP('Données projet'!$B$17,Paramètres!$A$1:$I$89,7,0))</f>
        <v>0.43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91.005981077850379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91.005981077850379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67.790274877907137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-5.6843418860808015E-14</v>
      </c>
      <c r="GV96" s="17">
        <f>GU96*VLOOKUP('Données projet'!$B$18,Paramètres!$A$1:$I$89,3,0)*VLOOKUP('Données projet'!$B$18,Paramètres!$A$1:$I$89,5,0)</f>
        <v>-2.5006556825246661E-14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180.68917161146683</v>
      </c>
      <c r="HA96" s="59">
        <f t="shared" si="106"/>
        <v>344.42126252322419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18.363229597098691</v>
      </c>
      <c r="HH96" s="21">
        <f>EXP(-LN(2)/25)*HH95+(1-EXP(-LN(2)/25))/(LN(2)/25)*Calculateur!HC96*Calculateur!HE96*VLOOKUP('Données projet'!$B$18,Paramètres!$A$1:$I$89,3,0)*0.475*44/12</f>
        <v>2.8878898342506965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21.251119431349387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2.25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8.25</v>
      </c>
      <c r="H97" s="66">
        <f t="shared" si="56"/>
        <v>223.66666666666666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7.2909999999999968</v>
      </c>
      <c r="N97" s="13">
        <f>IF('Données projet'!$A$36&gt;35,N96+M97-V96,IF(A97&lt;'Données projet'!$A$36,$K$205^A97,IF(A97='Données projet'!$A$36,'Données projet'!$B$36,N96+M97-V96)))</f>
        <v>272.09100000000007</v>
      </c>
      <c r="O97" s="13">
        <f>N97*VLOOKUP('Données projet'!$B$9,Paramètres!$A$1:$I$89,3,0)*VLOOKUP('Données projet'!$B$9,Paramètres!$A$1:$I$89,5,0)</f>
        <v>246.18793680000005</v>
      </c>
      <c r="P97" s="13">
        <f t="shared" si="87"/>
        <v>59.768916327504719</v>
      </c>
      <c r="Q97" s="20">
        <f t="shared" si="54"/>
        <v>532.87485253040416</v>
      </c>
      <c r="R97" s="59">
        <f t="shared" si="55"/>
        <v>818.2464176484948</v>
      </c>
      <c r="S97" s="59">
        <f ca="1">AVERAGE(OFFSET($R$3,0,0,'Données projet'!$E$9+1,1))-AVERAGE(OFFSET($H$3,0,0,'Données projet'!$E$9+1,1))</f>
        <v>490.57849401500789</v>
      </c>
      <c r="T97" s="59">
        <f t="shared" si="88"/>
        <v>221.7570623669753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84.833471134929638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84.833471134929638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6.4177777777777765</v>
      </c>
      <c r="AI97" s="13">
        <f>IF('Données projet'!$A$62&gt;35,AI96+AH97-AQ96,IF(A97&lt;'Données projet'!$A$62,$AF$205^A97,IF(A97='Données projet'!$A$62,'Données projet'!$B$62,AI96+AH97-AQ96)))</f>
        <v>246.15222222222229</v>
      </c>
      <c r="AJ97" s="13">
        <f>AI97*VLOOKUP('Données projet'!$B$10,Paramètres!$A$1:$I$89,3,0)*VLOOKUP('Données projet'!$B$10,Paramètres!$A$1:$I$89,5,0)</f>
        <v>165.11891066666672</v>
      </c>
      <c r="AK97" s="13">
        <f t="shared" si="89"/>
        <v>41.994975325924571</v>
      </c>
      <c r="AL97" s="20">
        <f t="shared" si="58"/>
        <v>360.72335143709648</v>
      </c>
      <c r="AM97" s="59">
        <f t="shared" si="59"/>
        <v>646.09491655518718</v>
      </c>
      <c r="AN97" s="59">
        <f ca="1">AVERAGE(OFFSET($AM$3,0,0,'Données projet'!$E$10+1,1))-AVERAGE(OFFSET($H$3,0,0,'Données projet'!$E$10+1,1))</f>
        <v>377.00534440335832</v>
      </c>
      <c r="AO97" s="59">
        <f t="shared" si="90"/>
        <v>131.56029120000656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43.842236927562482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43.842236927562482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2.8</v>
      </c>
      <c r="BD97" s="12">
        <f>IF('Données projet'!$A$88&gt;35,BD96+BC97-BL96,IF(A97&lt;'Données projet'!$A$88,$BA$205^A97,IF(A97='Données projet'!$A$88,'Données projet'!$B$88,BD96+BC97-BL96)))</f>
        <v>216.20000000000007</v>
      </c>
      <c r="BE97" s="13">
        <f>BD97*VLOOKUP('Données projet'!$B$11,Paramètres!$A$1:$I$89,3,0)*VLOOKUP('Données projet'!$B$11,Paramètres!$A$1:$I$89,5,0)</f>
        <v>188.87232000000009</v>
      </c>
      <c r="BF97" s="13">
        <f t="shared" si="91"/>
        <v>47.290552503862891</v>
      </c>
      <c r="BG97" s="20">
        <f t="shared" si="61"/>
        <v>411.31700294422802</v>
      </c>
      <c r="BH97" s="59">
        <f t="shared" si="62"/>
        <v>696.68856806231872</v>
      </c>
      <c r="BI97" s="59">
        <f ca="1">AVERAGE(OFFSET($BH$3,0,0,'Données projet'!$E$11+1,1))-AVERAGE(OFFSET($H$3,0,0,'Données projet'!$E$11+1,1))</f>
        <v>314.1123649635374</v>
      </c>
      <c r="BJ97" s="59">
        <f t="shared" si="92"/>
        <v>274.92342227914889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39.514111037841353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39.514111037841353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212.42519999999985</v>
      </c>
      <c r="CA97" s="13">
        <f t="shared" si="93"/>
        <v>52.465198231787184</v>
      </c>
      <c r="CB97" s="20">
        <f t="shared" si="64"/>
        <v>461.35077692036231</v>
      </c>
      <c r="CC97" s="59">
        <f t="shared" si="65"/>
        <v>746.72234203845301</v>
      </c>
      <c r="CD97" s="59">
        <f ca="1">AVERAGE(OFFSET($CC$3,0,0,'Données projet'!$E$12+1,1))-AVERAGE(OFFSET($H$3,0,0,'Données projet'!$E$12+1,1))</f>
        <v>309.86296291630748</v>
      </c>
      <c r="CE97" s="59">
        <f t="shared" si="94"/>
        <v>301.17633325088661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32.88102825884161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32.88102825884161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7.6</v>
      </c>
      <c r="CT97" s="12">
        <f>IF('Données projet'!$A$140&gt;35,CT96+CS97-DB96,IF(A97&lt;'Données projet'!$A$140,$CQ$205^A97,IF(A97='Données projet'!$A$140,'Données projet'!$B$140,CT96+CS97-DB96)))</f>
        <v>381.39999999999992</v>
      </c>
      <c r="CU97" s="17">
        <f>CT97*VLOOKUP('Données projet'!$B$13,Paramètres!$A$1:$I$89,3,0)*VLOOKUP('Données projet'!$B$13,Paramètres!$A$1:$I$89,5,0)</f>
        <v>327.24119999999999</v>
      </c>
      <c r="CV97" s="13">
        <f t="shared" si="95"/>
        <v>76.85805838290122</v>
      </c>
      <c r="CW97" s="20">
        <f t="shared" si="67"/>
        <v>703.80620835021955</v>
      </c>
      <c r="CX97" s="59">
        <f t="shared" si="68"/>
        <v>989.17777346831031</v>
      </c>
      <c r="CY97" s="59">
        <f ca="1">AVERAGE(OFFSET($CX$3,0,0,'Données projet'!$E$13+1,1))-AVERAGE(OFFSET($H$3,0,0,'Données projet'!$E$13+1,1))</f>
        <v>462.66388549889928</v>
      </c>
      <c r="CZ97" s="59">
        <f t="shared" si="96"/>
        <v>265.3725203415089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94.546657848214906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94.546657848214906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210.25641030000014</v>
      </c>
      <c r="DP97" s="17">
        <f>DO97*VLOOKUP('Données projet'!$B$14,Paramètres!$A$1:$I$89,3,0)*VLOOKUP('Données projet'!$B$14,Paramètres!$A$1:$I$89,5,0)</f>
        <v>164.00000003400012</v>
      </c>
      <c r="DQ97" s="13">
        <f t="shared" si="97"/>
        <v>41.743425916009095</v>
      </c>
      <c r="DR97" s="20">
        <f t="shared" si="70"/>
        <v>358.3364668629327</v>
      </c>
      <c r="DS97" s="59">
        <f t="shared" si="71"/>
        <v>643.7080319810234</v>
      </c>
      <c r="DT97" s="59">
        <f ca="1">AVERAGE(OFFSET($DS$3,0,0,'Données projet'!$E$14+1,1))-AVERAGE(OFFSET($H$3,0,0,'Données projet'!$E$14+1,1))</f>
        <v>206.5241977687125</v>
      </c>
      <c r="DU97" s="59">
        <f t="shared" si="98"/>
        <v>205.25001043771269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19.684021973863466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19.684021973863466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155.99999999999991</v>
      </c>
      <c r="EK97" s="17">
        <f>EJ97*VLOOKUP('Données projet'!$B$15,Paramètres!$A$1:$I$89,3,0)*VLOOKUP('Données projet'!$B$15,Paramètres!$A$1:$I$89,5,0)</f>
        <v>136.28159999999994</v>
      </c>
      <c r="EL97" s="13">
        <f t="shared" si="99"/>
        <v>35.443842312892279</v>
      </c>
      <c r="EM97" s="20">
        <f t="shared" si="73"/>
        <v>299.08847869495395</v>
      </c>
      <c r="EN97" s="59">
        <f t="shared" si="74"/>
        <v>584.46004381304465</v>
      </c>
      <c r="EO97" s="59">
        <f ca="1">AVERAGE(OFFSET($EN$3,0,0,'Données projet'!$E$15+1,1))-AVERAGE(OFFSET($H$3,0,0,'Données projet'!$E$15+1,1))</f>
        <v>205.83135724908942</v>
      </c>
      <c r="EP97" s="59">
        <f t="shared" si="100"/>
        <v>193.60053377311405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19.602184081524335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19.602184081524335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204.00000000000017</v>
      </c>
      <c r="FF97" s="17">
        <f>FE97*VLOOKUP('Données projet'!$B$16,Paramètres!$A$1:$I$89,3,0)*VLOOKUP('Données projet'!$B$16,Paramètres!$A$1:$I$89,5,0)</f>
        <v>133.66080000000011</v>
      </c>
      <c r="FG97" s="13">
        <f t="shared" si="101"/>
        <v>34.840890682716783</v>
      </c>
      <c r="FH97" s="20">
        <f t="shared" si="76"/>
        <v>293.4737779390652</v>
      </c>
      <c r="FI97" s="59">
        <f t="shared" si="77"/>
        <v>578.8453430571559</v>
      </c>
      <c r="FJ97" s="59">
        <f ca="1">AVERAGE(OFFSET($FI$3,0,0,'Données projet'!$E$16+1,1))-AVERAGE(OFFSET($H$3,0,0,'Données projet'!$E$16+1,1))</f>
        <v>242.76791261317206</v>
      </c>
      <c r="FK97" s="59">
        <f t="shared" si="102"/>
        <v>244.28580264867682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36.411146625598597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36.411146625598597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7.2909999999999968</v>
      </c>
      <c r="FZ97" s="12">
        <f>IF('Données projet'!$A$244&gt;35,FZ96+FY97-GH96,IF(A97&lt;'Données projet'!$A$244,$FW$205^A97,IF(A97='Données projet'!$A$244,'Données projet'!$B$244,FZ96+FY97-GH96)))</f>
        <v>272.09100000000007</v>
      </c>
      <c r="GA97" s="17">
        <f>FZ97*VLOOKUP('Données projet'!$B$17,Paramètres!$A$1:$I$89,3,0)*VLOOKUP('Données projet'!$B$17,Paramètres!$A$1:$I$89,5,0)</f>
        <v>258.92179560000005</v>
      </c>
      <c r="GB97" s="13">
        <f t="shared" si="103"/>
        <v>62.492492793704926</v>
      </c>
      <c r="GC97" s="20">
        <f t="shared" si="79"/>
        <v>559.79655228570277</v>
      </c>
      <c r="GD97" s="59">
        <f t="shared" si="80"/>
        <v>845.16811740379353</v>
      </c>
      <c r="GE97" s="59">
        <f ca="1">AVERAGE(OFFSET($GD$3,0,0,'Données projet'!$E$17+1,1))-AVERAGE(OFFSET($H$3,0,0,'Données projet'!$E$17+1,1))</f>
        <v>512.71941256120977</v>
      </c>
      <c r="GF97" s="59">
        <f t="shared" si="104"/>
        <v>230.65031527019354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89.221409297081209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89.221409297081209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67.828608668570183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-5.6843418860808015E-14</v>
      </c>
      <c r="GV97" s="17">
        <f>GU97*VLOOKUP('Données projet'!$B$18,Paramètres!$A$1:$I$89,3,0)*VLOOKUP('Données projet'!$B$18,Paramètres!$A$1:$I$89,5,0)</f>
        <v>-2.5006556825246661E-14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180.68917161146683</v>
      </c>
      <c r="HA97" s="59">
        <f t="shared" si="106"/>
        <v>344.42126252322419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18.003137865163687</v>
      </c>
      <c r="HH97" s="21">
        <f>EXP(-LN(2)/25)*HH96+(1-EXP(-LN(2)/25))/(LN(2)/25)*Calculateur!HC97*Calculateur!HE97*VLOOKUP('Données projet'!$B$18,Paramètres!$A$1:$I$89,3,0)*0.475*44/12</f>
        <v>2.8089203348655851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20.812058200029274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2.25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8.25</v>
      </c>
      <c r="H98" s="66">
        <f t="shared" si="56"/>
        <v>223.66666666666666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7.2909999999999968</v>
      </c>
      <c r="N98" s="13">
        <f>IF('Données projet'!$A$36&gt;35,N97+M98-V97,IF(A98&lt;'Données projet'!$A$36,$K$205^A98,IF(A98='Données projet'!$A$36,'Données projet'!$B$36,N97+M98-V97)))</f>
        <v>279.38200000000006</v>
      </c>
      <c r="O98" s="13">
        <f>N98*VLOOKUP('Données projet'!$B$9,Paramètres!$A$1:$I$89,3,0)*VLOOKUP('Données projet'!$B$9,Paramètres!$A$1:$I$89,5,0)</f>
        <v>252.78483360000007</v>
      </c>
      <c r="P98" s="13">
        <f t="shared" si="87"/>
        <v>61.181886041057645</v>
      </c>
      <c r="Q98" s="20">
        <f t="shared" si="54"/>
        <v>546.82537004150879</v>
      </c>
      <c r="R98" s="59">
        <f t="shared" si="55"/>
        <v>832.33505403828678</v>
      </c>
      <c r="S98" s="59">
        <f ca="1">AVERAGE(OFFSET($R$3,0,0,'Données projet'!$E$9+1,1))-AVERAGE(OFFSET($H$3,0,0,'Données projet'!$E$9+1,1))</f>
        <v>490.57849401500789</v>
      </c>
      <c r="T98" s="59">
        <f t="shared" si="88"/>
        <v>221.7570623669753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83.169938509281835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83.169938509281835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252.57</v>
      </c>
      <c r="AG98" s="12">
        <f>VLOOKUP(A98,'Données projet'!$A$61:$I$81,9,0)</f>
        <v>6.4177777777777765</v>
      </c>
      <c r="AH98" s="12">
        <f t="array" ref="AH98">INDEX(AG:AG,MIN(IF(ISNUMBER(AG98:AG294),ROW(AG98:AG294),"")))</f>
        <v>6.4177777777777765</v>
      </c>
      <c r="AI98" s="13">
        <f>IF('Données projet'!$A$62&gt;35,AI97+AH98-AQ97,IF(A98&lt;'Données projet'!$A$62,$AF$205^A98,IF(A98='Données projet'!$A$62,'Données projet'!$B$62,AI97+AH98-AQ97)))</f>
        <v>252.57000000000008</v>
      </c>
      <c r="AJ98" s="13">
        <f>AI98*VLOOKUP('Données projet'!$B$10,Paramètres!$A$1:$I$89,3,0)*VLOOKUP('Données projet'!$B$10,Paramètres!$A$1:$I$89,5,0)</f>
        <v>169.42395600000006</v>
      </c>
      <c r="AK98" s="13">
        <f t="shared" si="89"/>
        <v>42.96098341661417</v>
      </c>
      <c r="AL98" s="20">
        <f t="shared" si="58"/>
        <v>369.90376948393646</v>
      </c>
      <c r="AM98" s="59">
        <f t="shared" si="59"/>
        <v>655.41345348071445</v>
      </c>
      <c r="AN98" s="59">
        <f ca="1">AVERAGE(OFFSET($AM$3,0,0,'Données projet'!$E$10+1,1))-AVERAGE(OFFSET($H$3,0,0,'Données projet'!$E$10+1,1))</f>
        <v>377.00534440335832</v>
      </c>
      <c r="AO98" s="59">
        <f t="shared" si="90"/>
        <v>131.56029120000656</v>
      </c>
      <c r="AP98" s="15">
        <f>IF(ISNA(VLOOKUP(A98,'Données projet'!$A$61:$I$81,3,0)),0,VLOOKUP(A98,'Données projet'!$A$61:$I$81,3,0))</f>
        <v>5</v>
      </c>
      <c r="AQ98" s="15">
        <f>IF(ISNA(VLOOKUP(A98,'Données projet'!$A$61:$I$81,4,0)),0,VLOOKUP(A98,'Données projet'!$A$61:$I$81,4,0))</f>
        <v>38.770000000000003</v>
      </c>
      <c r="AR98" s="16">
        <f>IF(ISNA(VLOOKUP(A98,'Données projet'!$A$61:$I$81,5,0)),0%,VLOOKUP(A98,'Données projet'!$A$61:$I$81,5,0)*VLOOKUP('Données projet'!$B$10,Paramètres!$A$1:$I$89,7,0))</f>
        <v>0.53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58.219951312067863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58.219951312067863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219</v>
      </c>
      <c r="BB98" s="12">
        <f>VLOOKUP(A98,'Données projet'!$A$87:$I$107,9,0)</f>
        <v>2.8</v>
      </c>
      <c r="BC98" s="12">
        <f t="array" ref="BC98">INDEX(BB:BB,MIN(IF(ISNUMBER(BB98:BB294),ROW(BB98:BB294),"")))</f>
        <v>2.8</v>
      </c>
      <c r="BD98" s="12">
        <f>IF('Données projet'!$A$88&gt;35,BD97+BC98-BL97,IF(A98&lt;'Données projet'!$A$88,$BA$205^A98,IF(A98='Données projet'!$A$88,'Données projet'!$B$88,BD97+BC98-BL97)))</f>
        <v>219.00000000000009</v>
      </c>
      <c r="BE98" s="13">
        <f>BD98*VLOOKUP('Données projet'!$B$11,Paramètres!$A$1:$I$89,3,0)*VLOOKUP('Données projet'!$B$11,Paramètres!$A$1:$I$89,5,0)</f>
        <v>191.31840000000008</v>
      </c>
      <c r="BF98" s="13">
        <f t="shared" si="91"/>
        <v>47.831314962098396</v>
      </c>
      <c r="BG98" s="20">
        <f t="shared" si="61"/>
        <v>416.51908689232147</v>
      </c>
      <c r="BH98" s="59">
        <f t="shared" si="62"/>
        <v>702.02877088909941</v>
      </c>
      <c r="BI98" s="59">
        <f ca="1">AVERAGE(OFFSET($BH$3,0,0,'Données projet'!$E$11+1,1))-AVERAGE(OFFSET($H$3,0,0,'Données projet'!$E$11+1,1))</f>
        <v>314.1123649635374</v>
      </c>
      <c r="BJ98" s="59">
        <f t="shared" si="92"/>
        <v>274.92342227914889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11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43.307208530055945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43.307208530055945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212.42519999999985</v>
      </c>
      <c r="CA98" s="13">
        <f t="shared" si="93"/>
        <v>52.465198231787184</v>
      </c>
      <c r="CB98" s="20">
        <f t="shared" si="64"/>
        <v>461.35077692036231</v>
      </c>
      <c r="CC98" s="59">
        <f t="shared" si="65"/>
        <v>746.86046091714024</v>
      </c>
      <c r="CD98" s="59">
        <f ca="1">AVERAGE(OFFSET($CC$3,0,0,'Données projet'!$E$12+1,1))-AVERAGE(OFFSET($H$3,0,0,'Données projet'!$E$12+1,1))</f>
        <v>309.86296291630748</v>
      </c>
      <c r="CE98" s="59">
        <f t="shared" si="94"/>
        <v>301.17633325088661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32.236251350132655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32.236251350132655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389</v>
      </c>
      <c r="CR98" s="12">
        <f>VLOOKUP(A98,'Données projet'!$A$139:$I$159,9,0)</f>
        <v>7.6</v>
      </c>
      <c r="CS98" s="12">
        <f t="array" ref="CS98">INDEX(CR:CR,MIN(IF(ISNUMBER(CR98:CR294),ROW(CR98:CR294),"")))</f>
        <v>7.6</v>
      </c>
      <c r="CT98" s="12">
        <f>IF('Données projet'!$A$140&gt;35,CT97+CS98-DB97,IF(A98&lt;'Données projet'!$A$140,$CQ$205^A98,IF(A98='Données projet'!$A$140,'Données projet'!$B$140,CT97+CS98-DB97)))</f>
        <v>388.99999999999994</v>
      </c>
      <c r="CU98" s="17">
        <f>CT98*VLOOKUP('Données projet'!$B$13,Paramètres!$A$1:$I$89,3,0)*VLOOKUP('Données projet'!$B$13,Paramètres!$A$1:$I$89,5,0)</f>
        <v>333.762</v>
      </c>
      <c r="CV98" s="13">
        <f t="shared" si="95"/>
        <v>78.209750448453065</v>
      </c>
      <c r="CW98" s="20">
        <f t="shared" si="67"/>
        <v>717.51746536438895</v>
      </c>
      <c r="CX98" s="59">
        <f t="shared" si="68"/>
        <v>1003.0271493611669</v>
      </c>
      <c r="CY98" s="59">
        <f ca="1">AVERAGE(OFFSET($CX$3,0,0,'Données projet'!$E$13+1,1))-AVERAGE(OFFSET($H$3,0,0,'Données projet'!$E$13+1,1))</f>
        <v>462.66388549889928</v>
      </c>
      <c r="CZ98" s="59">
        <f t="shared" si="96"/>
        <v>265.3725203415089</v>
      </c>
      <c r="DA98" s="15">
        <f>IF(ISNA(VLOOKUP(A98,'Données projet'!$A$139:$I$159,3,0)),0,VLOOKUP(A98,'Données projet'!$A$139:$I$159,3,0))</f>
        <v>15</v>
      </c>
      <c r="DB98" s="15">
        <f>IF(ISNA(VLOOKUP(A98,'Données projet'!$A$139:$I$159,4,0)),0,VLOOKUP(A98,'Données projet'!$A$139:$I$159,4,0))</f>
        <v>25</v>
      </c>
      <c r="DC98" s="16">
        <f>IF(ISNA(VLOOKUP(A98,'Données projet'!$A$139:$I$159,5,0)),0%,VLOOKUP(A98,'Données projet'!$A$139:$I$159,5,0)*VLOOKUP('Données projet'!$B$13,Paramètres!$A$1:$I$89,7,0))</f>
        <v>0.53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105.26019556529883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105.26019556529883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210.25641030000014</v>
      </c>
      <c r="DP98" s="17">
        <f>DO98*VLOOKUP('Données projet'!$B$14,Paramètres!$A$1:$I$89,3,0)*VLOOKUP('Données projet'!$B$14,Paramètres!$A$1:$I$89,5,0)</f>
        <v>164.00000003400012</v>
      </c>
      <c r="DQ98" s="13">
        <f t="shared" si="97"/>
        <v>41.743425916009095</v>
      </c>
      <c r="DR98" s="20">
        <f t="shared" si="70"/>
        <v>358.3364668629327</v>
      </c>
      <c r="DS98" s="59">
        <f t="shared" si="71"/>
        <v>643.84615085971063</v>
      </c>
      <c r="DT98" s="59">
        <f ca="1">AVERAGE(OFFSET($DS$3,0,0,'Données projet'!$E$14+1,1))-AVERAGE(OFFSET($H$3,0,0,'Données projet'!$E$14+1,1))</f>
        <v>206.5241977687125</v>
      </c>
      <c r="DU98" s="59">
        <f t="shared" si="98"/>
        <v>205.25001043771269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19.298030309023908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19.298030309023908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155.99999999999991</v>
      </c>
      <c r="EK98" s="17">
        <f>EJ98*VLOOKUP('Données projet'!$B$15,Paramètres!$A$1:$I$89,3,0)*VLOOKUP('Données projet'!$B$15,Paramètres!$A$1:$I$89,5,0)</f>
        <v>136.28159999999994</v>
      </c>
      <c r="EL98" s="13">
        <f t="shared" si="99"/>
        <v>35.443842312892279</v>
      </c>
      <c r="EM98" s="20">
        <f t="shared" si="73"/>
        <v>299.08847869495395</v>
      </c>
      <c r="EN98" s="59">
        <f t="shared" si="74"/>
        <v>584.59816269173189</v>
      </c>
      <c r="EO98" s="59">
        <f ca="1">AVERAGE(OFFSET($EN$3,0,0,'Données projet'!$E$15+1,1))-AVERAGE(OFFSET($H$3,0,0,'Données projet'!$E$15+1,1))</f>
        <v>205.83135724908942</v>
      </c>
      <c r="EP98" s="59">
        <f t="shared" si="100"/>
        <v>193.60053377311405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19.217797207837361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19.217797207837361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204.00000000000017</v>
      </c>
      <c r="FF98" s="17">
        <f>FE98*VLOOKUP('Données projet'!$B$16,Paramètres!$A$1:$I$89,3,0)*VLOOKUP('Données projet'!$B$16,Paramètres!$A$1:$I$89,5,0)</f>
        <v>133.66080000000011</v>
      </c>
      <c r="FG98" s="13">
        <f t="shared" si="101"/>
        <v>34.840890682716783</v>
      </c>
      <c r="FH98" s="20">
        <f t="shared" si="76"/>
        <v>293.4737779390652</v>
      </c>
      <c r="FI98" s="59">
        <f t="shared" si="77"/>
        <v>578.98346193584325</v>
      </c>
      <c r="FJ98" s="59">
        <f ca="1">AVERAGE(OFFSET($FI$3,0,0,'Données projet'!$E$16+1,1))-AVERAGE(OFFSET($H$3,0,0,'Données projet'!$E$16+1,1))</f>
        <v>242.76791261317206</v>
      </c>
      <c r="FK98" s="59">
        <f t="shared" si="102"/>
        <v>244.28580264867682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35.697146248877132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35.697146248877132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7.2909999999999968</v>
      </c>
      <c r="FZ98" s="12">
        <f>IF('Données projet'!$A$244&gt;35,FZ97+FY98-GH97,IF(A98&lt;'Données projet'!$A$244,$FW$205^A98,IF(A98='Données projet'!$A$244,'Données projet'!$B$244,FZ97+FY98-GH97)))</f>
        <v>279.38200000000006</v>
      </c>
      <c r="GA98" s="17">
        <f>FZ98*VLOOKUP('Données projet'!$B$17,Paramètres!$A$1:$I$89,3,0)*VLOOKUP('Données projet'!$B$17,Paramètres!$A$1:$I$89,5,0)</f>
        <v>265.85991120000006</v>
      </c>
      <c r="GB98" s="13">
        <f t="shared" si="103"/>
        <v>63.969849337331794</v>
      </c>
      <c r="GC98" s="20">
        <f t="shared" si="79"/>
        <v>574.45349960251963</v>
      </c>
      <c r="GD98" s="59">
        <f t="shared" si="80"/>
        <v>859.96318359929762</v>
      </c>
      <c r="GE98" s="59">
        <f ca="1">AVERAGE(OFFSET($GD$3,0,0,'Données projet'!$E$17+1,1))-AVERAGE(OFFSET($H$3,0,0,'Données projet'!$E$17+1,1))</f>
        <v>512.71941256120977</v>
      </c>
      <c r="GF98" s="59">
        <f t="shared" si="104"/>
        <v>230.65031527019354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87.471831880451617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87.471831880451617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67.866277453666726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-5.6843418860808015E-14</v>
      </c>
      <c r="GV98" s="17">
        <f>GU98*VLOOKUP('Données projet'!$B$18,Paramètres!$A$1:$I$89,3,0)*VLOOKUP('Données projet'!$B$18,Paramètres!$A$1:$I$89,5,0)</f>
        <v>-2.5006556825246661E-14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180.68917161146683</v>
      </c>
      <c r="HA98" s="59">
        <f t="shared" si="106"/>
        <v>344.42126252322419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17.650107312457656</v>
      </c>
      <c r="HH98" s="21">
        <f>EXP(-LN(2)/25)*HH97+(1-EXP(-LN(2)/25))/(LN(2)/25)*Calculateur!HC98*Calculateur!HE98*VLOOKUP('Données projet'!$B$18,Paramètres!$A$1:$I$89,3,0)*0.475*44/12</f>
        <v>2.7321102605939851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20.382217573051641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2.25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8.25</v>
      </c>
      <c r="H99" s="66">
        <f t="shared" si="56"/>
        <v>223.66666666666666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7.2909999999999968</v>
      </c>
      <c r="N99" s="13">
        <f>IF('Données projet'!$A$36&gt;35,N98+M99-V98,IF(A99&lt;'Données projet'!$A$36,$K$205^A99,IF(A99='Données projet'!$A$36,'Données projet'!$B$36,N98+M99-V98)))</f>
        <v>286.67300000000006</v>
      </c>
      <c r="O99" s="13">
        <f>N99*VLOOKUP('Données projet'!$B$9,Paramètres!$A$1:$I$89,3,0)*VLOOKUP('Données projet'!$B$9,Paramètres!$A$1:$I$89,5,0)</f>
        <v>259.38173040000004</v>
      </c>
      <c r="P99" s="13">
        <f t="shared" si="87"/>
        <v>62.590569606732842</v>
      </c>
      <c r="Q99" s="20">
        <f t="shared" ref="Q99:Q130" si="107">(O99+P99)*0.475*44/12</f>
        <v>560.76842251172638</v>
      </c>
      <c r="R99" s="59">
        <f t="shared" si="55"/>
        <v>846.41382933343402</v>
      </c>
      <c r="S99" s="59">
        <f ca="1">AVERAGE(OFFSET($R$3,0,0,'Données projet'!$E$9+1,1))-AVERAGE(OFFSET($H$3,0,0,'Données projet'!$E$9+1,1))</f>
        <v>490.57849401500789</v>
      </c>
      <c r="T99" s="59">
        <f t="shared" si="88"/>
        <v>221.7570623669753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81.539026743768275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81.539026743768275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6.3966666666666692</v>
      </c>
      <c r="AI99" s="13">
        <f>IF('Données projet'!$A$62&gt;35,AI98+AH99-AQ98,IF(A99&lt;'Données projet'!$A$62,$AF$205^A99,IF(A99='Données projet'!$A$62,'Données projet'!$B$62,AI98+AH99-AQ98)))</f>
        <v>220.19666666666674</v>
      </c>
      <c r="AJ99" s="13">
        <f>AI99*VLOOKUP('Données projet'!$B$10,Paramètres!$A$1:$I$89,3,0)*VLOOKUP('Données projet'!$B$10,Paramètres!$A$1:$I$89,5,0)</f>
        <v>147.70792400000005</v>
      </c>
      <c r="AK99" s="13">
        <f t="shared" si="89"/>
        <v>38.057237235341717</v>
      </c>
      <c r="AL99" s="20">
        <f t="shared" si="58"/>
        <v>323.54098915155356</v>
      </c>
      <c r="AM99" s="59">
        <f t="shared" si="59"/>
        <v>609.18639597326126</v>
      </c>
      <c r="AN99" s="59">
        <f ca="1">AVERAGE(OFFSET($AM$3,0,0,'Données projet'!$E$10+1,1))-AVERAGE(OFFSET($H$3,0,0,'Données projet'!$E$10+1,1))</f>
        <v>377.00534440335832</v>
      </c>
      <c r="AO99" s="59">
        <f t="shared" si="90"/>
        <v>131.56029120000656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57.078293577502123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57.078293577502123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211.00000000000009</v>
      </c>
      <c r="BE99" s="13">
        <f>BD99*VLOOKUP('Données projet'!$B$11,Paramètres!$A$1:$I$89,3,0)*VLOOKUP('Données projet'!$B$11,Paramètres!$A$1:$I$89,5,0)</f>
        <v>184.32960000000008</v>
      </c>
      <c r="BF99" s="13">
        <f t="shared" si="91"/>
        <v>46.284105851003098</v>
      </c>
      <c r="BG99" s="20">
        <f t="shared" si="61"/>
        <v>401.65220435716384</v>
      </c>
      <c r="BH99" s="59">
        <f t="shared" si="62"/>
        <v>687.29761117887153</v>
      </c>
      <c r="BI99" s="59">
        <f ca="1">AVERAGE(OFFSET($BH$3,0,0,'Données projet'!$E$11+1,1))-AVERAGE(OFFSET($H$3,0,0,'Données projet'!$E$11+1,1))</f>
        <v>314.1123649635374</v>
      </c>
      <c r="BJ99" s="59">
        <f t="shared" si="92"/>
        <v>274.92342227914889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42.45798058557051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42.45798058557051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212.42519999999985</v>
      </c>
      <c r="CA99" s="13">
        <f t="shared" si="93"/>
        <v>52.465198231787184</v>
      </c>
      <c r="CB99" s="20">
        <f t="shared" si="64"/>
        <v>461.35077692036231</v>
      </c>
      <c r="CC99" s="59">
        <f t="shared" si="65"/>
        <v>746.99618374207</v>
      </c>
      <c r="CD99" s="59">
        <f ca="1">AVERAGE(OFFSET($CC$3,0,0,'Données projet'!$E$12+1,1))-AVERAGE(OFFSET($H$3,0,0,'Données projet'!$E$12+1,1))</f>
        <v>309.86296291630748</v>
      </c>
      <c r="CE99" s="59">
        <f t="shared" si="94"/>
        <v>301.17633325088661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31.604118123328398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31.604118123328398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7.2</v>
      </c>
      <c r="CT99" s="12">
        <f>IF('Données projet'!$A$140&gt;35,CT98+CS99-DB98,IF(A99&lt;'Données projet'!$A$140,$CQ$205^A99,IF(A99='Données projet'!$A$140,'Données projet'!$B$140,CT98+CS99-DB98)))</f>
        <v>371.19999999999993</v>
      </c>
      <c r="CU99" s="17">
        <f>CT99*VLOOKUP('Données projet'!$B$13,Paramètres!$A$1:$I$89,3,0)*VLOOKUP('Données projet'!$B$13,Paramètres!$A$1:$I$89,5,0)</f>
        <v>318.48959999999994</v>
      </c>
      <c r="CV99" s="13">
        <f t="shared" si="95"/>
        <v>75.038999086150227</v>
      </c>
      <c r="CW99" s="20">
        <f t="shared" si="67"/>
        <v>685.39564340837808</v>
      </c>
      <c r="CX99" s="59">
        <f t="shared" si="68"/>
        <v>971.04105023008583</v>
      </c>
      <c r="CY99" s="59">
        <f ca="1">AVERAGE(OFFSET($CX$3,0,0,'Données projet'!$E$13+1,1))-AVERAGE(OFFSET($H$3,0,0,'Données projet'!$E$13+1,1))</f>
        <v>462.66388549889928</v>
      </c>
      <c r="CZ99" s="59">
        <f t="shared" si="96"/>
        <v>265.3725203415089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103.19610733264315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103.19610733264315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210.25641030000014</v>
      </c>
      <c r="DP99" s="17">
        <f>DO99*VLOOKUP('Données projet'!$B$14,Paramètres!$A$1:$I$89,3,0)*VLOOKUP('Données projet'!$B$14,Paramètres!$A$1:$I$89,5,0)</f>
        <v>164.00000003400012</v>
      </c>
      <c r="DQ99" s="13">
        <f t="shared" si="97"/>
        <v>41.743425916009095</v>
      </c>
      <c r="DR99" s="20">
        <f t="shared" si="70"/>
        <v>358.3364668629327</v>
      </c>
      <c r="DS99" s="59">
        <f t="shared" si="71"/>
        <v>643.98187368464039</v>
      </c>
      <c r="DT99" s="59">
        <f ca="1">AVERAGE(OFFSET($DS$3,0,0,'Données projet'!$E$14+1,1))-AVERAGE(OFFSET($H$3,0,0,'Données projet'!$E$14+1,1))</f>
        <v>206.5241977687125</v>
      </c>
      <c r="DU99" s="59">
        <f t="shared" si="98"/>
        <v>205.25001043771269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18.919607705300184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18.919607705300184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155.99999999999991</v>
      </c>
      <c r="EK99" s="17">
        <f>EJ99*VLOOKUP('Données projet'!$B$15,Paramètres!$A$1:$I$89,3,0)*VLOOKUP('Données projet'!$B$15,Paramètres!$A$1:$I$89,5,0)</f>
        <v>136.28159999999994</v>
      </c>
      <c r="EL99" s="13">
        <f t="shared" si="99"/>
        <v>35.443842312892279</v>
      </c>
      <c r="EM99" s="20">
        <f t="shared" si="73"/>
        <v>299.08847869495395</v>
      </c>
      <c r="EN99" s="59">
        <f t="shared" si="74"/>
        <v>584.73388551666164</v>
      </c>
      <c r="EO99" s="59">
        <f ca="1">AVERAGE(OFFSET($EN$3,0,0,'Données projet'!$E$15+1,1))-AVERAGE(OFFSET($H$3,0,0,'Données projet'!$E$15+1,1))</f>
        <v>205.83135724908942</v>
      </c>
      <c r="EP99" s="59">
        <f t="shared" si="100"/>
        <v>193.60053377311405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18.840947926290546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18.840947926290546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204.00000000000017</v>
      </c>
      <c r="FF99" s="17">
        <f>FE99*VLOOKUP('Données projet'!$B$16,Paramètres!$A$1:$I$89,3,0)*VLOOKUP('Données projet'!$B$16,Paramètres!$A$1:$I$89,5,0)</f>
        <v>133.66080000000011</v>
      </c>
      <c r="FG99" s="13">
        <f t="shared" si="101"/>
        <v>34.840890682716783</v>
      </c>
      <c r="FH99" s="20">
        <f t="shared" si="76"/>
        <v>293.4737779390652</v>
      </c>
      <c r="FI99" s="59">
        <f t="shared" si="77"/>
        <v>579.1191847607729</v>
      </c>
      <c r="FJ99" s="59">
        <f ca="1">AVERAGE(OFFSET($FI$3,0,0,'Données projet'!$E$16+1,1))-AVERAGE(OFFSET($H$3,0,0,'Données projet'!$E$16+1,1))</f>
        <v>242.76791261317206</v>
      </c>
      <c r="FK99" s="59">
        <f t="shared" si="102"/>
        <v>244.28580264867682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34.997146984045948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34.997146984045948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7.2909999999999968</v>
      </c>
      <c r="FZ99" s="12">
        <f>IF('Données projet'!$A$244&gt;35,FZ98+FY99-GH98,IF(A99&lt;'Données projet'!$A$244,$FW$205^A99,IF(A99='Données projet'!$A$244,'Données projet'!$B$244,FZ98+FY99-GH98)))</f>
        <v>286.67300000000006</v>
      </c>
      <c r="GA99" s="17">
        <f>FZ99*VLOOKUP('Données projet'!$B$17,Paramètres!$A$1:$I$89,3,0)*VLOOKUP('Données projet'!$B$17,Paramètres!$A$1:$I$89,5,0)</f>
        <v>272.79802680000006</v>
      </c>
      <c r="GB99" s="13">
        <f t="shared" si="103"/>
        <v>65.44272441999513</v>
      </c>
      <c r="GC99" s="20">
        <f t="shared" si="79"/>
        <v>589.10264170815833</v>
      </c>
      <c r="GD99" s="59">
        <f t="shared" si="80"/>
        <v>874.74804852986608</v>
      </c>
      <c r="GE99" s="59">
        <f ca="1">AVERAGE(OFFSET($GD$3,0,0,'Données projet'!$E$17+1,1))-AVERAGE(OFFSET($H$3,0,0,'Données projet'!$E$17+1,1))</f>
        <v>512.71941256120977</v>
      </c>
      <c r="GF99" s="59">
        <f t="shared" si="104"/>
        <v>230.65031527019354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85.756562609825281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85.756562609825281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67.903292769556643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-5.6843418860808015E-14</v>
      </c>
      <c r="GV99" s="17">
        <f>GU99*VLOOKUP('Données projet'!$B$18,Paramètres!$A$1:$I$89,3,0)*VLOOKUP('Données projet'!$B$18,Paramètres!$A$1:$I$89,5,0)</f>
        <v>-2.5006556825246661E-14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180.68917161146683</v>
      </c>
      <c r="HA99" s="59">
        <f t="shared" si="106"/>
        <v>344.42126252322419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17.303999473562818</v>
      </c>
      <c r="HH99" s="21">
        <f>EXP(-LN(2)/25)*HH98+(1-EXP(-LN(2)/25))/(LN(2)/25)*Calculateur!HC99*Calculateur!HE99*VLOOKUP('Données projet'!$B$18,Paramètres!$A$1:$I$89,3,0)*0.475*44/12</f>
        <v>2.6574005618426084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19.961400035405426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2.25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8.25</v>
      </c>
      <c r="H100" s="66">
        <f t="shared" si="56"/>
        <v>223.66666666666666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7.2909999999999968</v>
      </c>
      <c r="N100" s="13">
        <f>IF('Données projet'!$A$36&gt;35,N99+M100-V99,IF(A100&lt;'Données projet'!$A$36,$K$205^A100,IF(A100='Données projet'!$A$36,'Données projet'!$B$36,N99+M100-V99)))</f>
        <v>293.96400000000006</v>
      </c>
      <c r="O100" s="13">
        <f>N100*VLOOKUP('Données projet'!$B$9,Paramètres!$A$1:$I$89,3,0)*VLOOKUP('Données projet'!$B$9,Paramètres!$A$1:$I$89,5,0)</f>
        <v>265.97862720000006</v>
      </c>
      <c r="P100" s="13">
        <f t="shared" si="87"/>
        <v>63.995088570159361</v>
      </c>
      <c r="Q100" s="20">
        <f t="shared" si="107"/>
        <v>574.7042216330276</v>
      </c>
      <c r="R100" s="59">
        <f t="shared" si="55"/>
        <v>860.48299679208321</v>
      </c>
      <c r="S100" s="59">
        <f ca="1">AVERAGE(OFFSET($R$3,0,0,'Données projet'!$E$9+1,1))-AVERAGE(OFFSET($H$3,0,0,'Données projet'!$E$9+1,1))</f>
        <v>490.57849401500789</v>
      </c>
      <c r="T100" s="59">
        <f t="shared" si="88"/>
        <v>221.7570623669753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79.940096163218485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79.940096163218485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6.3966666666666692</v>
      </c>
      <c r="AI100" s="13">
        <f>IF('Données projet'!$A$62&gt;35,AI99+AH100-AQ99,IF(A100&lt;'Données projet'!$A$62,$AF$205^A100,IF(A100='Données projet'!$A$62,'Données projet'!$B$62,AI99+AH100-AQ99)))</f>
        <v>226.59333333333342</v>
      </c>
      <c r="AJ100" s="13">
        <f>AI100*VLOOKUP('Données projet'!$B$10,Paramètres!$A$1:$I$89,3,0)*VLOOKUP('Données projet'!$B$10,Paramètres!$A$1:$I$89,5,0)</f>
        <v>151.99880800000005</v>
      </c>
      <c r="AK100" s="13">
        <f t="shared" si="89"/>
        <v>39.032471368690111</v>
      </c>
      <c r="AL100" s="20">
        <f t="shared" si="58"/>
        <v>332.7128115671353</v>
      </c>
      <c r="AM100" s="59">
        <f t="shared" si="59"/>
        <v>618.49158672619092</v>
      </c>
      <c r="AN100" s="59">
        <f ca="1">AVERAGE(OFFSET($AM$3,0,0,'Données projet'!$E$10+1,1))-AVERAGE(OFFSET($H$3,0,0,'Données projet'!$E$10+1,1))</f>
        <v>377.00534440335832</v>
      </c>
      <c r="AO100" s="59">
        <f t="shared" si="90"/>
        <v>131.56029120000656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55.959023054768757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55.959023054768757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214.00000000000009</v>
      </c>
      <c r="BE100" s="13">
        <f>BD100*VLOOKUP('Données projet'!$B$11,Paramètres!$A$1:$I$89,3,0)*VLOOKUP('Données projet'!$B$11,Paramètres!$A$1:$I$89,5,0)</f>
        <v>186.95040000000009</v>
      </c>
      <c r="BF100" s="13">
        <f t="shared" si="91"/>
        <v>46.865095976617653</v>
      </c>
      <c r="BG100" s="20">
        <f t="shared" si="61"/>
        <v>407.22865549260922</v>
      </c>
      <c r="BH100" s="59">
        <f t="shared" si="62"/>
        <v>693.00743065166489</v>
      </c>
      <c r="BI100" s="59">
        <f ca="1">AVERAGE(OFFSET($BH$3,0,0,'Données projet'!$E$11+1,1))-AVERAGE(OFFSET($H$3,0,0,'Données projet'!$E$11+1,1))</f>
        <v>314.1123649635374</v>
      </c>
      <c r="BJ100" s="59">
        <f t="shared" si="92"/>
        <v>274.92342227914889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41.625405483098532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41.625405483098532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212.42519999999985</v>
      </c>
      <c r="CA100" s="13">
        <f t="shared" si="93"/>
        <v>52.465198231787184</v>
      </c>
      <c r="CB100" s="20">
        <f t="shared" si="64"/>
        <v>461.35077692036231</v>
      </c>
      <c r="CC100" s="59">
        <f t="shared" si="65"/>
        <v>747.12955207941786</v>
      </c>
      <c r="CD100" s="59">
        <f ca="1">AVERAGE(OFFSET($CC$3,0,0,'Données projet'!$E$12+1,1))-AVERAGE(OFFSET($H$3,0,0,'Données projet'!$E$12+1,1))</f>
        <v>309.86296291630748</v>
      </c>
      <c r="CE100" s="59">
        <f t="shared" si="94"/>
        <v>301.17633325088661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30.984380643538575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30.984380643538575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7.2</v>
      </c>
      <c r="CT100" s="12">
        <f>IF('Données projet'!$A$140&gt;35,CT99+CS100-DB99,IF(A100&lt;'Données projet'!$A$140,$CQ$205^A100,IF(A100='Données projet'!$A$140,'Données projet'!$B$140,CT99+CS100-DB99)))</f>
        <v>378.39999999999992</v>
      </c>
      <c r="CU100" s="17">
        <f>CT100*VLOOKUP('Données projet'!$B$13,Paramètres!$A$1:$I$89,3,0)*VLOOKUP('Données projet'!$B$13,Paramètres!$A$1:$I$89,5,0)</f>
        <v>324.66719999999998</v>
      </c>
      <c r="CV100" s="13">
        <f t="shared" si="95"/>
        <v>76.323635512638404</v>
      </c>
      <c r="CW100" s="20">
        <f t="shared" si="67"/>
        <v>698.39237185117838</v>
      </c>
      <c r="CX100" s="59">
        <f t="shared" si="68"/>
        <v>984.17114701023399</v>
      </c>
      <c r="CY100" s="59">
        <f ca="1">AVERAGE(OFFSET($CX$3,0,0,'Données projet'!$E$13+1,1))-AVERAGE(OFFSET($H$3,0,0,'Données projet'!$E$13+1,1))</f>
        <v>462.66388549889928</v>
      </c>
      <c r="CZ100" s="59">
        <f t="shared" si="96"/>
        <v>265.3725203415089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101.17249461126035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101.17249461126035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210.25641030000014</v>
      </c>
      <c r="DP100" s="17">
        <f>DO100*VLOOKUP('Données projet'!$B$14,Paramètres!$A$1:$I$89,3,0)*VLOOKUP('Données projet'!$B$14,Paramètres!$A$1:$I$89,5,0)</f>
        <v>164.00000003400012</v>
      </c>
      <c r="DQ100" s="13">
        <f t="shared" si="97"/>
        <v>41.743425916009095</v>
      </c>
      <c r="DR100" s="20">
        <f t="shared" si="70"/>
        <v>358.3364668629327</v>
      </c>
      <c r="DS100" s="59">
        <f t="shared" si="71"/>
        <v>644.11524202198825</v>
      </c>
      <c r="DT100" s="59">
        <f ca="1">AVERAGE(OFFSET($DS$3,0,0,'Données projet'!$E$14+1,1))-AVERAGE(OFFSET($H$3,0,0,'Données projet'!$E$14+1,1))</f>
        <v>206.5241977687125</v>
      </c>
      <c r="DU100" s="59">
        <f t="shared" si="98"/>
        <v>205.25001043771269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18.548605738020484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18.548605738020484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155.99999999999991</v>
      </c>
      <c r="EK100" s="17">
        <f>EJ100*VLOOKUP('Données projet'!$B$15,Paramètres!$A$1:$I$89,3,0)*VLOOKUP('Données projet'!$B$15,Paramètres!$A$1:$I$89,5,0)</f>
        <v>136.28159999999994</v>
      </c>
      <c r="EL100" s="13">
        <f t="shared" si="99"/>
        <v>35.443842312892279</v>
      </c>
      <c r="EM100" s="20">
        <f t="shared" si="73"/>
        <v>299.08847869495395</v>
      </c>
      <c r="EN100" s="59">
        <f t="shared" si="74"/>
        <v>584.8672538540095</v>
      </c>
      <c r="EO100" s="59">
        <f ca="1">AVERAGE(OFFSET($EN$3,0,0,'Données projet'!$E$15+1,1))-AVERAGE(OFFSET($H$3,0,0,'Données projet'!$E$15+1,1))</f>
        <v>205.83135724908942</v>
      </c>
      <c r="EP100" s="59">
        <f t="shared" si="100"/>
        <v>193.60053377311405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18.471488429299498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18.471488429299498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204.00000000000017</v>
      </c>
      <c r="FF100" s="17">
        <f>FE100*VLOOKUP('Données projet'!$B$16,Paramètres!$A$1:$I$89,3,0)*VLOOKUP('Données projet'!$B$16,Paramètres!$A$1:$I$89,5,0)</f>
        <v>133.66080000000011</v>
      </c>
      <c r="FG100" s="13">
        <f t="shared" si="101"/>
        <v>34.840890682716783</v>
      </c>
      <c r="FH100" s="20">
        <f t="shared" si="76"/>
        <v>293.4737779390652</v>
      </c>
      <c r="FI100" s="59">
        <f t="shared" si="77"/>
        <v>579.25255309812087</v>
      </c>
      <c r="FJ100" s="59">
        <f ca="1">AVERAGE(OFFSET($FI$3,0,0,'Données projet'!$E$16+1,1))-AVERAGE(OFFSET($H$3,0,0,'Données projet'!$E$16+1,1))</f>
        <v>242.76791261317206</v>
      </c>
      <c r="FK100" s="59">
        <f t="shared" si="102"/>
        <v>244.28580264867682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34.310874277840711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34.310874277840711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7.2909999999999968</v>
      </c>
      <c r="FZ100" s="12">
        <f>IF('Données projet'!$A$244&gt;35,FZ99+FY100-GH99,IF(A100&lt;'Données projet'!$A$244,$FW$205^A100,IF(A100='Données projet'!$A$244,'Données projet'!$B$244,FZ99+FY100-GH99)))</f>
        <v>293.96400000000006</v>
      </c>
      <c r="GA100" s="17">
        <f>FZ100*VLOOKUP('Données projet'!$B$17,Paramètres!$A$1:$I$89,3,0)*VLOOKUP('Données projet'!$B$17,Paramètres!$A$1:$I$89,5,0)</f>
        <v>279.73614240000006</v>
      </c>
      <c r="GB100" s="13">
        <f t="shared" si="103"/>
        <v>66.911245125968819</v>
      </c>
      <c r="GC100" s="20">
        <f t="shared" si="79"/>
        <v>603.74419994106245</v>
      </c>
      <c r="GD100" s="59">
        <f t="shared" si="80"/>
        <v>889.52297510011806</v>
      </c>
      <c r="GE100" s="59">
        <f ca="1">AVERAGE(OFFSET($GD$3,0,0,'Données projet'!$E$17+1,1))-AVERAGE(OFFSET($H$3,0,0,'Données projet'!$E$17+1,1))</f>
        <v>512.71941256120977</v>
      </c>
      <c r="GF100" s="59">
        <f t="shared" si="104"/>
        <v>230.65031527019354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84.074928723384971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84.074928723384971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67.93966595246971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-5.6843418860808015E-14</v>
      </c>
      <c r="GV100" s="17">
        <f>GU100*VLOOKUP('Données projet'!$B$18,Paramètres!$A$1:$I$89,3,0)*VLOOKUP('Données projet'!$B$18,Paramètres!$A$1:$I$89,5,0)</f>
        <v>-2.5006556825246661E-14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180.68917161146683</v>
      </c>
      <c r="HA100" s="59">
        <f t="shared" si="106"/>
        <v>344.42126252322419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16.964678598283772</v>
      </c>
      <c r="HH100" s="21">
        <f>EXP(-LN(2)/25)*HH99+(1-EXP(-LN(2)/25))/(LN(2)/25)*Calculateur!HC100*Calculateur!HE100*VLOOKUP('Données projet'!$B$18,Paramètres!$A$1:$I$89,3,0)*0.475*44/12</f>
        <v>2.5847338037324001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19.549412402016173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2.25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8.25</v>
      </c>
      <c r="H101" s="66">
        <f t="shared" si="56"/>
        <v>223.66666666666666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7.2909999999999968</v>
      </c>
      <c r="N101" s="13">
        <f>IF('Données projet'!$A$36&gt;35,N100+M101-V100,IF(A101&lt;'Données projet'!$A$36,$K$205^A101,IF(A101='Données projet'!$A$36,'Données projet'!$B$36,N100+M101-V100)))</f>
        <v>301.25500000000005</v>
      </c>
      <c r="O101" s="13">
        <f>N101*VLOOKUP('Données projet'!$B$9,Paramètres!$A$1:$I$89,3,0)*VLOOKUP('Données projet'!$B$9,Paramètres!$A$1:$I$89,5,0)</f>
        <v>272.57552400000003</v>
      </c>
      <c r="P101" s="13">
        <f t="shared" si="87"/>
        <v>65.395558104059802</v>
      </c>
      <c r="Q101" s="20">
        <f t="shared" si="107"/>
        <v>588.6329679979043</v>
      </c>
      <c r="R101" s="59">
        <f t="shared" si="55"/>
        <v>874.54279785182166</v>
      </c>
      <c r="S101" s="59">
        <f ca="1">AVERAGE(OFFSET($R$3,0,0,'Données projet'!$E$9+1,1))-AVERAGE(OFFSET($H$3,0,0,'Données projet'!$E$9+1,1))</f>
        <v>490.57849401500789</v>
      </c>
      <c r="T101" s="59">
        <f t="shared" si="88"/>
        <v>221.7570623669753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78.372519636101913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78.372519636101913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6.3966666666666692</v>
      </c>
      <c r="AI101" s="13">
        <f>IF('Données projet'!$A$62&gt;35,AI100+AH101-AQ100,IF(A101&lt;'Données projet'!$A$62,$AF$205^A101,IF(A101='Données projet'!$A$62,'Données projet'!$B$62,AI100+AH101-AQ100)))</f>
        <v>232.99000000000009</v>
      </c>
      <c r="AJ101" s="13">
        <f>AI101*VLOOKUP('Données projet'!$B$10,Paramètres!$A$1:$I$89,3,0)*VLOOKUP('Données projet'!$B$10,Paramètres!$A$1:$I$89,5,0)</f>
        <v>156.28969200000006</v>
      </c>
      <c r="AK101" s="13">
        <f t="shared" si="89"/>
        <v>40.004505751772953</v>
      </c>
      <c r="AL101" s="20">
        <f t="shared" si="58"/>
        <v>341.87906108433799</v>
      </c>
      <c r="AM101" s="59">
        <f t="shared" si="59"/>
        <v>627.78889093825546</v>
      </c>
      <c r="AN101" s="59">
        <f ca="1">AVERAGE(OFFSET($AM$3,0,0,'Données projet'!$E$10+1,1))-AVERAGE(OFFSET($H$3,0,0,'Données projet'!$E$10+1,1))</f>
        <v>377.00534440335832</v>
      </c>
      <c r="AO101" s="59">
        <f t="shared" si="90"/>
        <v>131.56029120000656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54.861700744298588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54.861700744298588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217.00000000000009</v>
      </c>
      <c r="BE101" s="13">
        <f>BD101*VLOOKUP('Données projet'!$B$11,Paramètres!$A$1:$I$89,3,0)*VLOOKUP('Données projet'!$B$11,Paramètres!$A$1:$I$89,5,0)</f>
        <v>189.57120000000009</v>
      </c>
      <c r="BF101" s="13">
        <f t="shared" si="91"/>
        <v>47.445138796932483</v>
      </c>
      <c r="BG101" s="20">
        <f t="shared" si="61"/>
        <v>412.80345673799087</v>
      </c>
      <c r="BH101" s="59">
        <f t="shared" si="62"/>
        <v>698.71328659190829</v>
      </c>
      <c r="BI101" s="59">
        <f ca="1">AVERAGE(OFFSET($BH$3,0,0,'Données projet'!$E$11+1,1))-AVERAGE(OFFSET($H$3,0,0,'Données projet'!$E$11+1,1))</f>
        <v>314.1123649635374</v>
      </c>
      <c r="BJ101" s="59">
        <f t="shared" si="92"/>
        <v>274.92342227914889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40.809156670565358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40.809156670565358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212.42519999999985</v>
      </c>
      <c r="CA101" s="13">
        <f t="shared" si="93"/>
        <v>52.465198231787184</v>
      </c>
      <c r="CB101" s="20">
        <f t="shared" si="64"/>
        <v>461.35077692036231</v>
      </c>
      <c r="CC101" s="59">
        <f t="shared" si="65"/>
        <v>747.26060677427972</v>
      </c>
      <c r="CD101" s="59">
        <f ca="1">AVERAGE(OFFSET($CC$3,0,0,'Données projet'!$E$12+1,1))-AVERAGE(OFFSET($H$3,0,0,'Données projet'!$E$12+1,1))</f>
        <v>309.86296291630748</v>
      </c>
      <c r="CE101" s="59">
        <f t="shared" si="94"/>
        <v>301.17633325088661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30.376795837724895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30.376795837724895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7.2</v>
      </c>
      <c r="CT101" s="12">
        <f>IF('Données projet'!$A$140&gt;35,CT100+CS101-DB100,IF(A101&lt;'Données projet'!$A$140,$CQ$205^A101,IF(A101='Données projet'!$A$140,'Données projet'!$B$140,CT100+CS101-DB100)))</f>
        <v>385.59999999999991</v>
      </c>
      <c r="CU101" s="17">
        <f>CT101*VLOOKUP('Données projet'!$B$13,Paramètres!$A$1:$I$89,3,0)*VLOOKUP('Données projet'!$B$13,Paramètres!$A$1:$I$89,5,0)</f>
        <v>330.84479999999996</v>
      </c>
      <c r="CV101" s="13">
        <f t="shared" si="95"/>
        <v>77.605429694617001</v>
      </c>
      <c r="CW101" s="20">
        <f t="shared" si="67"/>
        <v>711.38415005145782</v>
      </c>
      <c r="CX101" s="59">
        <f t="shared" si="68"/>
        <v>997.29397990537518</v>
      </c>
      <c r="CY101" s="59">
        <f ca="1">AVERAGE(OFFSET($CX$3,0,0,'Données projet'!$E$13+1,1))-AVERAGE(OFFSET($H$3,0,0,'Données projet'!$E$13+1,1))</f>
        <v>462.66388549889928</v>
      </c>
      <c r="CZ101" s="59">
        <f t="shared" si="96"/>
        <v>265.3725203415089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99.18856370106198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99.18856370106198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210.25641030000014</v>
      </c>
      <c r="DP101" s="17">
        <f>DO101*VLOOKUP('Données projet'!$B$14,Paramètres!$A$1:$I$89,3,0)*VLOOKUP('Données projet'!$B$14,Paramètres!$A$1:$I$89,5,0)</f>
        <v>164.00000003400012</v>
      </c>
      <c r="DQ101" s="13">
        <f t="shared" si="97"/>
        <v>41.743425916009095</v>
      </c>
      <c r="DR101" s="20">
        <f t="shared" si="70"/>
        <v>358.3364668629327</v>
      </c>
      <c r="DS101" s="59">
        <f t="shared" si="71"/>
        <v>644.24629671685011</v>
      </c>
      <c r="DT101" s="59">
        <f ca="1">AVERAGE(OFFSET($DS$3,0,0,'Données projet'!$E$14+1,1))-AVERAGE(OFFSET($H$3,0,0,'Données projet'!$E$14+1,1))</f>
        <v>206.5241977687125</v>
      </c>
      <c r="DU101" s="59">
        <f t="shared" si="98"/>
        <v>205.25001043771269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18.184878893030284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18.184878893030284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155.99999999999991</v>
      </c>
      <c r="EK101" s="17">
        <f>EJ101*VLOOKUP('Données projet'!$B$15,Paramètres!$A$1:$I$89,3,0)*VLOOKUP('Données projet'!$B$15,Paramètres!$A$1:$I$89,5,0)</f>
        <v>136.28159999999994</v>
      </c>
      <c r="EL101" s="13">
        <f t="shared" si="99"/>
        <v>35.443842312892279</v>
      </c>
      <c r="EM101" s="20">
        <f t="shared" si="73"/>
        <v>299.08847869495395</v>
      </c>
      <c r="EN101" s="59">
        <f t="shared" si="74"/>
        <v>584.99830854887136</v>
      </c>
      <c r="EO101" s="59">
        <f ca="1">AVERAGE(OFFSET($EN$3,0,0,'Données projet'!$E$15+1,1))-AVERAGE(OFFSET($H$3,0,0,'Données projet'!$E$15+1,1))</f>
        <v>205.83135724908942</v>
      </c>
      <c r="EP101" s="59">
        <f t="shared" si="100"/>
        <v>193.60053377311405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18.109273807696404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18.109273807696404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204.00000000000017</v>
      </c>
      <c r="FF101" s="17">
        <f>FE101*VLOOKUP('Données projet'!$B$16,Paramètres!$A$1:$I$89,3,0)*VLOOKUP('Données projet'!$B$16,Paramètres!$A$1:$I$89,5,0)</f>
        <v>133.66080000000011</v>
      </c>
      <c r="FG101" s="13">
        <f t="shared" si="101"/>
        <v>34.840890682716783</v>
      </c>
      <c r="FH101" s="20">
        <f t="shared" si="76"/>
        <v>293.4737779390652</v>
      </c>
      <c r="FI101" s="59">
        <f t="shared" si="77"/>
        <v>579.38360779298262</v>
      </c>
      <c r="FJ101" s="59">
        <f ca="1">AVERAGE(OFFSET($FI$3,0,0,'Données projet'!$E$16+1,1))-AVERAGE(OFFSET($H$3,0,0,'Données projet'!$E$16+1,1))</f>
        <v>242.76791261317206</v>
      </c>
      <c r="FK101" s="59">
        <f t="shared" si="102"/>
        <v>244.28580264867682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33.638058960819137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33.638058960819137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7.2909999999999968</v>
      </c>
      <c r="FZ101" s="12">
        <f>IF('Données projet'!$A$244&gt;35,FZ100+FY101-GH100,IF(A101&lt;'Données projet'!$A$244,$FW$205^A101,IF(A101='Données projet'!$A$244,'Données projet'!$B$244,FZ100+FY101-GH100)))</f>
        <v>301.25500000000005</v>
      </c>
      <c r="GA101" s="17">
        <f>FZ101*VLOOKUP('Données projet'!$B$17,Paramètres!$A$1:$I$89,3,0)*VLOOKUP('Données projet'!$B$17,Paramètres!$A$1:$I$89,5,0)</f>
        <v>286.67425800000007</v>
      </c>
      <c r="GB101" s="13">
        <f t="shared" si="103"/>
        <v>68.37553187621738</v>
      </c>
      <c r="GC101" s="20">
        <f t="shared" si="79"/>
        <v>618.37838403441208</v>
      </c>
      <c r="GD101" s="59">
        <f t="shared" si="80"/>
        <v>904.28821388832944</v>
      </c>
      <c r="GE101" s="59">
        <f ca="1">AVERAGE(OFFSET($GD$3,0,0,'Données projet'!$E$17+1,1))-AVERAGE(OFFSET($H$3,0,0,'Données projet'!$E$17+1,1))</f>
        <v>512.71941256120977</v>
      </c>
      <c r="GF101" s="59">
        <f t="shared" si="104"/>
        <v>230.65031527019354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82.426270651762366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82.426270651762366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67.975408141977482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-5.6843418860808015E-14</v>
      </c>
      <c r="GV101" s="17">
        <f>GU101*VLOOKUP('Données projet'!$B$18,Paramètres!$A$1:$I$89,3,0)*VLOOKUP('Données projet'!$B$18,Paramètres!$A$1:$I$89,5,0)</f>
        <v>-2.5006556825246661E-14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180.68917161146683</v>
      </c>
      <c r="HA101" s="59">
        <f t="shared" si="106"/>
        <v>344.42126252322419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16.632011598403647</v>
      </c>
      <c r="HH101" s="21">
        <f>EXP(-LN(2)/25)*HH100+(1-EXP(-LN(2)/25))/(LN(2)/25)*Calculateur!HC101*Calculateur!HE101*VLOOKUP('Données projet'!$B$18,Paramètres!$A$1:$I$89,3,0)*0.475*44/12</f>
        <v>2.5140541219440946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19.146065720347742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2.25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8.25</v>
      </c>
      <c r="H102" s="66">
        <f t="shared" si="56"/>
        <v>223.66666666666666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7.2909999999999968</v>
      </c>
      <c r="N102" s="13">
        <f>IF('Données projet'!$A$36&gt;35,N101+M102-V101,IF(A102&lt;'Données projet'!$A$36,$K$205^A102,IF(A102='Données projet'!$A$36,'Données projet'!$B$36,N101+M102-V101)))</f>
        <v>308.54600000000005</v>
      </c>
      <c r="O102" s="13">
        <f>N102*VLOOKUP('Données projet'!$B$9,Paramètres!$A$1:$I$89,3,0)*VLOOKUP('Données projet'!$B$9,Paramètres!$A$1:$I$89,5,0)</f>
        <v>279.1724208</v>
      </c>
      <c r="P102" s="13">
        <f t="shared" si="87"/>
        <v>66.792087488429431</v>
      </c>
      <c r="Q102" s="20">
        <f t="shared" si="107"/>
        <v>602.5548519356812</v>
      </c>
      <c r="R102" s="59">
        <f t="shared" si="55"/>
        <v>888.59346297849902</v>
      </c>
      <c r="S102" s="59">
        <f ca="1">AVERAGE(OFFSET($R$3,0,0,'Données projet'!$E$9+1,1))-AVERAGE(OFFSET($H$3,0,0,'Données projet'!$E$9+1,1))</f>
        <v>490.57849401500789</v>
      </c>
      <c r="T102" s="59">
        <f t="shared" si="88"/>
        <v>221.7570623669753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76.835682328554824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76.835682328554824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6.3966666666666692</v>
      </c>
      <c r="AI102" s="13">
        <f>IF('Données projet'!$A$62&gt;35,AI101+AH102-AQ101,IF(A102&lt;'Données projet'!$A$62,$AF$205^A102,IF(A102='Données projet'!$A$62,'Données projet'!$B$62,AI101+AH102-AQ101)))</f>
        <v>239.38666666666677</v>
      </c>
      <c r="AJ102" s="13">
        <f>AI102*VLOOKUP('Données projet'!$B$10,Paramètres!$A$1:$I$89,3,0)*VLOOKUP('Données projet'!$B$10,Paramètres!$A$1:$I$89,5,0)</f>
        <v>160.58057600000006</v>
      </c>
      <c r="AK102" s="13">
        <f t="shared" si="89"/>
        <v>40.973438326621974</v>
      </c>
      <c r="AL102" s="20">
        <f t="shared" si="58"/>
        <v>351.03990828553339</v>
      </c>
      <c r="AM102" s="59">
        <f t="shared" si="59"/>
        <v>637.07851932835126</v>
      </c>
      <c r="AN102" s="59">
        <f ca="1">AVERAGE(OFFSET($AM$3,0,0,'Données projet'!$E$10+1,1))-AVERAGE(OFFSET($H$3,0,0,'Données projet'!$E$10+1,1))</f>
        <v>377.00534440335832</v>
      </c>
      <c r="AO102" s="59">
        <f t="shared" si="90"/>
        <v>131.56029120000656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53.785896255036214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53.785896255036214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220.00000000000009</v>
      </c>
      <c r="BE102" s="13">
        <f>BD102*VLOOKUP('Données projet'!$B$11,Paramètres!$A$1:$I$89,3,0)*VLOOKUP('Données projet'!$B$11,Paramètres!$A$1:$I$89,5,0)</f>
        <v>192.19200000000009</v>
      </c>
      <c r="BF102" s="13">
        <f t="shared" si="91"/>
        <v>48.024248921932482</v>
      </c>
      <c r="BG102" s="20">
        <f t="shared" si="61"/>
        <v>418.37663353903253</v>
      </c>
      <c r="BH102" s="59">
        <f t="shared" si="62"/>
        <v>704.4152445818504</v>
      </c>
      <c r="BI102" s="59">
        <f ca="1">AVERAGE(OFFSET($BH$3,0,0,'Données projet'!$E$11+1,1))-AVERAGE(OFFSET($H$3,0,0,'Données projet'!$E$11+1,1))</f>
        <v>314.1123649635374</v>
      </c>
      <c r="BJ102" s="59">
        <f t="shared" si="92"/>
        <v>274.92342227914889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40.008913999383346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40.008913999383346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212.42519999999985</v>
      </c>
      <c r="CA102" s="13">
        <f t="shared" si="93"/>
        <v>52.465198231787184</v>
      </c>
      <c r="CB102" s="20">
        <f t="shared" si="64"/>
        <v>461.35077692036231</v>
      </c>
      <c r="CC102" s="59">
        <f t="shared" si="65"/>
        <v>747.38938796318018</v>
      </c>
      <c r="CD102" s="59">
        <f ca="1">AVERAGE(OFFSET($CC$3,0,0,'Données projet'!$E$12+1,1))-AVERAGE(OFFSET($H$3,0,0,'Données projet'!$E$12+1,1))</f>
        <v>309.86296291630748</v>
      </c>
      <c r="CE102" s="59">
        <f t="shared" si="94"/>
        <v>301.17633325088661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29.781125399363081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29.781125399363081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7.2</v>
      </c>
      <c r="CT102" s="12">
        <f>IF('Données projet'!$A$140&gt;35,CT101+CS102-DB101,IF(A102&lt;'Données projet'!$A$140,$CQ$205^A102,IF(A102='Données projet'!$A$140,'Données projet'!$B$140,CT101+CS102-DB101)))</f>
        <v>392.7999999999999</v>
      </c>
      <c r="CU102" s="17">
        <f>CT102*VLOOKUP('Données projet'!$B$13,Paramètres!$A$1:$I$89,3,0)*VLOOKUP('Données projet'!$B$13,Paramètres!$A$1:$I$89,5,0)</f>
        <v>337.02239999999995</v>
      </c>
      <c r="CV102" s="13">
        <f t="shared" si="95"/>
        <v>78.884440823098231</v>
      </c>
      <c r="CW102" s="20">
        <f t="shared" si="67"/>
        <v>724.37108110022928</v>
      </c>
      <c r="CX102" s="59">
        <f t="shared" si="68"/>
        <v>1010.4096921430471</v>
      </c>
      <c r="CY102" s="59">
        <f ca="1">AVERAGE(OFFSET($CX$3,0,0,'Données projet'!$E$13+1,1))-AVERAGE(OFFSET($H$3,0,0,'Données projet'!$E$13+1,1))</f>
        <v>462.66388549889928</v>
      </c>
      <c r="CZ102" s="59">
        <f t="shared" si="96"/>
        <v>265.3725203415089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97.243536465934227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97.243536465934227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210.25641030000014</v>
      </c>
      <c r="DP102" s="17">
        <f>DO102*VLOOKUP('Données projet'!$B$14,Paramètres!$A$1:$I$89,3,0)*VLOOKUP('Données projet'!$B$14,Paramètres!$A$1:$I$89,5,0)</f>
        <v>164.00000003400012</v>
      </c>
      <c r="DQ102" s="13">
        <f t="shared" si="97"/>
        <v>41.743425916009095</v>
      </c>
      <c r="DR102" s="20">
        <f t="shared" si="70"/>
        <v>358.3364668629327</v>
      </c>
      <c r="DS102" s="59">
        <f t="shared" si="71"/>
        <v>644.37507790575057</v>
      </c>
      <c r="DT102" s="59">
        <f ca="1">AVERAGE(OFFSET($DS$3,0,0,'Données projet'!$E$14+1,1))-AVERAGE(OFFSET($H$3,0,0,'Données projet'!$E$14+1,1))</f>
        <v>206.5241977687125</v>
      </c>
      <c r="DU102" s="59">
        <f t="shared" si="98"/>
        <v>205.25001043771269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17.828284509618872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17.828284509618872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155.99999999999991</v>
      </c>
      <c r="EK102" s="17">
        <f>EJ102*VLOOKUP('Données projet'!$B$15,Paramètres!$A$1:$I$89,3,0)*VLOOKUP('Données projet'!$B$15,Paramètres!$A$1:$I$89,5,0)</f>
        <v>136.28159999999994</v>
      </c>
      <c r="EL102" s="13">
        <f t="shared" si="99"/>
        <v>35.443842312892279</v>
      </c>
      <c r="EM102" s="20">
        <f t="shared" si="73"/>
        <v>299.08847869495395</v>
      </c>
      <c r="EN102" s="59">
        <f t="shared" si="74"/>
        <v>585.12708973777183</v>
      </c>
      <c r="EO102" s="59">
        <f ca="1">AVERAGE(OFFSET($EN$3,0,0,'Données projet'!$E$15+1,1))-AVERAGE(OFFSET($H$3,0,0,'Données projet'!$E$15+1,1))</f>
        <v>205.83135724908942</v>
      </c>
      <c r="EP102" s="59">
        <f t="shared" si="100"/>
        <v>193.60053377311405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17.754161993893842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17.754161993893842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204.00000000000017</v>
      </c>
      <c r="FF102" s="17">
        <f>FE102*VLOOKUP('Données projet'!$B$16,Paramètres!$A$1:$I$89,3,0)*VLOOKUP('Données projet'!$B$16,Paramètres!$A$1:$I$89,5,0)</f>
        <v>133.66080000000011</v>
      </c>
      <c r="FG102" s="13">
        <f t="shared" si="101"/>
        <v>34.840890682716783</v>
      </c>
      <c r="FH102" s="20">
        <f t="shared" si="76"/>
        <v>293.4737779390652</v>
      </c>
      <c r="FI102" s="59">
        <f t="shared" si="77"/>
        <v>579.51238898188308</v>
      </c>
      <c r="FJ102" s="59">
        <f ca="1">AVERAGE(OFFSET($FI$3,0,0,'Données projet'!$E$16+1,1))-AVERAGE(OFFSET($H$3,0,0,'Données projet'!$E$16+1,1))</f>
        <v>242.76791261317206</v>
      </c>
      <c r="FK102" s="59">
        <f t="shared" si="102"/>
        <v>244.28580264867682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32.978437141787538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32.978437141787538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7.2909999999999968</v>
      </c>
      <c r="FZ102" s="12">
        <f>IF('Données projet'!$A$244&gt;35,FZ101+FY102-GH101,IF(A102&lt;'Données projet'!$A$244,$FW$205^A102,IF(A102='Données projet'!$A$244,'Données projet'!$B$244,FZ101+FY102-GH101)))</f>
        <v>308.54600000000005</v>
      </c>
      <c r="GA102" s="17">
        <f>FZ102*VLOOKUP('Données projet'!$B$17,Paramètres!$A$1:$I$89,3,0)*VLOOKUP('Données projet'!$B$17,Paramètres!$A$1:$I$89,5,0)</f>
        <v>293.61237360000001</v>
      </c>
      <c r="GB102" s="13">
        <f t="shared" si="103"/>
        <v>69.835698930455166</v>
      </c>
      <c r="GC102" s="20">
        <f t="shared" si="79"/>
        <v>633.00539299054276</v>
      </c>
      <c r="GD102" s="59">
        <f t="shared" si="80"/>
        <v>919.04400403336058</v>
      </c>
      <c r="GE102" s="59">
        <f ca="1">AVERAGE(OFFSET($GD$3,0,0,'Données projet'!$E$17+1,1))-AVERAGE(OFFSET($H$3,0,0,'Données projet'!$E$17+1,1))</f>
        <v>512.71941256120977</v>
      </c>
      <c r="GF102" s="59">
        <f t="shared" si="104"/>
        <v>230.65031527019354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80.809941759342152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80.809941759342152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68.010530284404879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-5.6843418860808015E-14</v>
      </c>
      <c r="GV102" s="17">
        <f>GU102*VLOOKUP('Données projet'!$B$18,Paramètres!$A$1:$I$89,3,0)*VLOOKUP('Données projet'!$B$18,Paramètres!$A$1:$I$89,5,0)</f>
        <v>-2.5006556825246661E-14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180.68917161146683</v>
      </c>
      <c r="HA102" s="59">
        <f t="shared" si="106"/>
        <v>344.42126252322419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16.305867995484338</v>
      </c>
      <c r="HH102" s="21">
        <f>EXP(-LN(2)/25)*HH101+(1-EXP(-LN(2)/25))/(LN(2)/25)*Calculateur!HC102*Calculateur!HE102*VLOOKUP('Données projet'!$B$18,Paramètres!$A$1:$I$89,3,0)*0.475*44/12</f>
        <v>2.4453071797711732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18.751175175255511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2.25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8.25</v>
      </c>
      <c r="H103" s="66">
        <f t="shared" si="56"/>
        <v>223.66666666666666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7.2909999999999968</v>
      </c>
      <c r="N103" s="13">
        <f>IF('Données projet'!$A$36&gt;35,N102+M103-V102,IF(A103&lt;'Données projet'!$A$36,$K$205^A103,IF(A103='Données projet'!$A$36,'Données projet'!$B$36,N102+M103-V102)))</f>
        <v>315.83700000000005</v>
      </c>
      <c r="O103" s="13">
        <f>N103*VLOOKUP('Données projet'!$B$9,Paramètres!$A$1:$I$89,3,0)*VLOOKUP('Données projet'!$B$9,Paramètres!$A$1:$I$89,5,0)</f>
        <v>285.76931760000002</v>
      </c>
      <c r="P103" s="13">
        <f t="shared" si="87"/>
        <v>68.184780544049019</v>
      </c>
      <c r="Q103" s="20">
        <f t="shared" si="107"/>
        <v>616.47005426755209</v>
      </c>
      <c r="R103" s="59">
        <f t="shared" si="55"/>
        <v>902.63521243355444</v>
      </c>
      <c r="S103" s="59">
        <f ca="1">AVERAGE(OFFSET($R$3,0,0,'Données projet'!$E$9+1,1))-AVERAGE(OFFSET($H$3,0,0,'Données projet'!$E$9+1,1))</f>
        <v>490.57849401500789</v>
      </c>
      <c r="T103" s="59">
        <f t="shared" si="88"/>
        <v>221.7570623669753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75.328981463230534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75.328981463230534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6.3966666666666692</v>
      </c>
      <c r="AI103" s="13">
        <f>IF('Données projet'!$A$62&gt;35,AI102+AH103-AQ102,IF(A103&lt;'Données projet'!$A$62,$AF$205^A103,IF(A103='Données projet'!$A$62,'Données projet'!$B$62,AI102+AH103-AQ102)))</f>
        <v>245.78333333333345</v>
      </c>
      <c r="AJ103" s="13">
        <f>AI103*VLOOKUP('Données projet'!$B$10,Paramètres!$A$1:$I$89,3,0)*VLOOKUP('Données projet'!$B$10,Paramètres!$A$1:$I$89,5,0)</f>
        <v>164.87146000000007</v>
      </c>
      <c r="AK103" s="13">
        <f t="shared" si="89"/>
        <v>41.939361503022795</v>
      </c>
      <c r="AL103" s="20">
        <f t="shared" si="58"/>
        <v>360.19551411776479</v>
      </c>
      <c r="AM103" s="59">
        <f t="shared" si="59"/>
        <v>646.36067228376714</v>
      </c>
      <c r="AN103" s="59">
        <f ca="1">AVERAGE(OFFSET($AM$3,0,0,'Données projet'!$E$10+1,1))-AVERAGE(OFFSET($H$3,0,0,'Données projet'!$E$10+1,1))</f>
        <v>377.00534440335832</v>
      </c>
      <c r="AO103" s="59">
        <f t="shared" si="90"/>
        <v>131.56029120000656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52.731187635632331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52.731187635632331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223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223.00000000000009</v>
      </c>
      <c r="BE103" s="13">
        <f>BD103*VLOOKUP('Données projet'!$B$11,Paramètres!$A$1:$I$89,3,0)*VLOOKUP('Données projet'!$B$11,Paramètres!$A$1:$I$89,5,0)</f>
        <v>194.81280000000012</v>
      </c>
      <c r="BF103" s="13">
        <f t="shared" si="91"/>
        <v>48.602440540253902</v>
      </c>
      <c r="BG103" s="20">
        <f t="shared" si="61"/>
        <v>423.9482106076091</v>
      </c>
      <c r="BH103" s="59">
        <f t="shared" si="62"/>
        <v>710.11336877361146</v>
      </c>
      <c r="BI103" s="59">
        <f ca="1">AVERAGE(OFFSET($BH$3,0,0,'Données projet'!$E$11+1,1))-AVERAGE(OFFSET($H$3,0,0,'Données projet'!$E$11+1,1))</f>
        <v>314.1123649635374</v>
      </c>
      <c r="BJ103" s="59">
        <f t="shared" si="92"/>
        <v>274.92342227914889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11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43.792308707322107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43.792308707322107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212.42519999999985</v>
      </c>
      <c r="CA103" s="13">
        <f t="shared" si="93"/>
        <v>52.465198231787184</v>
      </c>
      <c r="CB103" s="20">
        <f t="shared" si="64"/>
        <v>461.35077692036231</v>
      </c>
      <c r="CC103" s="59">
        <f t="shared" si="65"/>
        <v>747.51593508636472</v>
      </c>
      <c r="CD103" s="59">
        <f ca="1">AVERAGE(OFFSET($CC$3,0,0,'Données projet'!$E$12+1,1))-AVERAGE(OFFSET($H$3,0,0,'Données projet'!$E$12+1,1))</f>
        <v>309.86296291630748</v>
      </c>
      <c r="CE103" s="59">
        <f t="shared" si="94"/>
        <v>301.17633325088661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29.197135694974449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29.197135694974449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400</v>
      </c>
      <c r="CR103" s="12">
        <f>VLOOKUP(A103,'Données projet'!$A$139:$I$159,9,0)</f>
        <v>7.2</v>
      </c>
      <c r="CS103" s="12">
        <f t="array" ref="CS103">INDEX(CR:CR,MIN(IF(ISNUMBER(CR103:CR299),ROW(CR103:CR299),"")))</f>
        <v>7.2</v>
      </c>
      <c r="CT103" s="12">
        <f>IF('Données projet'!$A$140&gt;35,CT102+CS103-DB102,IF(A103&lt;'Données projet'!$A$140,$CQ$205^A103,IF(A103='Données projet'!$A$140,'Données projet'!$B$140,CT102+CS103-DB102)))</f>
        <v>399.99999999999989</v>
      </c>
      <c r="CU103" s="17">
        <f>CT103*VLOOKUP('Données projet'!$B$13,Paramètres!$A$1:$I$89,3,0)*VLOOKUP('Données projet'!$B$13,Paramètres!$A$1:$I$89,5,0)</f>
        <v>343.19999999999993</v>
      </c>
      <c r="CV103" s="13">
        <f t="shared" si="95"/>
        <v>80.160725794932105</v>
      </c>
      <c r="CW103" s="20">
        <f t="shared" si="67"/>
        <v>737.35326409283982</v>
      </c>
      <c r="CX103" s="59">
        <f t="shared" si="68"/>
        <v>1023.5184222588423</v>
      </c>
      <c r="CY103" s="59">
        <f ca="1">AVERAGE(OFFSET($CX$3,0,0,'Données projet'!$E$13+1,1))-AVERAGE(OFFSET($H$3,0,0,'Données projet'!$E$13+1,1))</f>
        <v>462.66388549889928</v>
      </c>
      <c r="CZ103" s="59">
        <f t="shared" si="96"/>
        <v>265.3725203415089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24</v>
      </c>
      <c r="DC103" s="16">
        <f>IF(ISNA(VLOOKUP(A103,'Données projet'!$A$139:$I$159,5,0)),0%,VLOOKUP(A103,'Données projet'!$A$139:$I$159,5,0)*VLOOKUP('Données projet'!$B$13,Paramètres!$A$1:$I$89,7,0))</f>
        <v>0.53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107.40148843786939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107.40148843786939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210.25641030000014</v>
      </c>
      <c r="DP103" s="17">
        <f>DO103*VLOOKUP('Données projet'!$B$14,Paramètres!$A$1:$I$89,3,0)*VLOOKUP('Données projet'!$B$14,Paramètres!$A$1:$I$89,5,0)</f>
        <v>164.00000003400012</v>
      </c>
      <c r="DQ103" s="13">
        <f t="shared" si="97"/>
        <v>41.743425916009095</v>
      </c>
      <c r="DR103" s="20">
        <f t="shared" si="70"/>
        <v>358.3364668629327</v>
      </c>
      <c r="DS103" s="59">
        <f t="shared" si="71"/>
        <v>644.50162502893511</v>
      </c>
      <c r="DT103" s="59">
        <f ca="1">AVERAGE(OFFSET($DS$3,0,0,'Données projet'!$E$14+1,1))-AVERAGE(OFFSET($H$3,0,0,'Données projet'!$E$14+1,1))</f>
        <v>206.5241977687125</v>
      </c>
      <c r="DU103" s="59">
        <f t="shared" si="98"/>
        <v>205.25001043771269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17.478682724565061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17.478682724565061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155.99999999999991</v>
      </c>
      <c r="EK103" s="17">
        <f>EJ103*VLOOKUP('Données projet'!$B$15,Paramètres!$A$1:$I$89,3,0)*VLOOKUP('Données projet'!$B$15,Paramètres!$A$1:$I$89,5,0)</f>
        <v>136.28159999999994</v>
      </c>
      <c r="EL103" s="13">
        <f t="shared" si="99"/>
        <v>35.443842312892279</v>
      </c>
      <c r="EM103" s="20">
        <f t="shared" si="73"/>
        <v>299.08847869495395</v>
      </c>
      <c r="EN103" s="59">
        <f t="shared" si="74"/>
        <v>585.25363686095636</v>
      </c>
      <c r="EO103" s="59">
        <f ca="1">AVERAGE(OFFSET($EN$3,0,0,'Données projet'!$E$15+1,1))-AVERAGE(OFFSET($H$3,0,0,'Données projet'!$E$15+1,1))</f>
        <v>205.83135724908942</v>
      </c>
      <c r="EP103" s="59">
        <f t="shared" si="100"/>
        <v>193.60053377311405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17.406013706163129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17.406013706163129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204.00000000000017</v>
      </c>
      <c r="FF103" s="17">
        <f>FE103*VLOOKUP('Données projet'!$B$16,Paramètres!$A$1:$I$89,3,0)*VLOOKUP('Données projet'!$B$16,Paramètres!$A$1:$I$89,5,0)</f>
        <v>133.66080000000011</v>
      </c>
      <c r="FG103" s="13">
        <f t="shared" si="101"/>
        <v>34.840890682716783</v>
      </c>
      <c r="FH103" s="20">
        <f t="shared" si="76"/>
        <v>293.4737779390652</v>
      </c>
      <c r="FI103" s="59">
        <f t="shared" si="77"/>
        <v>579.63893610506761</v>
      </c>
      <c r="FJ103" s="59">
        <f ca="1">AVERAGE(OFFSET($FI$3,0,0,'Données projet'!$E$16+1,1))-AVERAGE(OFFSET($H$3,0,0,'Données projet'!$E$16+1,1))</f>
        <v>242.76791261317206</v>
      </c>
      <c r="FK103" s="59">
        <f t="shared" si="102"/>
        <v>244.28580264867682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32.331750104297562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32.331750104297562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7.2909999999999968</v>
      </c>
      <c r="FZ103" s="12">
        <f>IF('Données projet'!$A$244&gt;35,FZ102+FY103-GH102,IF(A103&lt;'Données projet'!$A$244,$FW$205^A103,IF(A103='Données projet'!$A$244,'Données projet'!$B$244,FZ102+FY103-GH102)))</f>
        <v>315.83700000000005</v>
      </c>
      <c r="GA103" s="17">
        <f>FZ103*VLOOKUP('Données projet'!$B$17,Paramètres!$A$1:$I$89,3,0)*VLOOKUP('Données projet'!$B$17,Paramètres!$A$1:$I$89,5,0)</f>
        <v>300.55048920000007</v>
      </c>
      <c r="GB103" s="13">
        <f t="shared" si="103"/>
        <v>71.291854840414302</v>
      </c>
      <c r="GC103" s="20">
        <f t="shared" si="79"/>
        <v>647.62541587038834</v>
      </c>
      <c r="GD103" s="59">
        <f t="shared" si="80"/>
        <v>933.79057403639081</v>
      </c>
      <c r="GE103" s="59">
        <f ca="1">AVERAGE(OFFSET($GD$3,0,0,'Données projet'!$E$17+1,1))-AVERAGE(OFFSET($H$3,0,0,'Données projet'!$E$17+1,1))</f>
        <v>512.71941256120977</v>
      </c>
      <c r="GF103" s="59">
        <f t="shared" si="104"/>
        <v>230.65031527019354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79.225308090639018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79.225308090639018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68.045043136182485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-5.6843418860808015E-14</v>
      </c>
      <c r="GV103" s="17">
        <f>GU103*VLOOKUP('Données projet'!$B$18,Paramètres!$A$1:$I$89,3,0)*VLOOKUP('Données projet'!$B$18,Paramètres!$A$1:$I$89,5,0)</f>
        <v>-2.5006556825246661E-14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180.68917161146683</v>
      </c>
      <c r="HA103" s="59">
        <f t="shared" si="106"/>
        <v>344.42126252322419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15.98611986969032</v>
      </c>
      <c r="HH103" s="21">
        <f>EXP(-LN(2)/25)*HH102+(1-EXP(-LN(2)/25))/(LN(2)/25)*Calculateur!HC103*Calculateur!HE103*VLOOKUP('Données projet'!$B$18,Paramètres!$A$1:$I$89,3,0)*0.475*44/12</f>
        <v>2.3784401263472148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18.364559996037535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2.25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8.25</v>
      </c>
      <c r="H104" s="66">
        <f t="shared" si="56"/>
        <v>223.66666666666666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7.2909999999999968</v>
      </c>
      <c r="N104" s="13">
        <f>IF('Données projet'!$A$36&gt;35,N103+M104-V103,IF(A104&lt;'Données projet'!$A$36,$K$205^A104,IF(A104='Données projet'!$A$36,'Données projet'!$B$36,N103+M104-V103)))</f>
        <v>323.12800000000004</v>
      </c>
      <c r="O104" s="13">
        <f>N104*VLOOKUP('Données projet'!$B$9,Paramètres!$A$1:$I$89,3,0)*VLOOKUP('Données projet'!$B$9,Paramètres!$A$1:$I$89,5,0)</f>
        <v>292.36621440000005</v>
      </c>
      <c r="P104" s="13">
        <f t="shared" si="87"/>
        <v>69.573736024839775</v>
      </c>
      <c r="Q104" s="20">
        <f t="shared" si="107"/>
        <v>630.37874698992925</v>
      </c>
      <c r="R104" s="59">
        <f t="shared" si="55"/>
        <v>916.66825696944602</v>
      </c>
      <c r="S104" s="59">
        <f ca="1">AVERAGE(OFFSET($R$3,0,0,'Données projet'!$E$9+1,1))-AVERAGE(OFFSET($H$3,0,0,'Données projet'!$E$9+1,1))</f>
        <v>490.57849401500789</v>
      </c>
      <c r="T104" s="59">
        <f t="shared" si="88"/>
        <v>221.7570623669753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73.851826082878475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73.851826082878475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6.3966666666666692</v>
      </c>
      <c r="AI104" s="13">
        <f>IF('Données projet'!$A$62&gt;35,AI103+AH104-AQ103,IF(A104&lt;'Données projet'!$A$62,$AF$205^A104,IF(A104='Données projet'!$A$62,'Données projet'!$B$62,AI103+AH104-AQ103)))</f>
        <v>252.18000000000012</v>
      </c>
      <c r="AJ104" s="13">
        <f>AI104*VLOOKUP('Données projet'!$B$10,Paramètres!$A$1:$I$89,3,0)*VLOOKUP('Données projet'!$B$10,Paramètres!$A$1:$I$89,5,0)</f>
        <v>169.16234400000008</v>
      </c>
      <c r="AK104" s="13">
        <f t="shared" si="89"/>
        <v>42.902362606739906</v>
      </c>
      <c r="AL104" s="20">
        <f t="shared" si="58"/>
        <v>369.34603067340544</v>
      </c>
      <c r="AM104" s="59">
        <f t="shared" si="59"/>
        <v>655.63554065292226</v>
      </c>
      <c r="AN104" s="59">
        <f ca="1">AVERAGE(OFFSET($AM$3,0,0,'Données projet'!$E$10+1,1))-AVERAGE(OFFSET($H$3,0,0,'Données projet'!$E$10+1,1))</f>
        <v>377.00534440335832</v>
      </c>
      <c r="AO104" s="59">
        <f t="shared" si="90"/>
        <v>131.56029120000656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51.69716120894622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51.69716120894622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212.00000000000009</v>
      </c>
      <c r="BE104" s="13">
        <f>BD104*VLOOKUP('Données projet'!$B$11,Paramètres!$A$1:$I$89,3,0)*VLOOKUP('Données projet'!$B$11,Paramètres!$A$1:$I$89,5,0)</f>
        <v>185.20320000000009</v>
      </c>
      <c r="BF104" s="13">
        <f t="shared" si="91"/>
        <v>46.477875402099386</v>
      </c>
      <c r="BG104" s="20">
        <f t="shared" si="61"/>
        <v>403.5112063253232</v>
      </c>
      <c r="BH104" s="59">
        <f t="shared" si="62"/>
        <v>689.80071630484008</v>
      </c>
      <c r="BI104" s="59">
        <f ca="1">AVERAGE(OFFSET($BH$3,0,0,'Données projet'!$E$11+1,1))-AVERAGE(OFFSET($H$3,0,0,'Données projet'!$E$11+1,1))</f>
        <v>314.1123649635374</v>
      </c>
      <c r="BJ104" s="59">
        <f t="shared" si="92"/>
        <v>274.92342227914889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42.933568244242373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42.933568244242373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212.42519999999985</v>
      </c>
      <c r="CA104" s="13">
        <f t="shared" si="93"/>
        <v>52.465198231787184</v>
      </c>
      <c r="CB104" s="20">
        <f t="shared" si="64"/>
        <v>461.35077692036231</v>
      </c>
      <c r="CC104" s="59">
        <f t="shared" si="65"/>
        <v>747.64028689987913</v>
      </c>
      <c r="CD104" s="59">
        <f ca="1">AVERAGE(OFFSET($CC$3,0,0,'Données projet'!$E$12+1,1))-AVERAGE(OFFSET($H$3,0,0,'Données projet'!$E$12+1,1))</f>
        <v>309.86296291630748</v>
      </c>
      <c r="CE104" s="59">
        <f t="shared" si="94"/>
        <v>301.17633325088661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28.624597672490331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28.624597672490331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6.6</v>
      </c>
      <c r="CT104" s="12">
        <f>IF('Données projet'!$A$140&gt;35,CT103+CS104-DB103,IF(A104&lt;'Données projet'!$A$140,$CQ$205^A104,IF(A104='Données projet'!$A$140,'Données projet'!$B$140,CT103+CS104-DB103)))</f>
        <v>382.59999999999991</v>
      </c>
      <c r="CU104" s="17">
        <f>CT104*VLOOKUP('Données projet'!$B$13,Paramètres!$A$1:$I$89,3,0)*VLOOKUP('Données projet'!$B$13,Paramètres!$A$1:$I$89,5,0)</f>
        <v>328.27079999999995</v>
      </c>
      <c r="CV104" s="13">
        <f t="shared" si="95"/>
        <v>77.071690347038668</v>
      </c>
      <c r="CW104" s="20">
        <f t="shared" si="67"/>
        <v>705.97150402109219</v>
      </c>
      <c r="CX104" s="59">
        <f t="shared" si="68"/>
        <v>992.26101400060907</v>
      </c>
      <c r="CY104" s="59">
        <f ca="1">AVERAGE(OFFSET($CX$3,0,0,'Données projet'!$E$13+1,1))-AVERAGE(OFFSET($H$3,0,0,'Données projet'!$E$13+1,1))</f>
        <v>462.66388549889928</v>
      </c>
      <c r="CZ104" s="59">
        <f t="shared" si="96"/>
        <v>265.3725203415089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105.29541075804229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105.29541075804229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210.25641030000014</v>
      </c>
      <c r="DP104" s="17">
        <f>DO104*VLOOKUP('Données projet'!$B$14,Paramètres!$A$1:$I$89,3,0)*VLOOKUP('Données projet'!$B$14,Paramètres!$A$1:$I$89,5,0)</f>
        <v>164.00000003400012</v>
      </c>
      <c r="DQ104" s="13">
        <f t="shared" si="97"/>
        <v>41.743425916009095</v>
      </c>
      <c r="DR104" s="20">
        <f t="shared" si="70"/>
        <v>358.3364668629327</v>
      </c>
      <c r="DS104" s="59">
        <f t="shared" si="71"/>
        <v>644.62597684244952</v>
      </c>
      <c r="DT104" s="59">
        <f ca="1">AVERAGE(OFFSET($DS$3,0,0,'Données projet'!$E$14+1,1))-AVERAGE(OFFSET($H$3,0,0,'Données projet'!$E$14+1,1))</f>
        <v>206.5241977687125</v>
      </c>
      <c r="DU104" s="59">
        <f t="shared" si="98"/>
        <v>205.25001043771269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17.135936417280121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17.135936417280121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155.99999999999991</v>
      </c>
      <c r="EK104" s="17">
        <f>EJ104*VLOOKUP('Données projet'!$B$15,Paramètres!$A$1:$I$89,3,0)*VLOOKUP('Données projet'!$B$15,Paramètres!$A$1:$I$89,5,0)</f>
        <v>136.28159999999994</v>
      </c>
      <c r="EL104" s="13">
        <f t="shared" si="99"/>
        <v>35.443842312892279</v>
      </c>
      <c r="EM104" s="20">
        <f t="shared" si="73"/>
        <v>299.08847869495395</v>
      </c>
      <c r="EN104" s="59">
        <f t="shared" si="74"/>
        <v>585.37798867447077</v>
      </c>
      <c r="EO104" s="59">
        <f ca="1">AVERAGE(OFFSET($EN$3,0,0,'Données projet'!$E$15+1,1))-AVERAGE(OFFSET($H$3,0,0,'Données projet'!$E$15+1,1))</f>
        <v>205.83135724908942</v>
      </c>
      <c r="EP104" s="59">
        <f t="shared" si="100"/>
        <v>193.60053377311405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17.064692394005327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17.064692394005327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204.00000000000017</v>
      </c>
      <c r="FF104" s="17">
        <f>FE104*VLOOKUP('Données projet'!$B$16,Paramètres!$A$1:$I$89,3,0)*VLOOKUP('Données projet'!$B$16,Paramètres!$A$1:$I$89,5,0)</f>
        <v>133.66080000000011</v>
      </c>
      <c r="FG104" s="13">
        <f t="shared" si="101"/>
        <v>34.840890682716783</v>
      </c>
      <c r="FH104" s="20">
        <f t="shared" si="76"/>
        <v>293.4737779390652</v>
      </c>
      <c r="FI104" s="59">
        <f t="shared" si="77"/>
        <v>579.76328791858202</v>
      </c>
      <c r="FJ104" s="59">
        <f ca="1">AVERAGE(OFFSET($FI$3,0,0,'Données projet'!$E$16+1,1))-AVERAGE(OFFSET($H$3,0,0,'Données projet'!$E$16+1,1))</f>
        <v>242.76791261317206</v>
      </c>
      <c r="FK104" s="59">
        <f t="shared" si="102"/>
        <v>244.28580264867682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31.697744205172622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31.697744205172622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7.2909999999999968</v>
      </c>
      <c r="FZ104" s="12">
        <f>IF('Données projet'!$A$244&gt;35,FZ103+FY104-GH103,IF(A104&lt;'Données projet'!$A$244,$FW$205^A104,IF(A104='Données projet'!$A$244,'Données projet'!$B$244,FZ103+FY104-GH103)))</f>
        <v>323.12800000000004</v>
      </c>
      <c r="GA104" s="17">
        <f>FZ104*VLOOKUP('Données projet'!$B$17,Paramètres!$A$1:$I$89,3,0)*VLOOKUP('Données projet'!$B$17,Paramètres!$A$1:$I$89,5,0)</f>
        <v>307.48860480000008</v>
      </c>
      <c r="GB104" s="13">
        <f t="shared" si="103"/>
        <v>72.744102860078485</v>
      </c>
      <c r="GC104" s="20">
        <f t="shared" si="79"/>
        <v>662.23863250797024</v>
      </c>
      <c r="GD104" s="59">
        <f t="shared" si="80"/>
        <v>948.528142487487</v>
      </c>
      <c r="GE104" s="59">
        <f ca="1">AVERAGE(OFFSET($GD$3,0,0,'Données projet'!$E$17+1,1))-AVERAGE(OFFSET($H$3,0,0,'Données projet'!$E$17+1,1))</f>
        <v>512.71941256120977</v>
      </c>
      <c r="GF104" s="59">
        <f t="shared" si="104"/>
        <v>230.65031527019354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77.671748121648051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77.671748121648051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68.07895726714095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-5.6843418860808015E-14</v>
      </c>
      <c r="GV104" s="17">
        <f>GU104*VLOOKUP('Données projet'!$B$18,Paramètres!$A$1:$I$89,3,0)*VLOOKUP('Données projet'!$B$18,Paramètres!$A$1:$I$89,5,0)</f>
        <v>-2.5006556825246661E-14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180.68917161146683</v>
      </c>
      <c r="HA104" s="59">
        <f t="shared" si="106"/>
        <v>344.42126252322419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15.672641809616024</v>
      </c>
      <c r="HH104" s="21">
        <f>EXP(-LN(2)/25)*HH103+(1-EXP(-LN(2)/25))/(LN(2)/25)*Calculateur!HC104*Calculateur!HE104*VLOOKUP('Données projet'!$B$18,Paramètres!$A$1:$I$89,3,0)*0.475*44/12</f>
        <v>2.3134015560155201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17.986043365631545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2.25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8.25</v>
      </c>
      <c r="H105" s="66">
        <f t="shared" si="56"/>
        <v>223.66666666666666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7.2909999999999968</v>
      </c>
      <c r="N105" s="13">
        <f>IF('Données projet'!$A$36&gt;35,N104+M105-V104,IF(A105&lt;'Données projet'!$A$36,$K$205^A105,IF(A105='Données projet'!$A$36,'Données projet'!$B$36,N104+M105-V104)))</f>
        <v>330.41900000000004</v>
      </c>
      <c r="O105" s="13">
        <f>N105*VLOOKUP('Données projet'!$B$9,Paramètres!$A$1:$I$89,3,0)*VLOOKUP('Données projet'!$B$9,Paramètres!$A$1:$I$89,5,0)</f>
        <v>298.96311120000001</v>
      </c>
      <c r="P105" s="13">
        <f t="shared" si="87"/>
        <v>70.959047973808381</v>
      </c>
      <c r="Q105" s="20">
        <f t="shared" si="107"/>
        <v>644.28109389438293</v>
      </c>
      <c r="R105" s="59">
        <f t="shared" si="55"/>
        <v>930.69279846145855</v>
      </c>
      <c r="S105" s="59">
        <f ca="1">AVERAGE(OFFSET($R$3,0,0,'Données projet'!$E$9+1,1))-AVERAGE(OFFSET($H$3,0,0,'Données projet'!$E$9+1,1))</f>
        <v>490.57849401500789</v>
      </c>
      <c r="T105" s="59">
        <f t="shared" si="88"/>
        <v>221.7570623669753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72.403636818559292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72.403636818559292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6.3966666666666692</v>
      </c>
      <c r="AI105" s="13">
        <f>IF('Données projet'!$A$62&gt;35,AI104+AH105-AQ104,IF(A105&lt;'Données projet'!$A$62,$AF$205^A105,IF(A105='Données projet'!$A$62,'Données projet'!$B$62,AI104+AH105-AQ104)))</f>
        <v>258.57666666666677</v>
      </c>
      <c r="AJ105" s="13">
        <f>AI105*VLOOKUP('Données projet'!$B$10,Paramètres!$A$1:$I$89,3,0)*VLOOKUP('Données projet'!$B$10,Paramètres!$A$1:$I$89,5,0)</f>
        <v>173.45322800000008</v>
      </c>
      <c r="AK105" s="13">
        <f t="shared" si="89"/>
        <v>43.862524280984751</v>
      </c>
      <c r="AL105" s="20">
        <f t="shared" si="58"/>
        <v>378.49160188938191</v>
      </c>
      <c r="AM105" s="59">
        <f t="shared" si="59"/>
        <v>664.90330645645759</v>
      </c>
      <c r="AN105" s="59">
        <f ca="1">AVERAGE(OFFSET($AM$3,0,0,'Données projet'!$E$10+1,1))-AVERAGE(OFFSET($H$3,0,0,'Données projet'!$E$10+1,1))</f>
        <v>377.00534440335832</v>
      </c>
      <c r="AO105" s="59">
        <f t="shared" si="90"/>
        <v>131.56029120000656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50.683411409793578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50.683411409793578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212.00000000000009</v>
      </c>
      <c r="BE105" s="13">
        <f>BD105*VLOOKUP('Données projet'!$B$11,Paramètres!$A$1:$I$89,3,0)*VLOOKUP('Données projet'!$B$11,Paramètres!$A$1:$I$89,5,0)</f>
        <v>185.20320000000009</v>
      </c>
      <c r="BF105" s="13">
        <f t="shared" si="91"/>
        <v>46.477875402099386</v>
      </c>
      <c r="BG105" s="20">
        <f t="shared" si="61"/>
        <v>403.5112063253232</v>
      </c>
      <c r="BH105" s="59">
        <f t="shared" si="62"/>
        <v>689.92291089239893</v>
      </c>
      <c r="BI105" s="59">
        <f ca="1">AVERAGE(OFFSET($BH$3,0,0,'Données projet'!$E$11+1,1))-AVERAGE(OFFSET($H$3,0,0,'Données projet'!$E$11+1,1))</f>
        <v>314.1123649635374</v>
      </c>
      <c r="BJ105" s="59">
        <f t="shared" si="92"/>
        <v>274.92342227914889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42.091667157863668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42.091667157863668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212.42519999999985</v>
      </c>
      <c r="CA105" s="13">
        <f t="shared" si="93"/>
        <v>52.465198231787184</v>
      </c>
      <c r="CB105" s="20">
        <f t="shared" si="64"/>
        <v>461.35077692036231</v>
      </c>
      <c r="CC105" s="59">
        <f t="shared" si="65"/>
        <v>747.76248148743798</v>
      </c>
      <c r="CD105" s="59">
        <f ca="1">AVERAGE(OFFSET($CC$3,0,0,'Données projet'!$E$12+1,1))-AVERAGE(OFFSET($H$3,0,0,'Données projet'!$E$12+1,1))</f>
        <v>309.86296291630748</v>
      </c>
      <c r="CE105" s="59">
        <f t="shared" si="94"/>
        <v>301.17633325088661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28.063286771413416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28.063286771413416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6.6</v>
      </c>
      <c r="CT105" s="12">
        <f>IF('Données projet'!$A$140&gt;35,CT104+CS105-DB104,IF(A105&lt;'Données projet'!$A$140,$CQ$205^A105,IF(A105='Données projet'!$A$140,'Données projet'!$B$140,CT104+CS105-DB104)))</f>
        <v>389.19999999999993</v>
      </c>
      <c r="CU105" s="17">
        <f>CT105*VLOOKUP('Données projet'!$B$13,Paramètres!$A$1:$I$89,3,0)*VLOOKUP('Données projet'!$B$13,Paramètres!$A$1:$I$89,5,0)</f>
        <v>333.93359999999996</v>
      </c>
      <c r="CV105" s="13">
        <f t="shared" si="95"/>
        <v>78.245279532276854</v>
      </c>
      <c r="CW105" s="20">
        <f t="shared" si="67"/>
        <v>717.87821518538203</v>
      </c>
      <c r="CX105" s="59">
        <f t="shared" si="68"/>
        <v>1004.2899197524578</v>
      </c>
      <c r="CY105" s="59">
        <f ca="1">AVERAGE(OFFSET($CX$3,0,0,'Données projet'!$E$13+1,1))-AVERAGE(OFFSET($H$3,0,0,'Données projet'!$E$13+1,1))</f>
        <v>462.66388549889928</v>
      </c>
      <c r="CZ105" s="59">
        <f t="shared" si="96"/>
        <v>265.3725203415089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103.23063197693607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103.23063197693607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210.25641030000014</v>
      </c>
      <c r="DP105" s="17">
        <f>DO105*VLOOKUP('Données projet'!$B$14,Paramètres!$A$1:$I$89,3,0)*VLOOKUP('Données projet'!$B$14,Paramètres!$A$1:$I$89,5,0)</f>
        <v>164.00000003400012</v>
      </c>
      <c r="DQ105" s="13">
        <f t="shared" si="97"/>
        <v>41.743425916009095</v>
      </c>
      <c r="DR105" s="20">
        <f t="shared" si="70"/>
        <v>358.3364668629327</v>
      </c>
      <c r="DS105" s="59">
        <f t="shared" si="71"/>
        <v>644.74817143000837</v>
      </c>
      <c r="DT105" s="59">
        <f ca="1">AVERAGE(OFFSET($DS$3,0,0,'Données projet'!$E$14+1,1))-AVERAGE(OFFSET($H$3,0,0,'Données projet'!$E$14+1,1))</f>
        <v>206.5241977687125</v>
      </c>
      <c r="DU105" s="59">
        <f t="shared" si="98"/>
        <v>205.25001043771269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16.799911156026432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16.799911156026432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155.99999999999991</v>
      </c>
      <c r="EK105" s="17">
        <f>EJ105*VLOOKUP('Données projet'!$B$15,Paramètres!$A$1:$I$89,3,0)*VLOOKUP('Données projet'!$B$15,Paramètres!$A$1:$I$89,5,0)</f>
        <v>136.28159999999994</v>
      </c>
      <c r="EL105" s="13">
        <f t="shared" si="99"/>
        <v>35.443842312892279</v>
      </c>
      <c r="EM105" s="20">
        <f t="shared" si="73"/>
        <v>299.08847869495395</v>
      </c>
      <c r="EN105" s="59">
        <f t="shared" si="74"/>
        <v>585.50018326202962</v>
      </c>
      <c r="EO105" s="59">
        <f ca="1">AVERAGE(OFFSET($EN$3,0,0,'Données projet'!$E$15+1,1))-AVERAGE(OFFSET($H$3,0,0,'Données projet'!$E$15+1,1))</f>
        <v>205.83135724908942</v>
      </c>
      <c r="EP105" s="59">
        <f t="shared" si="100"/>
        <v>193.60053377311405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16.730064184593495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16.730064184593495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204.00000000000017</v>
      </c>
      <c r="FF105" s="17">
        <f>FE105*VLOOKUP('Données projet'!$B$16,Paramètres!$A$1:$I$89,3,0)*VLOOKUP('Données projet'!$B$16,Paramètres!$A$1:$I$89,5,0)</f>
        <v>133.66080000000011</v>
      </c>
      <c r="FG105" s="13">
        <f t="shared" si="101"/>
        <v>34.840890682716783</v>
      </c>
      <c r="FH105" s="20">
        <f t="shared" si="76"/>
        <v>293.4737779390652</v>
      </c>
      <c r="FI105" s="59">
        <f t="shared" si="77"/>
        <v>579.88548250614087</v>
      </c>
      <c r="FJ105" s="59">
        <f ca="1">AVERAGE(OFFSET($FI$3,0,0,'Données projet'!$E$16+1,1))-AVERAGE(OFFSET($H$3,0,0,'Données projet'!$E$16+1,1))</f>
        <v>242.76791261317206</v>
      </c>
      <c r="FK105" s="59">
        <f t="shared" si="102"/>
        <v>244.28580264867682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31.076170775024107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31.076170775024107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7.2909999999999968</v>
      </c>
      <c r="FZ105" s="12">
        <f>IF('Données projet'!$A$244&gt;35,FZ104+FY105-GH104,IF(A105&lt;'Données projet'!$A$244,$FW$205^A105,IF(A105='Données projet'!$A$244,'Données projet'!$B$244,FZ104+FY105-GH104)))</f>
        <v>330.41900000000004</v>
      </c>
      <c r="GA105" s="17">
        <f>FZ105*VLOOKUP('Données projet'!$B$17,Paramètres!$A$1:$I$89,3,0)*VLOOKUP('Données projet'!$B$17,Paramètres!$A$1:$I$89,5,0)</f>
        <v>314.42672040000002</v>
      </c>
      <c r="GB105" s="13">
        <f t="shared" si="103"/>
        <v>74.192541317847798</v>
      </c>
      <c r="GC105" s="20">
        <f t="shared" si="79"/>
        <v>676.84521415858501</v>
      </c>
      <c r="GD105" s="59">
        <f t="shared" si="80"/>
        <v>963.25691872566063</v>
      </c>
      <c r="GE105" s="59">
        <f ca="1">AVERAGE(OFFSET($GD$3,0,0,'Données projet'!$E$17+1,1))-AVERAGE(OFFSET($H$3,0,0,'Données projet'!$E$17+1,1))</f>
        <v>512.71941256120977</v>
      </c>
      <c r="GF105" s="59">
        <f t="shared" si="104"/>
        <v>230.65031527019354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76.148652516070982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76.148652516070982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68.11228306374791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-5.6843418860808015E-14</v>
      </c>
      <c r="GV105" s="17">
        <f>GU105*VLOOKUP('Données projet'!$B$18,Paramètres!$A$1:$I$89,3,0)*VLOOKUP('Données projet'!$B$18,Paramètres!$A$1:$I$89,5,0)</f>
        <v>-2.5006556825246661E-14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180.68917161146683</v>
      </c>
      <c r="HA105" s="59">
        <f t="shared" si="106"/>
        <v>344.42126252322419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15.365310863097049</v>
      </c>
      <c r="HH105" s="21">
        <f>EXP(-LN(2)/25)*HH104+(1-EXP(-LN(2)/25))/(LN(2)/25)*Calculateur!HC105*Calculateur!HE105*VLOOKUP('Données projet'!$B$18,Paramètres!$A$1:$I$89,3,0)*0.475*44/12</f>
        <v>2.2501414688097752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17.615452331906823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2.25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8.25</v>
      </c>
      <c r="H106" s="66">
        <f t="shared" si="56"/>
        <v>223.66666666666666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337.71</v>
      </c>
      <c r="L106" s="12">
        <f>VLOOKUP(A106,'Données projet'!$A$35:$I$55,9,0)</f>
        <v>7.2909999999999968</v>
      </c>
      <c r="M106" s="12">
        <f t="array" ref="M106">INDEX(L:L,MIN(IF(ISNUMBER(L106:L302),ROW(L106:L302),"")))</f>
        <v>7.2909999999999968</v>
      </c>
      <c r="N106" s="13">
        <f>IF('Données projet'!$A$36&gt;35,N105+M106-V105,IF(A106&lt;'Données projet'!$A$36,$K$205^A106,IF(A106='Données projet'!$A$36,'Données projet'!$B$36,N105+M106-V105)))</f>
        <v>337.71000000000004</v>
      </c>
      <c r="O106" s="13">
        <f>N106*VLOOKUP('Données projet'!$B$9,Paramètres!$A$1:$I$89,3,0)*VLOOKUP('Données projet'!$B$9,Paramètres!$A$1:$I$89,5,0)</f>
        <v>305.56000800000004</v>
      </c>
      <c r="P106" s="13">
        <f t="shared" si="87"/>
        <v>72.340806046688243</v>
      </c>
      <c r="Q106" s="20">
        <f t="shared" si="107"/>
        <v>658.17725113131553</v>
      </c>
      <c r="R106" s="59">
        <f t="shared" si="55"/>
        <v>944.70903048304206</v>
      </c>
      <c r="S106" s="59">
        <f ca="1">AVERAGE(OFFSET($R$3,0,0,'Données projet'!$E$9+1,1))-AVERAGE(OFFSET($H$3,0,0,'Données projet'!$E$9+1,1))</f>
        <v>490.57849401500789</v>
      </c>
      <c r="T106" s="59">
        <f t="shared" si="88"/>
        <v>221.7570623669753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50.51</v>
      </c>
      <c r="W106" s="16">
        <f>IF(ISNA(VLOOKUP(A106,'Données projet'!$A$35:$I$55,5,0)),0%,VLOOKUP(A106,'Données projet'!$A$35:$I$55,5,0)*VLOOKUP('Données projet'!$B$9,Paramètres!$A$1:$I$89,7,0))</f>
        <v>0.43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92.708132400684292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92.708132400684292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6.3966666666666692</v>
      </c>
      <c r="AI106" s="13">
        <f>IF('Données projet'!$A$62&gt;35,AI105+AH106-AQ105,IF(A106&lt;'Données projet'!$A$62,$AF$205^A106,IF(A106='Données projet'!$A$62,'Données projet'!$B$62,AI105+AH106-AQ105)))</f>
        <v>264.97333333333341</v>
      </c>
      <c r="AJ106" s="13">
        <f>AI106*VLOOKUP('Données projet'!$B$10,Paramètres!$A$1:$I$89,3,0)*VLOOKUP('Données projet'!$B$10,Paramètres!$A$1:$I$89,5,0)</f>
        <v>177.74411200000006</v>
      </c>
      <c r="AK106" s="13">
        <f t="shared" si="89"/>
        <v>44.819924847038692</v>
      </c>
      <c r="AL106" s="20">
        <f t="shared" si="58"/>
        <v>387.63236417525917</v>
      </c>
      <c r="AM106" s="59">
        <f t="shared" si="59"/>
        <v>674.16414352698575</v>
      </c>
      <c r="AN106" s="59">
        <f ca="1">AVERAGE(OFFSET($AM$3,0,0,'Données projet'!$E$10+1,1))-AVERAGE(OFFSET($H$3,0,0,'Données projet'!$E$10+1,1))</f>
        <v>377.00534440335832</v>
      </c>
      <c r="AO106" s="59">
        <f t="shared" si="90"/>
        <v>131.56029120000656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49.689540625875999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49.689540625875999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212.00000000000009</v>
      </c>
      <c r="BE106" s="13">
        <f>BD106*VLOOKUP('Données projet'!$B$11,Paramètres!$A$1:$I$89,3,0)*VLOOKUP('Données projet'!$B$11,Paramètres!$A$1:$I$89,5,0)</f>
        <v>185.20320000000009</v>
      </c>
      <c r="BF106" s="13">
        <f t="shared" si="91"/>
        <v>46.477875402099386</v>
      </c>
      <c r="BG106" s="20">
        <f t="shared" si="61"/>
        <v>403.5112063253232</v>
      </c>
      <c r="BH106" s="59">
        <f t="shared" si="62"/>
        <v>690.04298567704973</v>
      </c>
      <c r="BI106" s="59">
        <f ca="1">AVERAGE(OFFSET($BH$3,0,0,'Données projet'!$E$11+1,1))-AVERAGE(OFFSET($H$3,0,0,'Données projet'!$E$11+1,1))</f>
        <v>314.1123649635374</v>
      </c>
      <c r="BJ106" s="59">
        <f t="shared" si="92"/>
        <v>274.92342227914889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41.266275238279889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41.266275238279889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212.42519999999985</v>
      </c>
      <c r="CA106" s="13">
        <f t="shared" si="93"/>
        <v>52.465198231787184</v>
      </c>
      <c r="CB106" s="20">
        <f t="shared" si="64"/>
        <v>461.35077692036231</v>
      </c>
      <c r="CC106" s="59">
        <f t="shared" si="65"/>
        <v>747.88255627208878</v>
      </c>
      <c r="CD106" s="59">
        <f ca="1">AVERAGE(OFFSET($CC$3,0,0,'Données projet'!$E$12+1,1))-AVERAGE(OFFSET($H$3,0,0,'Données projet'!$E$12+1,1))</f>
        <v>309.86296291630748</v>
      </c>
      <c r="CE106" s="59">
        <f t="shared" si="94"/>
        <v>301.17633325088661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27.512982834740775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27.512982834740775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6.6</v>
      </c>
      <c r="CT106" s="12">
        <f>IF('Données projet'!$A$140&gt;35,CT105+CS106-DB105,IF(A106&lt;'Données projet'!$A$140,$CQ$205^A106,IF(A106='Données projet'!$A$140,'Données projet'!$B$140,CT105+CS106-DB105)))</f>
        <v>395.79999999999995</v>
      </c>
      <c r="CU106" s="17">
        <f>CT106*VLOOKUP('Données projet'!$B$13,Paramètres!$A$1:$I$89,3,0)*VLOOKUP('Données projet'!$B$13,Paramètres!$A$1:$I$89,5,0)</f>
        <v>339.59640000000002</v>
      </c>
      <c r="CV106" s="13">
        <f t="shared" si="95"/>
        <v>79.416554343021332</v>
      </c>
      <c r="CW106" s="20">
        <f t="shared" si="67"/>
        <v>729.7808954807623</v>
      </c>
      <c r="CX106" s="59">
        <f t="shared" si="68"/>
        <v>1016.3126748324888</v>
      </c>
      <c r="CY106" s="59">
        <f ca="1">AVERAGE(OFFSET($CX$3,0,0,'Données projet'!$E$13+1,1))-AVERAGE(OFFSET($H$3,0,0,'Données projet'!$E$13+1,1))</f>
        <v>462.66388549889928</v>
      </c>
      <c r="CZ106" s="59">
        <f t="shared" si="96"/>
        <v>265.3725203415089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101.20634224833663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101.20634224833663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210.25641030000014</v>
      </c>
      <c r="DP106" s="17">
        <f>DO106*VLOOKUP('Données projet'!$B$14,Paramètres!$A$1:$I$89,3,0)*VLOOKUP('Données projet'!$B$14,Paramètres!$A$1:$I$89,5,0)</f>
        <v>164.00000003400012</v>
      </c>
      <c r="DQ106" s="13">
        <f t="shared" si="97"/>
        <v>41.743425916009095</v>
      </c>
      <c r="DR106" s="20">
        <f t="shared" si="70"/>
        <v>358.3364668629327</v>
      </c>
      <c r="DS106" s="59">
        <f t="shared" si="71"/>
        <v>644.86824621465917</v>
      </c>
      <c r="DT106" s="59">
        <f ca="1">AVERAGE(OFFSET($DS$3,0,0,'Données projet'!$E$14+1,1))-AVERAGE(OFFSET($H$3,0,0,'Données projet'!$E$14+1,1))</f>
        <v>206.5241977687125</v>
      </c>
      <c r="DU106" s="59">
        <f t="shared" si="98"/>
        <v>205.25001043771269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16.470475145190758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16.470475145190758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155.99999999999991</v>
      </c>
      <c r="EK106" s="17">
        <f>EJ106*VLOOKUP('Données projet'!$B$15,Paramètres!$A$1:$I$89,3,0)*VLOOKUP('Données projet'!$B$15,Paramètres!$A$1:$I$89,5,0)</f>
        <v>136.28159999999994</v>
      </c>
      <c r="EL106" s="13">
        <f t="shared" si="99"/>
        <v>35.443842312892279</v>
      </c>
      <c r="EM106" s="20">
        <f t="shared" si="73"/>
        <v>299.08847869495395</v>
      </c>
      <c r="EN106" s="59">
        <f t="shared" si="74"/>
        <v>585.62025804668042</v>
      </c>
      <c r="EO106" s="59">
        <f ca="1">AVERAGE(OFFSET($EN$3,0,0,'Données projet'!$E$15+1,1))-AVERAGE(OFFSET($H$3,0,0,'Données projet'!$E$15+1,1))</f>
        <v>205.83135724908942</v>
      </c>
      <c r="EP106" s="59">
        <f t="shared" si="100"/>
        <v>193.60053377311405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16.401997830265174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16.401997830265174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204.00000000000017</v>
      </c>
      <c r="FF106" s="17">
        <f>FE106*VLOOKUP('Données projet'!$B$16,Paramètres!$A$1:$I$89,3,0)*VLOOKUP('Données projet'!$B$16,Paramètres!$A$1:$I$89,5,0)</f>
        <v>133.66080000000011</v>
      </c>
      <c r="FG106" s="13">
        <f t="shared" si="101"/>
        <v>34.840890682716783</v>
      </c>
      <c r="FH106" s="20">
        <f t="shared" si="76"/>
        <v>293.4737779390652</v>
      </c>
      <c r="FI106" s="59">
        <f t="shared" si="77"/>
        <v>580.00555729079178</v>
      </c>
      <c r="FJ106" s="59">
        <f ca="1">AVERAGE(OFFSET($FI$3,0,0,'Données projet'!$E$16+1,1))-AVERAGE(OFFSET($H$3,0,0,'Données projet'!$E$16+1,1))</f>
        <v>242.76791261317206</v>
      </c>
      <c r="FK106" s="59">
        <f t="shared" si="102"/>
        <v>244.28580264867682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30.466786020718445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30.466786020718445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>
        <f>VLOOKUP(A106,'Données projet'!$A$243:$I$263,2,0)</f>
        <v>337.71</v>
      </c>
      <c r="FX106" s="12">
        <f>VLOOKUP(A106,'Données projet'!$A$243:$I$263,9,0)</f>
        <v>7.2909999999999968</v>
      </c>
      <c r="FY106" s="12">
        <f t="array" ref="FY106">INDEX(FX:FX,MIN(IF(ISNUMBER(FX106:FX302),ROW(FX106:FX302),"")))</f>
        <v>7.2909999999999968</v>
      </c>
      <c r="FZ106" s="12">
        <f>IF('Données projet'!$A$244&gt;35,FZ105+FY106-GH105,IF(A106&lt;'Données projet'!$A$244,$FW$205^A106,IF(A106='Données projet'!$A$244,'Données projet'!$B$244,FZ105+FY106-GH105)))</f>
        <v>337.71000000000004</v>
      </c>
      <c r="GA106" s="17">
        <f>FZ106*VLOOKUP('Données projet'!$B$17,Paramètres!$A$1:$I$89,3,0)*VLOOKUP('Données projet'!$B$17,Paramètres!$A$1:$I$89,5,0)</f>
        <v>321.36483600000003</v>
      </c>
      <c r="GB106" s="13">
        <f t="shared" si="103"/>
        <v>75.637263954927846</v>
      </c>
      <c r="GC106" s="20">
        <f t="shared" si="79"/>
        <v>691.44532408816588</v>
      </c>
      <c r="GD106" s="59">
        <f t="shared" si="80"/>
        <v>977.9771034398924</v>
      </c>
      <c r="GE106" s="59">
        <f ca="1">AVERAGE(OFFSET($GD$3,0,0,'Données projet'!$E$17+1,1))-AVERAGE(OFFSET($H$3,0,0,'Données projet'!$E$17+1,1))</f>
        <v>512.71941256120977</v>
      </c>
      <c r="GF106" s="59">
        <f t="shared" si="104"/>
        <v>230.65031527019354</v>
      </c>
      <c r="GG106" s="15">
        <f>IF(ISNA(VLOOKUP(A106,'Données projet'!$A$243:$I$263,3,0)),0,VLOOKUP(A106,'Données projet'!$A$243:$I$263,3,0))</f>
        <v>8</v>
      </c>
      <c r="GH106" s="15">
        <f>IF(ISNA(VLOOKUP(A106,'Données projet'!$A$243:$I$263,4,0)),0,VLOOKUP(A106,'Données projet'!$A$243:$I$263,4,0))</f>
        <v>50.51</v>
      </c>
      <c r="GI106" s="16">
        <f>IF(ISNA(VLOOKUP(A106,'Données projet'!$A$243:$I$263,5,0)),0%,VLOOKUP(A106,'Données projet'!$A$243:$I$263,5,0)*VLOOKUP('Données projet'!$B$17,Paramètres!$A$1:$I$89,7,0))</f>
        <v>0.43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97.503380628305905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97.503380628305905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68.145030732289058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-5.6843418860808015E-14</v>
      </c>
      <c r="GV106" s="17">
        <f>GU106*VLOOKUP('Données projet'!$B$18,Paramètres!$A$1:$I$89,3,0)*VLOOKUP('Données projet'!$B$18,Paramètres!$A$1:$I$89,5,0)</f>
        <v>-2.5006556825246661E-14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180.68917161146683</v>
      </c>
      <c r="HA106" s="59">
        <f t="shared" si="106"/>
        <v>344.42126252322419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15.064006488985942</v>
      </c>
      <c r="HH106" s="21">
        <f>EXP(-LN(2)/25)*HH105+(1-EXP(-LN(2)/25))/(LN(2)/25)*Calculateur!HC106*Calculateur!HE106*VLOOKUP('Données projet'!$B$18,Paramètres!$A$1:$I$89,3,0)*0.475*44/12</f>
        <v>2.1886112320153748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17.252617721001318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2.25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8.25</v>
      </c>
      <c r="H107" s="66">
        <f t="shared" si="56"/>
        <v>223.66666666666666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6.8850000000000025</v>
      </c>
      <c r="N107" s="13">
        <f>IF('Données projet'!$A$36&gt;35,N106+M107-V106,IF(A107&lt;'Données projet'!$A$36,$K$205^A107,IF(A107='Données projet'!$A$36,'Données projet'!$B$36,N106+M107-V106)))</f>
        <v>294.08500000000004</v>
      </c>
      <c r="O107" s="13">
        <f>N107*VLOOKUP('Données projet'!$B$9,Paramètres!$A$1:$I$89,3,0)*VLOOKUP('Données projet'!$B$9,Paramètres!$A$1:$I$89,5,0)</f>
        <v>266.08810800000003</v>
      </c>
      <c r="P107" s="13">
        <f t="shared" si="87"/>
        <v>64.018363220823872</v>
      </c>
      <c r="Q107" s="20">
        <f t="shared" si="107"/>
        <v>574.93543737626817</v>
      </c>
      <c r="R107" s="59">
        <f t="shared" si="55"/>
        <v>861.58520848357898</v>
      </c>
      <c r="S107" s="59">
        <f ca="1">AVERAGE(OFFSET($R$3,0,0,'Données projet'!$E$9+1,1))-AVERAGE(OFFSET($H$3,0,0,'Données projet'!$E$9+1,1))</f>
        <v>490.57849401500789</v>
      </c>
      <c r="T107" s="59">
        <f t="shared" si="88"/>
        <v>221.7570623669753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90.890182470684152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90.890182470684152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271.37</v>
      </c>
      <c r="AG107" s="12">
        <f>VLOOKUP(A107,'Données projet'!$A$61:$I$81,9,0)</f>
        <v>6.3966666666666692</v>
      </c>
      <c r="AH107" s="12">
        <f t="array" ref="AH107">INDEX(AG:AG,MIN(IF(ISNUMBER(AG107:AG303),ROW(AG107:AG303),"")))</f>
        <v>6.3966666666666692</v>
      </c>
      <c r="AI107" s="13">
        <f>IF('Données projet'!$A$62&gt;35,AI106+AH107-AQ106,IF(A107&lt;'Données projet'!$A$62,$AF$205^A107,IF(A107='Données projet'!$A$62,'Données projet'!$B$62,AI106+AH107-AQ106)))</f>
        <v>271.37000000000006</v>
      </c>
      <c r="AJ107" s="13">
        <f>AI107*VLOOKUP('Données projet'!$B$10,Paramètres!$A$1:$I$89,3,0)*VLOOKUP('Données projet'!$B$10,Paramètres!$A$1:$I$89,5,0)</f>
        <v>182.03499600000004</v>
      </c>
      <c r="AK107" s="13">
        <f t="shared" si="89"/>
        <v>45.774638629072875</v>
      </c>
      <c r="AL107" s="20">
        <f t="shared" si="58"/>
        <v>396.7684469789686</v>
      </c>
      <c r="AM107" s="59">
        <f t="shared" si="59"/>
        <v>683.41821808627935</v>
      </c>
      <c r="AN107" s="59">
        <f ca="1">AVERAGE(OFFSET($AM$3,0,0,'Données projet'!$E$10+1,1))-AVERAGE(OFFSET($H$3,0,0,'Données projet'!$E$10+1,1))</f>
        <v>377.00534440335832</v>
      </c>
      <c r="AO107" s="59">
        <f t="shared" si="90"/>
        <v>131.56029120000656</v>
      </c>
      <c r="AP107" s="15">
        <f>IF(ISNA(VLOOKUP(A107,'Données projet'!$A$61:$I$81,3,0)),0,VLOOKUP(A107,'Données projet'!$A$61:$I$81,3,0))</f>
        <v>6</v>
      </c>
      <c r="AQ107" s="15">
        <f>IF(ISNA(VLOOKUP(A107,'Données projet'!$A$61:$I$81,4,0)),0,VLOOKUP(A107,'Données projet'!$A$61:$I$81,4,0))</f>
        <v>35.979999999999997</v>
      </c>
      <c r="AR107" s="16">
        <f>IF(ISNA(VLOOKUP(A107,'Données projet'!$A$61:$I$81,5,0)),0%,VLOOKUP(A107,'Données projet'!$A$61:$I$81,5,0)*VLOOKUP('Données projet'!$B$10,Paramètres!$A$1:$I$89,7,0))</f>
        <v>0.53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62.856063660476075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62.856063660476075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212.00000000000009</v>
      </c>
      <c r="BE107" s="13">
        <f>BD107*VLOOKUP('Données projet'!$B$11,Paramètres!$A$1:$I$89,3,0)*VLOOKUP('Données projet'!$B$11,Paramètres!$A$1:$I$89,5,0)</f>
        <v>185.20320000000009</v>
      </c>
      <c r="BF107" s="13">
        <f t="shared" si="91"/>
        <v>46.477875402099386</v>
      </c>
      <c r="BG107" s="20">
        <f t="shared" si="61"/>
        <v>403.5112063253232</v>
      </c>
      <c r="BH107" s="59">
        <f t="shared" si="62"/>
        <v>690.1609774326339</v>
      </c>
      <c r="BI107" s="59">
        <f ca="1">AVERAGE(OFFSET($BH$3,0,0,'Données projet'!$E$11+1,1))-AVERAGE(OFFSET($H$3,0,0,'Données projet'!$E$11+1,1))</f>
        <v>314.1123649635374</v>
      </c>
      <c r="BJ107" s="59">
        <f t="shared" si="92"/>
        <v>274.92342227914889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40.457068750799792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40.457068750799792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212.42519999999985</v>
      </c>
      <c r="CA107" s="13">
        <f t="shared" si="93"/>
        <v>52.465198231787184</v>
      </c>
      <c r="CB107" s="20">
        <f t="shared" si="64"/>
        <v>461.35077692036231</v>
      </c>
      <c r="CC107" s="59">
        <f t="shared" si="65"/>
        <v>748.00054802767306</v>
      </c>
      <c r="CD107" s="59">
        <f ca="1">AVERAGE(OFFSET($CC$3,0,0,'Données projet'!$E$12+1,1))-AVERAGE(OFFSET($H$3,0,0,'Données projet'!$E$12+1,1))</f>
        <v>309.86296291630748</v>
      </c>
      <c r="CE107" s="59">
        <f t="shared" si="94"/>
        <v>301.17633325088661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26.973470022614027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26.973470022614027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6.6</v>
      </c>
      <c r="CT107" s="12">
        <f>IF('Données projet'!$A$140&gt;35,CT106+CS107-DB106,IF(A107&lt;'Données projet'!$A$140,$CQ$205^A107,IF(A107='Données projet'!$A$140,'Données projet'!$B$140,CT106+CS107-DB106)))</f>
        <v>402.4</v>
      </c>
      <c r="CU107" s="17">
        <f>CT107*VLOOKUP('Données projet'!$B$13,Paramètres!$A$1:$I$89,3,0)*VLOOKUP('Données projet'!$B$13,Paramètres!$A$1:$I$89,5,0)</f>
        <v>345.25920000000002</v>
      </c>
      <c r="CV107" s="13">
        <f t="shared" si="95"/>
        <v>80.585557826060622</v>
      </c>
      <c r="CW107" s="20">
        <f t="shared" si="67"/>
        <v>741.67961988038894</v>
      </c>
      <c r="CX107" s="59">
        <f t="shared" si="68"/>
        <v>1028.3293909876998</v>
      </c>
      <c r="CY107" s="59">
        <f ca="1">AVERAGE(OFFSET($CX$3,0,0,'Données projet'!$E$13+1,1))-AVERAGE(OFFSET($H$3,0,0,'Données projet'!$E$13+1,1))</f>
        <v>462.66388549889928</v>
      </c>
      <c r="CZ107" s="59">
        <f t="shared" si="96"/>
        <v>265.3725203415089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99.221747606620212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99.221747606620212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210.25641030000014</v>
      </c>
      <c r="DP107" s="17">
        <f>DO107*VLOOKUP('Données projet'!$B$14,Paramètres!$A$1:$I$89,3,0)*VLOOKUP('Données projet'!$B$14,Paramètres!$A$1:$I$89,5,0)</f>
        <v>164.00000003400012</v>
      </c>
      <c r="DQ107" s="13">
        <f t="shared" si="97"/>
        <v>41.743425916009095</v>
      </c>
      <c r="DR107" s="20">
        <f t="shared" si="70"/>
        <v>358.3364668629327</v>
      </c>
      <c r="DS107" s="59">
        <f t="shared" si="71"/>
        <v>644.98623797024345</v>
      </c>
      <c r="DT107" s="59">
        <f ca="1">AVERAGE(OFFSET($DS$3,0,0,'Données projet'!$E$14+1,1))-AVERAGE(OFFSET($H$3,0,0,'Données projet'!$E$14+1,1))</f>
        <v>206.5241977687125</v>
      </c>
      <c r="DU107" s="59">
        <f t="shared" si="98"/>
        <v>205.25001043771269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16.147499173591445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16.147499173591445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155.99999999999991</v>
      </c>
      <c r="EK107" s="17">
        <f>EJ107*VLOOKUP('Données projet'!$B$15,Paramètres!$A$1:$I$89,3,0)*VLOOKUP('Données projet'!$B$15,Paramètres!$A$1:$I$89,5,0)</f>
        <v>136.28159999999994</v>
      </c>
      <c r="EL107" s="13">
        <f t="shared" si="99"/>
        <v>35.443842312892279</v>
      </c>
      <c r="EM107" s="20">
        <f t="shared" si="73"/>
        <v>299.08847869495395</v>
      </c>
      <c r="EN107" s="59">
        <f t="shared" si="74"/>
        <v>585.7382498022647</v>
      </c>
      <c r="EO107" s="59">
        <f ca="1">AVERAGE(OFFSET($EN$3,0,0,'Données projet'!$E$15+1,1))-AVERAGE(OFFSET($H$3,0,0,'Données projet'!$E$15+1,1))</f>
        <v>205.83135724908942</v>
      </c>
      <c r="EP107" s="59">
        <f t="shared" si="100"/>
        <v>193.60053377311405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16.080364657044516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16.080364657044516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204.00000000000017</v>
      </c>
      <c r="FF107" s="17">
        <f>FE107*VLOOKUP('Données projet'!$B$16,Paramètres!$A$1:$I$89,3,0)*VLOOKUP('Données projet'!$B$16,Paramètres!$A$1:$I$89,5,0)</f>
        <v>133.66080000000011</v>
      </c>
      <c r="FG107" s="13">
        <f t="shared" si="101"/>
        <v>34.840890682716783</v>
      </c>
      <c r="FH107" s="20">
        <f t="shared" si="76"/>
        <v>293.4737779390652</v>
      </c>
      <c r="FI107" s="59">
        <f t="shared" si="77"/>
        <v>580.12354904637596</v>
      </c>
      <c r="FJ107" s="59">
        <f ca="1">AVERAGE(OFFSET($FI$3,0,0,'Données projet'!$E$16+1,1))-AVERAGE(OFFSET($H$3,0,0,'Données projet'!$E$16+1,1))</f>
        <v>242.76791261317206</v>
      </c>
      <c r="FK107" s="59">
        <f t="shared" si="102"/>
        <v>244.28580264867682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29.86935092975672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29.86935092975672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6.8850000000000025</v>
      </c>
      <c r="FZ107" s="12">
        <f>IF('Données projet'!$A$244&gt;35,FZ106+FY107-GH106,IF(A107&lt;'Données projet'!$A$244,$FW$205^A107,IF(A107='Données projet'!$A$244,'Données projet'!$B$244,FZ106+FY107-GH106)))</f>
        <v>294.08500000000004</v>
      </c>
      <c r="GA107" s="17">
        <f>FZ107*VLOOKUP('Données projet'!$B$17,Paramètres!$A$1:$I$89,3,0)*VLOOKUP('Données projet'!$B$17,Paramètres!$A$1:$I$89,5,0)</f>
        <v>279.85128600000002</v>
      </c>
      <c r="GB107" s="13">
        <f t="shared" si="103"/>
        <v>66.93558036622926</v>
      </c>
      <c r="GC107" s="20">
        <f t="shared" si="79"/>
        <v>603.98712558784928</v>
      </c>
      <c r="GD107" s="59">
        <f t="shared" si="80"/>
        <v>890.63689669515998</v>
      </c>
      <c r="GE107" s="59">
        <f ca="1">AVERAGE(OFFSET($GD$3,0,0,'Données projet'!$E$17+1,1))-AVERAGE(OFFSET($H$3,0,0,'Données projet'!$E$17+1,1))</f>
        <v>512.71941256120977</v>
      </c>
      <c r="GF107" s="59">
        <f t="shared" si="104"/>
        <v>230.65031527019354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95.591398805374723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95.591398805374723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68.177210301993838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-5.6843418860808015E-14</v>
      </c>
      <c r="GV107" s="17">
        <f>GU107*VLOOKUP('Données projet'!$B$18,Paramètres!$A$1:$I$89,3,0)*VLOOKUP('Données projet'!$B$18,Paramètres!$A$1:$I$89,5,0)</f>
        <v>-2.5006556825246661E-14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180.68917161146683</v>
      </c>
      <c r="HA107" s="59">
        <f t="shared" si="106"/>
        <v>344.42126252322419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14.768610509873634</v>
      </c>
      <c r="HH107" s="21">
        <f>EXP(-LN(2)/25)*HH106+(1-EXP(-LN(2)/25))/(LN(2)/25)*Calculateur!HC107*Calculateur!HE107*VLOOKUP('Données projet'!$B$18,Paramètres!$A$1:$I$89,3,0)*0.475*44/12</f>
        <v>2.1287635427818516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16.897374052655486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2.25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8.25</v>
      </c>
      <c r="H108" s="66">
        <f t="shared" si="56"/>
        <v>223.66666666666666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6.8850000000000025</v>
      </c>
      <c r="N108" s="13">
        <f>IF('Données projet'!$A$36&gt;35,N107+M108-V107,IF(A108&lt;'Données projet'!$A$36,$K$205^A108,IF(A108='Données projet'!$A$36,'Données projet'!$B$36,N107+M108-V107)))</f>
        <v>300.97000000000003</v>
      </c>
      <c r="O108" s="13">
        <f>N108*VLOOKUP('Données projet'!$B$9,Paramètres!$A$1:$I$89,3,0)*VLOOKUP('Données projet'!$B$9,Paramètres!$A$1:$I$89,5,0)</f>
        <v>272.317656</v>
      </c>
      <c r="P108" s="13">
        <f t="shared" si="87"/>
        <v>65.34088943839879</v>
      </c>
      <c r="Q108" s="20">
        <f t="shared" si="107"/>
        <v>588.08863330521115</v>
      </c>
      <c r="R108" s="59">
        <f t="shared" si="55"/>
        <v>874.85434927493679</v>
      </c>
      <c r="S108" s="59">
        <f ca="1">AVERAGE(OFFSET($R$3,0,0,'Données projet'!$E$9+1,1))-AVERAGE(OFFSET($H$3,0,0,'Données projet'!$E$9+1,1))</f>
        <v>490.57849401500789</v>
      </c>
      <c r="T108" s="59">
        <f t="shared" si="88"/>
        <v>221.7570623669753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89.107881429971343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89.107881429971343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6.5011111111111068</v>
      </c>
      <c r="AI108" s="13">
        <f>IF('Données projet'!$A$62&gt;35,AI107+AH108-AQ107,IF(A108&lt;'Données projet'!$A$62,$AF$205^A108,IF(A108='Données projet'!$A$62,'Données projet'!$B$62,AI107+AH108-AQ107)))</f>
        <v>241.8911111111112</v>
      </c>
      <c r="AJ108" s="13">
        <f>AI108*VLOOKUP('Données projet'!$B$10,Paramètres!$A$1:$I$89,3,0)*VLOOKUP('Données projet'!$B$10,Paramètres!$A$1:$I$89,5,0)</f>
        <v>162.2605573333334</v>
      </c>
      <c r="AK108" s="13">
        <f t="shared" si="89"/>
        <v>41.351973352321714</v>
      </c>
      <c r="AL108" s="20">
        <f t="shared" si="58"/>
        <v>354.62515761084933</v>
      </c>
      <c r="AM108" s="59">
        <f t="shared" si="59"/>
        <v>641.39087358057498</v>
      </c>
      <c r="AN108" s="59">
        <f ca="1">AVERAGE(OFFSET($AM$3,0,0,'Données projet'!$E$10+1,1))-AVERAGE(OFFSET($H$3,0,0,'Données projet'!$E$10+1,1))</f>
        <v>377.00534440335832</v>
      </c>
      <c r="AO108" s="59">
        <f t="shared" si="90"/>
        <v>131.56029120000656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61.62349459050737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61.62349459050737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212.00000000000009</v>
      </c>
      <c r="BE108" s="13">
        <f>BD108*VLOOKUP('Données projet'!$B$11,Paramètres!$A$1:$I$89,3,0)*VLOOKUP('Données projet'!$B$11,Paramètres!$A$1:$I$89,5,0)</f>
        <v>185.20320000000009</v>
      </c>
      <c r="BF108" s="13">
        <f t="shared" si="91"/>
        <v>46.477875402099386</v>
      </c>
      <c r="BG108" s="20">
        <f t="shared" si="61"/>
        <v>403.5112063253232</v>
      </c>
      <c r="BH108" s="59">
        <f t="shared" si="62"/>
        <v>690.27692229504885</v>
      </c>
      <c r="BI108" s="59">
        <f ca="1">AVERAGE(OFFSET($BH$3,0,0,'Données projet'!$E$11+1,1))-AVERAGE(OFFSET($H$3,0,0,'Données projet'!$E$11+1,1))</f>
        <v>314.1123649635374</v>
      </c>
      <c r="BJ108" s="59">
        <f t="shared" si="92"/>
        <v>274.92342227914889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39.663730308971957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39.663730308971957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212.42519999999985</v>
      </c>
      <c r="CA108" s="13">
        <f t="shared" si="93"/>
        <v>52.465198231787184</v>
      </c>
      <c r="CB108" s="20">
        <f t="shared" si="64"/>
        <v>461.35077692036231</v>
      </c>
      <c r="CC108" s="59">
        <f t="shared" si="65"/>
        <v>748.11649289008801</v>
      </c>
      <c r="CD108" s="59">
        <f ca="1">AVERAGE(OFFSET($CC$3,0,0,'Données projet'!$E$12+1,1))-AVERAGE(OFFSET($H$3,0,0,'Données projet'!$E$12+1,1))</f>
        <v>309.86296291630748</v>
      </c>
      <c r="CE108" s="59">
        <f t="shared" si="94"/>
        <v>301.17633325088661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26.444536727662761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26.444536727662761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409</v>
      </c>
      <c r="CR108" s="12">
        <f>VLOOKUP(A108,'Données projet'!$A$139:$I$159,9,0)</f>
        <v>6.6</v>
      </c>
      <c r="CS108" s="12">
        <f t="array" ref="CS108">INDEX(CR:CR,MIN(IF(ISNUMBER(CR108:CR304),ROW(CR108:CR304),"")))</f>
        <v>6.6</v>
      </c>
      <c r="CT108" s="12">
        <f>IF('Données projet'!$A$140&gt;35,CT107+CS108-DB107,IF(A108&lt;'Données projet'!$A$140,$CQ$205^A108,IF(A108='Données projet'!$A$140,'Données projet'!$B$140,CT107+CS108-DB107)))</f>
        <v>409</v>
      </c>
      <c r="CU108" s="17">
        <f>CT108*VLOOKUP('Données projet'!$B$13,Paramètres!$A$1:$I$89,3,0)*VLOOKUP('Données projet'!$B$13,Paramètres!$A$1:$I$89,5,0)</f>
        <v>350.92200000000003</v>
      </c>
      <c r="CV108" s="13">
        <f t="shared" si="95"/>
        <v>81.752331535154511</v>
      </c>
      <c r="CW108" s="20">
        <f t="shared" si="67"/>
        <v>753.57446075706082</v>
      </c>
      <c r="CX108" s="59">
        <f t="shared" si="68"/>
        <v>1040.3401767267865</v>
      </c>
      <c r="CY108" s="59">
        <f ca="1">AVERAGE(OFFSET($CX$3,0,0,'Données projet'!$E$13+1,1))-AVERAGE(OFFSET($H$3,0,0,'Données projet'!$E$13+1,1))</f>
        <v>462.66388549889928</v>
      </c>
      <c r="CZ108" s="59">
        <f t="shared" si="96"/>
        <v>265.3725203415089</v>
      </c>
      <c r="DA108" s="15">
        <f>IF(ISNA(VLOOKUP(A108,'Données projet'!$A$139:$I$159,3,0)),0,VLOOKUP(A108,'Données projet'!$A$139:$I$159,3,0))</f>
        <v>17</v>
      </c>
      <c r="DB108" s="15">
        <f>IF(ISNA(VLOOKUP(A108,'Données projet'!$A$139:$I$159,4,0)),0,VLOOKUP(A108,'Données projet'!$A$139:$I$159,4,0))</f>
        <v>23</v>
      </c>
      <c r="DC108" s="16">
        <f>IF(ISNA(VLOOKUP(A108,'Données projet'!$A$139:$I$159,5,0)),0%,VLOOKUP(A108,'Données projet'!$A$139:$I$159,5,0)*VLOOKUP('Données projet'!$B$13,Paramètres!$A$1:$I$89,7,0))</f>
        <v>0.53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108.83820646428737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108.83820646428737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210.25641030000014</v>
      </c>
      <c r="DP108" s="17">
        <f>DO108*VLOOKUP('Données projet'!$B$14,Paramètres!$A$1:$I$89,3,0)*VLOOKUP('Données projet'!$B$14,Paramètres!$A$1:$I$89,5,0)</f>
        <v>164.00000003400012</v>
      </c>
      <c r="DQ108" s="13">
        <f t="shared" si="97"/>
        <v>41.743425916009095</v>
      </c>
      <c r="DR108" s="20">
        <f t="shared" si="70"/>
        <v>358.3364668629327</v>
      </c>
      <c r="DS108" s="59">
        <f t="shared" si="71"/>
        <v>645.1021828326584</v>
      </c>
      <c r="DT108" s="59">
        <f ca="1">AVERAGE(OFFSET($DS$3,0,0,'Données projet'!$E$14+1,1))-AVERAGE(OFFSET($H$3,0,0,'Données projet'!$E$14+1,1))</f>
        <v>206.5241977687125</v>
      </c>
      <c r="DU108" s="59">
        <f t="shared" si="98"/>
        <v>205.25001043771269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15.830856563799305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15.830856563799305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155.99999999999991</v>
      </c>
      <c r="EK108" s="17">
        <f>EJ108*VLOOKUP('Données projet'!$B$15,Paramètres!$A$1:$I$89,3,0)*VLOOKUP('Données projet'!$B$15,Paramètres!$A$1:$I$89,5,0)</f>
        <v>136.28159999999994</v>
      </c>
      <c r="EL108" s="13">
        <f t="shared" si="99"/>
        <v>35.443842312892279</v>
      </c>
      <c r="EM108" s="20">
        <f t="shared" si="73"/>
        <v>299.08847869495395</v>
      </c>
      <c r="EN108" s="59">
        <f t="shared" si="74"/>
        <v>585.85419466467965</v>
      </c>
      <c r="EO108" s="59">
        <f ca="1">AVERAGE(OFFSET($EN$3,0,0,'Données projet'!$E$15+1,1))-AVERAGE(OFFSET($H$3,0,0,'Données projet'!$E$15+1,1))</f>
        <v>205.83135724908942</v>
      </c>
      <c r="EP108" s="59">
        <f t="shared" si="100"/>
        <v>193.60053377311405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15.765038514173849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15.765038514173849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204.00000000000017</v>
      </c>
      <c r="FF108" s="17">
        <f>FE108*VLOOKUP('Données projet'!$B$16,Paramètres!$A$1:$I$89,3,0)*VLOOKUP('Données projet'!$B$16,Paramètres!$A$1:$I$89,5,0)</f>
        <v>133.66080000000011</v>
      </c>
      <c r="FG108" s="13">
        <f t="shared" si="101"/>
        <v>34.840890682716783</v>
      </c>
      <c r="FH108" s="20">
        <f t="shared" si="76"/>
        <v>293.4737779390652</v>
      </c>
      <c r="FI108" s="59">
        <f t="shared" si="77"/>
        <v>580.23949390879079</v>
      </c>
      <c r="FJ108" s="59">
        <f ca="1">AVERAGE(OFFSET($FI$3,0,0,'Données projet'!$E$16+1,1))-AVERAGE(OFFSET($H$3,0,0,'Données projet'!$E$16+1,1))</f>
        <v>242.76791261317206</v>
      </c>
      <c r="FK108" s="59">
        <f t="shared" si="102"/>
        <v>244.28580264867682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29.28363117652933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29.28363117652933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6.8850000000000025</v>
      </c>
      <c r="FZ108" s="12">
        <f>IF('Données projet'!$A$244&gt;35,FZ107+FY108-GH107,IF(A108&lt;'Données projet'!$A$244,$FW$205^A108,IF(A108='Données projet'!$A$244,'Données projet'!$B$244,FZ107+FY108-GH107)))</f>
        <v>300.97000000000003</v>
      </c>
      <c r="GA108" s="17">
        <f>FZ108*VLOOKUP('Données projet'!$B$17,Paramètres!$A$1:$I$89,3,0)*VLOOKUP('Données projet'!$B$17,Paramètres!$A$1:$I$89,5,0)</f>
        <v>286.403052</v>
      </c>
      <c r="GB108" s="13">
        <f t="shared" si="103"/>
        <v>68.318372044572754</v>
      </c>
      <c r="GC108" s="20">
        <f t="shared" si="79"/>
        <v>617.8064802109642</v>
      </c>
      <c r="GD108" s="59">
        <f t="shared" si="80"/>
        <v>904.57219618068984</v>
      </c>
      <c r="GE108" s="59">
        <f ca="1">AVERAGE(OFFSET($GD$3,0,0,'Données projet'!$E$17+1,1))-AVERAGE(OFFSET($H$3,0,0,'Données projet'!$E$17+1,1))</f>
        <v>512.71941256120977</v>
      </c>
      <c r="GF108" s="59">
        <f t="shared" si="104"/>
        <v>230.65031527019354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93.716909779797462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93.716909779797462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68.208831628106992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-5.6843418860808015E-14</v>
      </c>
      <c r="GV108" s="17">
        <f>GU108*VLOOKUP('Données projet'!$B$18,Paramètres!$A$1:$I$89,3,0)*VLOOKUP('Données projet'!$B$18,Paramètres!$A$1:$I$89,5,0)</f>
        <v>-2.5006556825246661E-14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180.68917161146683</v>
      </c>
      <c r="HA108" s="59">
        <f t="shared" si="106"/>
        <v>344.42126252322419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14.47900706573796</v>
      </c>
      <c r="HH108" s="21">
        <f>EXP(-LN(2)/25)*HH107+(1-EXP(-LN(2)/25))/(LN(2)/25)*Calculateur!HC108*Calculateur!HE108*VLOOKUP('Données projet'!$B$18,Paramètres!$A$1:$I$89,3,0)*0.475*44/12</f>
        <v>2.0705523917576727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16.549559457495633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2.25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8.25</v>
      </c>
      <c r="H109" s="66">
        <f t="shared" si="56"/>
        <v>223.66666666666666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6.8850000000000025</v>
      </c>
      <c r="N109" s="13">
        <f>IF('Données projet'!$A$36&gt;35,N108+M109-V108,IF(A109&lt;'Données projet'!$A$36,$K$205^A109,IF(A109='Données projet'!$A$36,'Données projet'!$B$36,N108+M109-V108)))</f>
        <v>307.85500000000002</v>
      </c>
      <c r="O109" s="13">
        <f>N109*VLOOKUP('Données projet'!$B$9,Paramètres!$A$1:$I$89,3,0)*VLOOKUP('Données projet'!$B$9,Paramètres!$A$1:$I$89,5,0)</f>
        <v>278.54720400000002</v>
      </c>
      <c r="P109" s="13">
        <f t="shared" si="87"/>
        <v>66.659898432534732</v>
      </c>
      <c r="Q109" s="20">
        <f t="shared" si="107"/>
        <v>601.23570340333129</v>
      </c>
      <c r="R109" s="59">
        <f t="shared" si="55"/>
        <v>888.11535285132277</v>
      </c>
      <c r="S109" s="59">
        <f ca="1">AVERAGE(OFFSET($R$3,0,0,'Données projet'!$E$9+1,1))-AVERAGE(OFFSET($H$3,0,0,'Données projet'!$E$9+1,1))</f>
        <v>490.57849401500789</v>
      </c>
      <c r="T109" s="59">
        <f t="shared" si="88"/>
        <v>221.7570623669753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87.360530225570614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87.360530225570614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6.5011111111111068</v>
      </c>
      <c r="AI109" s="13">
        <f>IF('Données projet'!$A$62&gt;35,AI108+AH109-AQ108,IF(A109&lt;'Données projet'!$A$62,$AF$205^A109,IF(A109='Données projet'!$A$62,'Données projet'!$B$62,AI108+AH109-AQ108)))</f>
        <v>248.3922222222223</v>
      </c>
      <c r="AJ109" s="13">
        <f>AI109*VLOOKUP('Données projet'!$B$10,Paramètres!$A$1:$I$89,3,0)*VLOOKUP('Données projet'!$B$10,Paramètres!$A$1:$I$89,5,0)</f>
        <v>166.62150266666671</v>
      </c>
      <c r="AK109" s="13">
        <f t="shared" si="89"/>
        <v>42.332470834216466</v>
      </c>
      <c r="AL109" s="20">
        <f t="shared" si="58"/>
        <v>363.92817051403819</v>
      </c>
      <c r="AM109" s="59">
        <f t="shared" si="59"/>
        <v>650.80781996202961</v>
      </c>
      <c r="AN109" s="59">
        <f ca="1">AVERAGE(OFFSET($AM$3,0,0,'Données projet'!$E$10+1,1))-AVERAGE(OFFSET($H$3,0,0,'Données projet'!$E$10+1,1))</f>
        <v>377.00534440335832</v>
      </c>
      <c r="AO109" s="59">
        <f t="shared" si="90"/>
        <v>131.56029120000656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60.41509544820785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60.41509544820785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212.00000000000009</v>
      </c>
      <c r="BE109" s="13">
        <f>BD109*VLOOKUP('Données projet'!$B$11,Paramètres!$A$1:$I$89,3,0)*VLOOKUP('Données projet'!$B$11,Paramètres!$A$1:$I$89,5,0)</f>
        <v>185.20320000000009</v>
      </c>
      <c r="BF109" s="13">
        <f t="shared" si="91"/>
        <v>46.477875402099386</v>
      </c>
      <c r="BG109" s="20">
        <f t="shared" si="61"/>
        <v>403.5112063253232</v>
      </c>
      <c r="BH109" s="59">
        <f t="shared" si="62"/>
        <v>690.39085577331457</v>
      </c>
      <c r="BI109" s="59">
        <f ca="1">AVERAGE(OFFSET($BH$3,0,0,'Données projet'!$E$11+1,1))-AVERAGE(OFFSET($H$3,0,0,'Données projet'!$E$11+1,1))</f>
        <v>314.1123649635374</v>
      </c>
      <c r="BJ109" s="59">
        <f t="shared" si="92"/>
        <v>274.92342227914889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38.885948750099693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38.885948750099693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212.42519999999985</v>
      </c>
      <c r="CA109" s="13">
        <f t="shared" si="93"/>
        <v>52.465198231787184</v>
      </c>
      <c r="CB109" s="20">
        <f t="shared" si="64"/>
        <v>461.35077692036231</v>
      </c>
      <c r="CC109" s="59">
        <f t="shared" si="65"/>
        <v>748.23042636835373</v>
      </c>
      <c r="CD109" s="59">
        <f ca="1">AVERAGE(OFFSET($CC$3,0,0,'Données projet'!$E$12+1,1))-AVERAGE(OFFSET($H$3,0,0,'Données projet'!$E$12+1,1))</f>
        <v>309.86296291630748</v>
      </c>
      <c r="CE109" s="59">
        <f t="shared" si="94"/>
        <v>301.17633325088661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25.925975492008035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25.925975492008035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6.8</v>
      </c>
      <c r="CT109" s="12">
        <f>IF('Données projet'!$A$140&gt;35,CT108+CS109-DB108,IF(A109&lt;'Données projet'!$A$140,$CQ$205^A109,IF(A109='Données projet'!$A$140,'Données projet'!$B$140,CT108+CS109-DB108)))</f>
        <v>392.8</v>
      </c>
      <c r="CU109" s="17">
        <f>CT109*VLOOKUP('Données projet'!$B$13,Paramètres!$A$1:$I$89,3,0)*VLOOKUP('Données projet'!$B$13,Paramètres!$A$1:$I$89,5,0)</f>
        <v>337.02240000000006</v>
      </c>
      <c r="CV109" s="13">
        <f t="shared" si="95"/>
        <v>78.884440823098231</v>
      </c>
      <c r="CW109" s="20">
        <f t="shared" si="67"/>
        <v>724.37108110022939</v>
      </c>
      <c r="CX109" s="59">
        <f t="shared" si="68"/>
        <v>1011.2507305482209</v>
      </c>
      <c r="CY109" s="59">
        <f ca="1">AVERAGE(OFFSET($CX$3,0,0,'Données projet'!$E$13+1,1))-AVERAGE(OFFSET($H$3,0,0,'Données projet'!$E$13+1,1))</f>
        <v>462.66388549889928</v>
      </c>
      <c r="CZ109" s="59">
        <f t="shared" si="96"/>
        <v>265.3725203415089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106.70395562027369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106.70395562027369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210.25641030000014</v>
      </c>
      <c r="DP109" s="17">
        <f>DO109*VLOOKUP('Données projet'!$B$14,Paramètres!$A$1:$I$89,3,0)*VLOOKUP('Données projet'!$B$14,Paramètres!$A$1:$I$89,5,0)</f>
        <v>164.00000003400012</v>
      </c>
      <c r="DQ109" s="13">
        <f t="shared" si="97"/>
        <v>41.743425916009095</v>
      </c>
      <c r="DR109" s="20">
        <f t="shared" si="70"/>
        <v>358.3364668629327</v>
      </c>
      <c r="DS109" s="59">
        <f t="shared" si="71"/>
        <v>645.21611631092412</v>
      </c>
      <c r="DT109" s="59">
        <f ca="1">AVERAGE(OFFSET($DS$3,0,0,'Données projet'!$E$14+1,1))-AVERAGE(OFFSET($H$3,0,0,'Données projet'!$E$14+1,1))</f>
        <v>206.5241977687125</v>
      </c>
      <c r="DU109" s="59">
        <f t="shared" si="98"/>
        <v>205.25001043771269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15.520423122452266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15.520423122452266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155.99999999999991</v>
      </c>
      <c r="EK109" s="17">
        <f>EJ109*VLOOKUP('Données projet'!$B$15,Paramètres!$A$1:$I$89,3,0)*VLOOKUP('Données projet'!$B$15,Paramètres!$A$1:$I$89,5,0)</f>
        <v>136.28159999999994</v>
      </c>
      <c r="EL109" s="13">
        <f t="shared" si="99"/>
        <v>35.443842312892279</v>
      </c>
      <c r="EM109" s="20">
        <f t="shared" si="73"/>
        <v>299.08847869495395</v>
      </c>
      <c r="EN109" s="59">
        <f t="shared" si="74"/>
        <v>585.96812814294537</v>
      </c>
      <c r="EO109" s="59">
        <f ca="1">AVERAGE(OFFSET($EN$3,0,0,'Données projet'!$E$15+1,1))-AVERAGE(OFFSET($H$3,0,0,'Données projet'!$E$15+1,1))</f>
        <v>205.83135724908942</v>
      </c>
      <c r="EP109" s="59">
        <f t="shared" si="100"/>
        <v>193.60053377311405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15.455895724634919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15.455895724634919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204.00000000000017</v>
      </c>
      <c r="FF109" s="17">
        <f>FE109*VLOOKUP('Données projet'!$B$16,Paramètres!$A$1:$I$89,3,0)*VLOOKUP('Données projet'!$B$16,Paramètres!$A$1:$I$89,5,0)</f>
        <v>133.66080000000011</v>
      </c>
      <c r="FG109" s="13">
        <f t="shared" si="101"/>
        <v>34.840890682716783</v>
      </c>
      <c r="FH109" s="20">
        <f t="shared" si="76"/>
        <v>293.4737779390652</v>
      </c>
      <c r="FI109" s="59">
        <f t="shared" si="77"/>
        <v>580.35342738705663</v>
      </c>
      <c r="FJ109" s="59">
        <f ca="1">AVERAGE(OFFSET($FI$3,0,0,'Données projet'!$E$16+1,1))-AVERAGE(OFFSET($H$3,0,0,'Données projet'!$E$16+1,1))</f>
        <v>242.76791261317206</v>
      </c>
      <c r="FK109" s="59">
        <f t="shared" si="102"/>
        <v>244.28580264867682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28.709397030408955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28.709397030408955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6.8850000000000025</v>
      </c>
      <c r="FZ109" s="12">
        <f>IF('Données projet'!$A$244&gt;35,FZ108+FY109-GH108,IF(A109&lt;'Données projet'!$A$244,$FW$205^A109,IF(A109='Données projet'!$A$244,'Données projet'!$B$244,FZ108+FY109-GH108)))</f>
        <v>307.85500000000002</v>
      </c>
      <c r="GA109" s="17">
        <f>FZ109*VLOOKUP('Données projet'!$B$17,Paramètres!$A$1:$I$89,3,0)*VLOOKUP('Données projet'!$B$17,Paramètres!$A$1:$I$89,5,0)</f>
        <v>292.95481799999999</v>
      </c>
      <c r="GB109" s="13">
        <f t="shared" si="103"/>
        <v>69.697486225080993</v>
      </c>
      <c r="GC109" s="20">
        <f t="shared" si="79"/>
        <v>631.61942985868268</v>
      </c>
      <c r="GD109" s="59">
        <f t="shared" si="80"/>
        <v>918.49907930667405</v>
      </c>
      <c r="GE109" s="59">
        <f ca="1">AVERAGE(OFFSET($GD$3,0,0,'Données projet'!$E$17+1,1))-AVERAGE(OFFSET($H$3,0,0,'Données projet'!$E$17+1,1))</f>
        <v>512.71941256120977</v>
      </c>
      <c r="GF109" s="59">
        <f t="shared" si="104"/>
        <v>230.65031527019354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91.879178340686352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91.879178340686352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68.239904394906759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-5.6843418860808015E-14</v>
      </c>
      <c r="GV109" s="17">
        <f>GU109*VLOOKUP('Données projet'!$B$18,Paramètres!$A$1:$I$89,3,0)*VLOOKUP('Données projet'!$B$18,Paramètres!$A$1:$I$89,5,0)</f>
        <v>-2.5006556825246661E-14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180.68917161146683</v>
      </c>
      <c r="HA109" s="59">
        <f t="shared" si="106"/>
        <v>344.42126252322419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14.195082568501128</v>
      </c>
      <c r="HH109" s="21">
        <f>EXP(-LN(2)/25)*HH108+(1-EXP(-LN(2)/25))/(LN(2)/25)*Calculateur!HC109*Calculateur!HE109*VLOOKUP('Données projet'!$B$18,Paramètres!$A$1:$I$89,3,0)*0.475*44/12</f>
        <v>2.0139330277194412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16.209015596220571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2.25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8.25</v>
      </c>
      <c r="H110" s="66">
        <f t="shared" si="56"/>
        <v>223.66666666666666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6.8850000000000025</v>
      </c>
      <c r="N110" s="13">
        <f>IF('Données projet'!$A$36&gt;35,N109+M110-V109,IF(A110&lt;'Données projet'!$A$36,$K$205^A110,IF(A110='Données projet'!$A$36,'Données projet'!$B$36,N109+M110-V109)))</f>
        <v>314.74</v>
      </c>
      <c r="O110" s="13">
        <f>N110*VLOOKUP('Données projet'!$B$9,Paramètres!$A$1:$I$89,3,0)*VLOOKUP('Données projet'!$B$9,Paramètres!$A$1:$I$89,5,0)</f>
        <v>284.77675199999999</v>
      </c>
      <c r="P110" s="13">
        <f t="shared" si="87"/>
        <v>67.975477920584154</v>
      </c>
      <c r="Q110" s="20">
        <f t="shared" si="107"/>
        <v>614.37680044501735</v>
      </c>
      <c r="R110" s="59">
        <f t="shared" si="55"/>
        <v>901.36840688014377</v>
      </c>
      <c r="S110" s="59">
        <f ca="1">AVERAGE(OFFSET($R$3,0,0,'Données projet'!$E$9+1,1))-AVERAGE(OFFSET($H$3,0,0,'Données projet'!$E$9+1,1))</f>
        <v>490.57849401500789</v>
      </c>
      <c r="T110" s="59">
        <f t="shared" si="88"/>
        <v>221.7570623669753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85.647443512509184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85.647443512509184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6.5011111111111068</v>
      </c>
      <c r="AI110" s="13">
        <f>IF('Données projet'!$A$62&gt;35,AI109+AH110-AQ109,IF(A110&lt;'Données projet'!$A$62,$AF$205^A110,IF(A110='Données projet'!$A$62,'Données projet'!$B$62,AI109+AH110-AQ109)))</f>
        <v>254.8933333333334</v>
      </c>
      <c r="AJ110" s="13">
        <f>AI110*VLOOKUP('Données projet'!$B$10,Paramètres!$A$1:$I$89,3,0)*VLOOKUP('Données projet'!$B$10,Paramètres!$A$1:$I$89,5,0)</f>
        <v>170.98244800000006</v>
      </c>
      <c r="AK110" s="13">
        <f t="shared" si="89"/>
        <v>43.309985406550254</v>
      </c>
      <c r="AL110" s="20">
        <f t="shared" si="58"/>
        <v>373.22598818307512</v>
      </c>
      <c r="AM110" s="59">
        <f t="shared" si="59"/>
        <v>660.21759461820159</v>
      </c>
      <c r="AN110" s="59">
        <f ca="1">AVERAGE(OFFSET($AM$3,0,0,'Données projet'!$E$10+1,1))-AVERAGE(OFFSET($H$3,0,0,'Données projet'!$E$10+1,1))</f>
        <v>377.00534440335832</v>
      </c>
      <c r="AO110" s="59">
        <f t="shared" si="90"/>
        <v>131.56029120000656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59.230392276038124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59.230392276038124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212.00000000000009</v>
      </c>
      <c r="BE110" s="13">
        <f>BD110*VLOOKUP('Données projet'!$B$11,Paramètres!$A$1:$I$89,3,0)*VLOOKUP('Données projet'!$B$11,Paramètres!$A$1:$I$89,5,0)</f>
        <v>185.20320000000009</v>
      </c>
      <c r="BF110" s="13">
        <f t="shared" si="91"/>
        <v>46.477875402099386</v>
      </c>
      <c r="BG110" s="20">
        <f t="shared" si="61"/>
        <v>403.5112063253232</v>
      </c>
      <c r="BH110" s="59">
        <f t="shared" si="62"/>
        <v>690.50281276044961</v>
      </c>
      <c r="BI110" s="59">
        <f ca="1">AVERAGE(OFFSET($BH$3,0,0,'Données projet'!$E$11+1,1))-AVERAGE(OFFSET($H$3,0,0,'Données projet'!$E$11+1,1))</f>
        <v>314.1123649635374</v>
      </c>
      <c r="BJ110" s="59">
        <f t="shared" si="92"/>
        <v>274.92342227914889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38.123419013197008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38.123419013197008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212.42519999999985</v>
      </c>
      <c r="CA110" s="13">
        <f t="shared" si="93"/>
        <v>52.465198231787184</v>
      </c>
      <c r="CB110" s="20">
        <f t="shared" si="64"/>
        <v>461.35077692036231</v>
      </c>
      <c r="CC110" s="59">
        <f t="shared" si="65"/>
        <v>748.34238335548878</v>
      </c>
      <c r="CD110" s="59">
        <f ca="1">AVERAGE(OFFSET($CC$3,0,0,'Données projet'!$E$12+1,1))-AVERAGE(OFFSET($H$3,0,0,'Données projet'!$E$12+1,1))</f>
        <v>309.86296291630748</v>
      </c>
      <c r="CE110" s="59">
        <f t="shared" si="94"/>
        <v>301.17633325088661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25.417582925893377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25.417582925893377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6.8</v>
      </c>
      <c r="CT110" s="12">
        <f>IF('Données projet'!$A$140&gt;35,CT109+CS110-DB109,IF(A110&lt;'Données projet'!$A$140,$CQ$205^A110,IF(A110='Données projet'!$A$140,'Données projet'!$B$140,CT109+CS110-DB109)))</f>
        <v>399.6</v>
      </c>
      <c r="CU110" s="17">
        <f>CT110*VLOOKUP('Données projet'!$B$13,Paramètres!$A$1:$I$89,3,0)*VLOOKUP('Données projet'!$B$13,Paramètres!$A$1:$I$89,5,0)</f>
        <v>342.85680000000008</v>
      </c>
      <c r="CV110" s="13">
        <f t="shared" si="95"/>
        <v>80.089891653777826</v>
      </c>
      <c r="CW110" s="20">
        <f t="shared" si="67"/>
        <v>736.63215463032975</v>
      </c>
      <c r="CX110" s="59">
        <f t="shared" si="68"/>
        <v>1023.6237610654562</v>
      </c>
      <c r="CY110" s="59">
        <f ca="1">AVERAGE(OFFSET($CX$3,0,0,'Données projet'!$E$13+1,1))-AVERAGE(OFFSET($H$3,0,0,'Données projet'!$E$13+1,1))</f>
        <v>462.66388549889928</v>
      </c>
      <c r="CZ110" s="59">
        <f t="shared" si="96"/>
        <v>265.3725203415089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104.61155613354664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104.61155613354664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210.25641030000014</v>
      </c>
      <c r="DP110" s="17">
        <f>DO110*VLOOKUP('Données projet'!$B$14,Paramètres!$A$1:$I$89,3,0)*VLOOKUP('Données projet'!$B$14,Paramètres!$A$1:$I$89,5,0)</f>
        <v>164.00000003400012</v>
      </c>
      <c r="DQ110" s="13">
        <f t="shared" si="97"/>
        <v>41.743425916009095</v>
      </c>
      <c r="DR110" s="20">
        <f t="shared" si="70"/>
        <v>358.3364668629327</v>
      </c>
      <c r="DS110" s="59">
        <f t="shared" si="71"/>
        <v>645.32807329805917</v>
      </c>
      <c r="DT110" s="59">
        <f ca="1">AVERAGE(OFFSET($DS$3,0,0,'Données projet'!$E$14+1,1))-AVERAGE(OFFSET($H$3,0,0,'Données projet'!$E$14+1,1))</f>
        <v>206.5241977687125</v>
      </c>
      <c r="DU110" s="59">
        <f t="shared" si="98"/>
        <v>205.25001043771269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15.21607709154434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15.21607709154434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155.99999999999991</v>
      </c>
      <c r="EK110" s="17">
        <f>EJ110*VLOOKUP('Données projet'!$B$15,Paramètres!$A$1:$I$89,3,0)*VLOOKUP('Données projet'!$B$15,Paramètres!$A$1:$I$89,5,0)</f>
        <v>136.28159999999994</v>
      </c>
      <c r="EL110" s="13">
        <f t="shared" si="99"/>
        <v>35.443842312892279</v>
      </c>
      <c r="EM110" s="20">
        <f t="shared" si="73"/>
        <v>299.08847869495395</v>
      </c>
      <c r="EN110" s="59">
        <f t="shared" si="74"/>
        <v>586.08008513008042</v>
      </c>
      <c r="EO110" s="59">
        <f ca="1">AVERAGE(OFFSET($EN$3,0,0,'Données projet'!$E$15+1,1))-AVERAGE(OFFSET($H$3,0,0,'Données projet'!$E$15+1,1))</f>
        <v>205.83135724908942</v>
      </c>
      <c r="EP110" s="59">
        <f t="shared" si="100"/>
        <v>193.60053377311405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15.152815036640366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15.152815036640366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204.00000000000017</v>
      </c>
      <c r="FF110" s="17">
        <f>FE110*VLOOKUP('Données projet'!$B$16,Paramètres!$A$1:$I$89,3,0)*VLOOKUP('Données projet'!$B$16,Paramètres!$A$1:$I$89,5,0)</f>
        <v>133.66080000000011</v>
      </c>
      <c r="FG110" s="13">
        <f t="shared" si="101"/>
        <v>34.840890682716783</v>
      </c>
      <c r="FH110" s="20">
        <f t="shared" si="76"/>
        <v>293.4737779390652</v>
      </c>
      <c r="FI110" s="59">
        <f t="shared" si="77"/>
        <v>580.46538437419167</v>
      </c>
      <c r="FJ110" s="59">
        <f ca="1">AVERAGE(OFFSET($FI$3,0,0,'Données projet'!$E$16+1,1))-AVERAGE(OFFSET($H$3,0,0,'Données projet'!$E$16+1,1))</f>
        <v>242.76791261317206</v>
      </c>
      <c r="FK110" s="59">
        <f t="shared" si="102"/>
        <v>244.28580264867682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28.146423265645755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28.146423265645755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6.8850000000000025</v>
      </c>
      <c r="FZ110" s="12">
        <f>IF('Données projet'!$A$244&gt;35,FZ109+FY110-GH109,IF(A110&lt;'Données projet'!$A$244,$FW$205^A110,IF(A110='Données projet'!$A$244,'Données projet'!$B$244,FZ109+FY110-GH109)))</f>
        <v>314.74</v>
      </c>
      <c r="GA110" s="17">
        <f>FZ110*VLOOKUP('Données projet'!$B$17,Paramètres!$A$1:$I$89,3,0)*VLOOKUP('Données projet'!$B$17,Paramètres!$A$1:$I$89,5,0)</f>
        <v>299.50658400000003</v>
      </c>
      <c r="GB110" s="13">
        <f t="shared" si="103"/>
        <v>71.073014622249559</v>
      </c>
      <c r="GC110" s="20">
        <f t="shared" si="79"/>
        <v>645.42613426708465</v>
      </c>
      <c r="GD110" s="59">
        <f t="shared" si="80"/>
        <v>932.41774070221118</v>
      </c>
      <c r="GE110" s="59">
        <f ca="1">AVERAGE(OFFSET($GD$3,0,0,'Données projet'!$E$17+1,1))-AVERAGE(OFFSET($H$3,0,0,'Données projet'!$E$17+1,1))</f>
        <v>512.71941256120977</v>
      </c>
      <c r="GF110" s="59">
        <f t="shared" si="104"/>
        <v>230.65031527019354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90.077483694190718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90.077483694190718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68.270438118670853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-5.6843418860808015E-14</v>
      </c>
      <c r="GV110" s="17">
        <f>GU110*VLOOKUP('Données projet'!$B$18,Paramètres!$A$1:$I$89,3,0)*VLOOKUP('Données projet'!$B$18,Paramètres!$A$1:$I$89,5,0)</f>
        <v>-2.5006556825246661E-14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180.68917161146683</v>
      </c>
      <c r="HA110" s="59">
        <f t="shared" si="106"/>
        <v>344.42126252322419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13.916725657478267</v>
      </c>
      <c r="HH110" s="21">
        <f>EXP(-LN(2)/25)*HH109+(1-EXP(-LN(2)/25))/(LN(2)/25)*Calculateur!HC110*Calculateur!HE110*VLOOKUP('Données projet'!$B$18,Paramètres!$A$1:$I$89,3,0)*0.475*44/12</f>
        <v>1.958861923168318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15.875587580646584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2.25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8.25</v>
      </c>
      <c r="H111" s="66">
        <f t="shared" si="56"/>
        <v>223.66666666666666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6.8850000000000025</v>
      </c>
      <c r="N111" s="13">
        <f>IF('Données projet'!$A$36&gt;35,N110+M111-V110,IF(A111&lt;'Données projet'!$A$36,$K$205^A111,IF(A111='Données projet'!$A$36,'Données projet'!$B$36,N110+M111-V110)))</f>
        <v>321.625</v>
      </c>
      <c r="O111" s="13">
        <f>N111*VLOOKUP('Données projet'!$B$9,Paramètres!$A$1:$I$89,3,0)*VLOOKUP('Données projet'!$B$9,Paramètres!$A$1:$I$89,5,0)</f>
        <v>291.00630000000001</v>
      </c>
      <c r="P111" s="13">
        <f t="shared" si="87"/>
        <v>69.287711563071724</v>
      </c>
      <c r="Q111" s="20">
        <f t="shared" si="107"/>
        <v>627.5120701390166</v>
      </c>
      <c r="R111" s="59">
        <f t="shared" si="55"/>
        <v>914.61369135784969</v>
      </c>
      <c r="S111" s="59">
        <f ca="1">AVERAGE(OFFSET($R$3,0,0,'Données projet'!$E$9+1,1))-AVERAGE(OFFSET($H$3,0,0,'Données projet'!$E$9+1,1))</f>
        <v>490.57849401500789</v>
      </c>
      <c r="T111" s="59">
        <f t="shared" si="88"/>
        <v>221.7570623669753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83.967949385011167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83.967949385011167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6.5011111111111068</v>
      </c>
      <c r="AI111" s="13">
        <f>IF('Données projet'!$A$62&gt;35,AI110+AH111-AQ110,IF(A111&lt;'Données projet'!$A$62,$AF$205^A111,IF(A111='Données projet'!$A$62,'Données projet'!$B$62,AI110+AH111-AQ110)))</f>
        <v>261.3944444444445</v>
      </c>
      <c r="AJ111" s="13">
        <f>AI111*VLOOKUP('Données projet'!$B$10,Paramètres!$A$1:$I$89,3,0)*VLOOKUP('Données projet'!$B$10,Paramètres!$A$1:$I$89,5,0)</f>
        <v>175.34339333333335</v>
      </c>
      <c r="AK111" s="13">
        <f t="shared" si="89"/>
        <v>44.284601897435955</v>
      </c>
      <c r="AL111" s="20">
        <f t="shared" si="58"/>
        <v>382.51875836025647</v>
      </c>
      <c r="AM111" s="59">
        <f t="shared" si="59"/>
        <v>669.62037957908956</v>
      </c>
      <c r="AN111" s="59">
        <f ca="1">AVERAGE(OFFSET($AM$3,0,0,'Données projet'!$E$10+1,1))-AVERAGE(OFFSET($H$3,0,0,'Données projet'!$E$10+1,1))</f>
        <v>377.00534440335832</v>
      </c>
      <c r="AO111" s="59">
        <f t="shared" si="90"/>
        <v>131.56029120000656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58.068920410477062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58.068920410477062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212.00000000000009</v>
      </c>
      <c r="BE111" s="13">
        <f>BD111*VLOOKUP('Données projet'!$B$11,Paramètres!$A$1:$I$89,3,0)*VLOOKUP('Données projet'!$B$11,Paramètres!$A$1:$I$89,5,0)</f>
        <v>185.20320000000009</v>
      </c>
      <c r="BF111" s="13">
        <f t="shared" si="91"/>
        <v>46.477875402099386</v>
      </c>
      <c r="BG111" s="20">
        <f t="shared" si="61"/>
        <v>403.5112063253232</v>
      </c>
      <c r="BH111" s="59">
        <f t="shared" si="62"/>
        <v>690.61282754415629</v>
      </c>
      <c r="BI111" s="59">
        <f ca="1">AVERAGE(OFFSET($BH$3,0,0,'Données projet'!$E$11+1,1))-AVERAGE(OFFSET($H$3,0,0,'Données projet'!$E$11+1,1))</f>
        <v>314.1123649635374</v>
      </c>
      <c r="BJ111" s="59">
        <f t="shared" si="92"/>
        <v>274.92342227914889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37.375842019337767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37.375842019337767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212.42519999999985</v>
      </c>
      <c r="CA111" s="13">
        <f t="shared" si="93"/>
        <v>52.465198231787184</v>
      </c>
      <c r="CB111" s="20">
        <f t="shared" si="64"/>
        <v>461.35077692036231</v>
      </c>
      <c r="CC111" s="59">
        <f t="shared" si="65"/>
        <v>748.45239813919534</v>
      </c>
      <c r="CD111" s="59">
        <f ca="1">AVERAGE(OFFSET($CC$3,0,0,'Données projet'!$E$12+1,1))-AVERAGE(OFFSET($H$3,0,0,'Données projet'!$E$12+1,1))</f>
        <v>309.86296291630748</v>
      </c>
      <c r="CE111" s="59">
        <f t="shared" si="94"/>
        <v>301.17633325088661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24.91915962791138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24.91915962791138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6.8</v>
      </c>
      <c r="CT111" s="12">
        <f>IF('Données projet'!$A$140&gt;35,CT110+CS111-DB110,IF(A111&lt;'Données projet'!$A$140,$CQ$205^A111,IF(A111='Données projet'!$A$140,'Données projet'!$B$140,CT110+CS111-DB110)))</f>
        <v>406.40000000000003</v>
      </c>
      <c r="CU111" s="17">
        <f>CT111*VLOOKUP('Données projet'!$B$13,Paramètres!$A$1:$I$89,3,0)*VLOOKUP('Données projet'!$B$13,Paramètres!$A$1:$I$89,5,0)</f>
        <v>348.69120000000009</v>
      </c>
      <c r="CV111" s="13">
        <f t="shared" si="95"/>
        <v>81.292956992128126</v>
      </c>
      <c r="CW111" s="20">
        <f t="shared" si="67"/>
        <v>748.88907342795665</v>
      </c>
      <c r="CX111" s="59">
        <f t="shared" si="68"/>
        <v>1035.9906946467897</v>
      </c>
      <c r="CY111" s="59">
        <f ca="1">AVERAGE(OFFSET($CX$3,0,0,'Données projet'!$E$13+1,1))-AVERAGE(OFFSET($H$3,0,0,'Données projet'!$E$13+1,1))</f>
        <v>462.66388549889928</v>
      </c>
      <c r="CZ111" s="59">
        <f t="shared" si="96"/>
        <v>265.3725203415089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102.56018732451665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102.56018732451665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210.25641030000014</v>
      </c>
      <c r="DP111" s="17">
        <f>DO111*VLOOKUP('Données projet'!$B$14,Paramètres!$A$1:$I$89,3,0)*VLOOKUP('Données projet'!$B$14,Paramètres!$A$1:$I$89,5,0)</f>
        <v>164.00000003400012</v>
      </c>
      <c r="DQ111" s="13">
        <f t="shared" si="97"/>
        <v>41.743425916009095</v>
      </c>
      <c r="DR111" s="20">
        <f t="shared" si="70"/>
        <v>358.3364668629327</v>
      </c>
      <c r="DS111" s="59">
        <f t="shared" si="71"/>
        <v>645.43808808176573</v>
      </c>
      <c r="DT111" s="59">
        <f ca="1">AVERAGE(OFFSET($DS$3,0,0,'Données projet'!$E$14+1,1))-AVERAGE(OFFSET($H$3,0,0,'Données projet'!$E$14+1,1))</f>
        <v>206.5241977687125</v>
      </c>
      <c r="DU111" s="59">
        <f t="shared" si="98"/>
        <v>205.25001043771269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14.91769910066977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14.91769910066977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155.99999999999991</v>
      </c>
      <c r="EK111" s="17">
        <f>EJ111*VLOOKUP('Données projet'!$B$15,Paramètres!$A$1:$I$89,3,0)*VLOOKUP('Données projet'!$B$15,Paramètres!$A$1:$I$89,5,0)</f>
        <v>136.28159999999994</v>
      </c>
      <c r="EL111" s="13">
        <f t="shared" si="99"/>
        <v>35.443842312892279</v>
      </c>
      <c r="EM111" s="20">
        <f t="shared" si="73"/>
        <v>299.08847869495395</v>
      </c>
      <c r="EN111" s="59">
        <f t="shared" si="74"/>
        <v>586.19009991378698</v>
      </c>
      <c r="EO111" s="59">
        <f ca="1">AVERAGE(OFFSET($EN$3,0,0,'Données projet'!$E$15+1,1))-AVERAGE(OFFSET($H$3,0,0,'Données projet'!$E$15+1,1))</f>
        <v>205.83135724908942</v>
      </c>
      <c r="EP111" s="59">
        <f t="shared" si="100"/>
        <v>193.60053377311405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14.855677576076419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14.855677576076419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204.00000000000017</v>
      </c>
      <c r="FF111" s="17">
        <f>FE111*VLOOKUP('Données projet'!$B$16,Paramètres!$A$1:$I$89,3,0)*VLOOKUP('Données projet'!$B$16,Paramètres!$A$1:$I$89,5,0)</f>
        <v>133.66080000000011</v>
      </c>
      <c r="FG111" s="13">
        <f t="shared" si="101"/>
        <v>34.840890682716783</v>
      </c>
      <c r="FH111" s="20">
        <f t="shared" si="76"/>
        <v>293.4737779390652</v>
      </c>
      <c r="FI111" s="59">
        <f t="shared" si="77"/>
        <v>580.57539915789835</v>
      </c>
      <c r="FJ111" s="59">
        <f ca="1">AVERAGE(OFFSET($FI$3,0,0,'Données projet'!$E$16+1,1))-AVERAGE(OFFSET($H$3,0,0,'Données projet'!$E$16+1,1))</f>
        <v>242.76791261317206</v>
      </c>
      <c r="FK111" s="59">
        <f t="shared" si="102"/>
        <v>244.28580264867682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27.594489073029472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27.594489073029472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6.8850000000000025</v>
      </c>
      <c r="FZ111" s="12">
        <f>IF('Données projet'!$A$244&gt;35,FZ110+FY111-GH110,IF(A111&lt;'Données projet'!$A$244,$FW$205^A111,IF(A111='Données projet'!$A$244,'Données projet'!$B$244,FZ110+FY111-GH110)))</f>
        <v>321.625</v>
      </c>
      <c r="GA111" s="17">
        <f>FZ111*VLOOKUP('Données projet'!$B$17,Paramètres!$A$1:$I$89,3,0)*VLOOKUP('Données projet'!$B$17,Paramètres!$A$1:$I$89,5,0)</f>
        <v>306.05835000000002</v>
      </c>
      <c r="GB111" s="13">
        <f t="shared" si="103"/>
        <v>72.445044708882975</v>
      </c>
      <c r="GC111" s="20">
        <f t="shared" si="79"/>
        <v>659.22674578463784</v>
      </c>
      <c r="GD111" s="59">
        <f t="shared" si="80"/>
        <v>946.32836700347093</v>
      </c>
      <c r="GE111" s="59">
        <f ca="1">AVERAGE(OFFSET($GD$3,0,0,'Données projet'!$E$17+1,1))-AVERAGE(OFFSET($H$3,0,0,'Données projet'!$E$17+1,1))</f>
        <v>512.71941256120977</v>
      </c>
      <c r="GF111" s="59">
        <f t="shared" si="104"/>
        <v>230.65031527019354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88.311119180787642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88.311119180787642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68.30044215059084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-5.6843418860808015E-14</v>
      </c>
      <c r="GV111" s="17">
        <f>GU111*VLOOKUP('Données projet'!$B$18,Paramètres!$A$1:$I$89,3,0)*VLOOKUP('Données projet'!$B$18,Paramètres!$A$1:$I$89,5,0)</f>
        <v>-2.5006556825246661E-14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180.68917161146683</v>
      </c>
      <c r="HA111" s="59">
        <f t="shared" si="106"/>
        <v>344.42126252322419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13.643827155699613</v>
      </c>
      <c r="HH111" s="21">
        <f>EXP(-LN(2)/25)*HH110+(1-EXP(-LN(2)/25))/(LN(2)/25)*Calculateur!HC111*Calculateur!HE111*VLOOKUP('Données projet'!$B$18,Paramètres!$A$1:$I$89,3,0)*0.475*44/12</f>
        <v>1.9052967408672088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15.549123896566822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2.25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8.25</v>
      </c>
      <c r="H112" s="66">
        <f t="shared" si="56"/>
        <v>223.66666666666666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6.8850000000000025</v>
      </c>
      <c r="N112" s="13">
        <f>IF('Données projet'!$A$36&gt;35,N111+M112-V111,IF(A112&lt;'Données projet'!$A$36,$K$205^A112,IF(A112='Données projet'!$A$36,'Données projet'!$B$36,N111+M112-V111)))</f>
        <v>328.51</v>
      </c>
      <c r="O112" s="13">
        <f>N112*VLOOKUP('Données projet'!$B$9,Paramètres!$A$1:$I$89,3,0)*VLOOKUP('Données projet'!$B$9,Paramètres!$A$1:$I$89,5,0)</f>
        <v>297.23584799999998</v>
      </c>
      <c r="P112" s="13">
        <f t="shared" si="87"/>
        <v>70.596679234081364</v>
      </c>
      <c r="Q112" s="20">
        <f t="shared" si="107"/>
        <v>640.64165159935828</v>
      </c>
      <c r="R112" s="59">
        <f t="shared" si="55"/>
        <v>927.85137909135676</v>
      </c>
      <c r="S112" s="59">
        <f ca="1">AVERAGE(OFFSET($R$3,0,0,'Données projet'!$E$9+1,1))-AVERAGE(OFFSET($H$3,0,0,'Données projet'!$E$9+1,1))</f>
        <v>490.57849401500789</v>
      </c>
      <c r="T112" s="59">
        <f t="shared" si="88"/>
        <v>221.7570623669753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82.321389112963118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82.321389112963118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6.5011111111111068</v>
      </c>
      <c r="AI112" s="13">
        <f>IF('Données projet'!$A$62&gt;35,AI111+AH112-AQ111,IF(A112&lt;'Données projet'!$A$62,$AF$205^A112,IF(A112='Données projet'!$A$62,'Données projet'!$B$62,AI111+AH112-AQ111)))</f>
        <v>267.89555555555563</v>
      </c>
      <c r="AJ112" s="13">
        <f>AI112*VLOOKUP('Données projet'!$B$10,Paramètres!$A$1:$I$89,3,0)*VLOOKUP('Données projet'!$B$10,Paramètres!$A$1:$I$89,5,0)</f>
        <v>179.70433866666673</v>
      </c>
      <c r="AK112" s="13">
        <f t="shared" si="89"/>
        <v>45.25640067498216</v>
      </c>
      <c r="AL112" s="20">
        <f t="shared" si="58"/>
        <v>391.80662102003845</v>
      </c>
      <c r="AM112" s="59">
        <f t="shared" si="59"/>
        <v>679.01634851203698</v>
      </c>
      <c r="AN112" s="59">
        <f ca="1">AVERAGE(OFFSET($AM$3,0,0,'Données projet'!$E$10+1,1))-AVERAGE(OFFSET($H$3,0,0,'Données projet'!$E$10+1,1))</f>
        <v>377.00534440335832</v>
      </c>
      <c r="AO112" s="59">
        <f t="shared" si="90"/>
        <v>131.56029120000656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56.930224299771766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56.930224299771766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212.00000000000009</v>
      </c>
      <c r="BE112" s="13">
        <f>BD112*VLOOKUP('Données projet'!$B$11,Paramètres!$A$1:$I$89,3,0)*VLOOKUP('Données projet'!$B$11,Paramètres!$A$1:$I$89,5,0)</f>
        <v>185.20320000000009</v>
      </c>
      <c r="BF112" s="13">
        <f t="shared" si="91"/>
        <v>46.477875402099386</v>
      </c>
      <c r="BG112" s="20">
        <f t="shared" si="61"/>
        <v>403.5112063253232</v>
      </c>
      <c r="BH112" s="59">
        <f t="shared" si="62"/>
        <v>690.72093381732168</v>
      </c>
      <c r="BI112" s="59">
        <f ca="1">AVERAGE(OFFSET($BH$3,0,0,'Données projet'!$E$11+1,1))-AVERAGE(OFFSET($H$3,0,0,'Données projet'!$E$11+1,1))</f>
        <v>314.1123649635374</v>
      </c>
      <c r="BJ112" s="59">
        <f t="shared" si="92"/>
        <v>274.92342227914889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36.642924554351168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36.642924554351168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212.42519999999985</v>
      </c>
      <c r="CA112" s="13">
        <f t="shared" si="93"/>
        <v>52.465198231787184</v>
      </c>
      <c r="CB112" s="20">
        <f t="shared" si="64"/>
        <v>461.35077692036231</v>
      </c>
      <c r="CC112" s="59">
        <f t="shared" si="65"/>
        <v>748.56050441236084</v>
      </c>
      <c r="CD112" s="59">
        <f ca="1">AVERAGE(OFFSET($CC$3,0,0,'Données projet'!$E$12+1,1))-AVERAGE(OFFSET($H$3,0,0,'Données projet'!$E$12+1,1))</f>
        <v>309.86296291630748</v>
      </c>
      <c r="CE112" s="59">
        <f t="shared" si="94"/>
        <v>301.17633325088661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24.430510106794618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24.430510106794618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6.8</v>
      </c>
      <c r="CT112" s="12">
        <f>IF('Données projet'!$A$140&gt;35,CT111+CS112-DB111,IF(A112&lt;'Données projet'!$A$140,$CQ$205^A112,IF(A112='Données projet'!$A$140,'Données projet'!$B$140,CT111+CS112-DB111)))</f>
        <v>413.20000000000005</v>
      </c>
      <c r="CU112" s="17">
        <f>CT112*VLOOKUP('Données projet'!$B$13,Paramètres!$A$1:$I$89,3,0)*VLOOKUP('Données projet'!$B$13,Paramètres!$A$1:$I$89,5,0)</f>
        <v>354.52560000000011</v>
      </c>
      <c r="CV112" s="13">
        <f t="shared" si="95"/>
        <v>82.493681359778094</v>
      </c>
      <c r="CW112" s="20">
        <f t="shared" si="67"/>
        <v>761.14191503494703</v>
      </c>
      <c r="CX112" s="59">
        <f t="shared" si="68"/>
        <v>1048.3516425269454</v>
      </c>
      <c r="CY112" s="59">
        <f ca="1">AVERAGE(OFFSET($CX$3,0,0,'Données projet'!$E$13+1,1))-AVERAGE(OFFSET($H$3,0,0,'Données projet'!$E$13+1,1))</f>
        <v>462.66388549889928</v>
      </c>
      <c r="CZ112" s="59">
        <f t="shared" si="96"/>
        <v>265.3725203415089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100.5490446066203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100.5490446066203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210.25641030000014</v>
      </c>
      <c r="DP112" s="17">
        <f>DO112*VLOOKUP('Données projet'!$B$14,Paramètres!$A$1:$I$89,3,0)*VLOOKUP('Données projet'!$B$14,Paramètres!$A$1:$I$89,5,0)</f>
        <v>164.00000003400012</v>
      </c>
      <c r="DQ112" s="13">
        <f t="shared" si="97"/>
        <v>41.743425916009095</v>
      </c>
      <c r="DR112" s="20">
        <f t="shared" si="70"/>
        <v>358.3364668629327</v>
      </c>
      <c r="DS112" s="59">
        <f t="shared" si="71"/>
        <v>645.54619435493123</v>
      </c>
      <c r="DT112" s="59">
        <f ca="1">AVERAGE(OFFSET($DS$3,0,0,'Données projet'!$E$14+1,1))-AVERAGE(OFFSET($H$3,0,0,'Données projet'!$E$14+1,1))</f>
        <v>206.5241977687125</v>
      </c>
      <c r="DU112" s="59">
        <f t="shared" si="98"/>
        <v>205.25001043771269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14.625172120203645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14.625172120203645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155.99999999999991</v>
      </c>
      <c r="EK112" s="17">
        <f>EJ112*VLOOKUP('Données projet'!$B$15,Paramètres!$A$1:$I$89,3,0)*VLOOKUP('Données projet'!$B$15,Paramètres!$A$1:$I$89,5,0)</f>
        <v>136.28159999999994</v>
      </c>
      <c r="EL112" s="13">
        <f t="shared" si="99"/>
        <v>35.443842312892279</v>
      </c>
      <c r="EM112" s="20">
        <f t="shared" si="73"/>
        <v>299.08847869495395</v>
      </c>
      <c r="EN112" s="59">
        <f t="shared" si="74"/>
        <v>586.29820618695248</v>
      </c>
      <c r="EO112" s="59">
        <f ca="1">AVERAGE(OFFSET($EN$3,0,0,'Données projet'!$E$15+1,1))-AVERAGE(OFFSET($H$3,0,0,'Données projet'!$E$15+1,1))</f>
        <v>205.83135724908942</v>
      </c>
      <c r="EP112" s="59">
        <f t="shared" si="100"/>
        <v>193.60053377311405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14.564366799878176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14.564366799878176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204.00000000000017</v>
      </c>
      <c r="FF112" s="17">
        <f>FE112*VLOOKUP('Données projet'!$B$16,Paramètres!$A$1:$I$89,3,0)*VLOOKUP('Données projet'!$B$16,Paramètres!$A$1:$I$89,5,0)</f>
        <v>133.66080000000011</v>
      </c>
      <c r="FG112" s="13">
        <f t="shared" si="101"/>
        <v>34.840890682716783</v>
      </c>
      <c r="FH112" s="20">
        <f t="shared" si="76"/>
        <v>293.4737779390652</v>
      </c>
      <c r="FI112" s="59">
        <f t="shared" si="77"/>
        <v>580.68350543106362</v>
      </c>
      <c r="FJ112" s="59">
        <f ca="1">AVERAGE(OFFSET($FI$3,0,0,'Données projet'!$E$16+1,1))-AVERAGE(OFFSET($H$3,0,0,'Données projet'!$E$16+1,1))</f>
        <v>242.76791261317206</v>
      </c>
      <c r="FK112" s="59">
        <f t="shared" si="102"/>
        <v>244.28580264867682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27.053377973283776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27.053377973283776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6.8850000000000025</v>
      </c>
      <c r="FZ112" s="12">
        <f>IF('Données projet'!$A$244&gt;35,FZ111+FY112-GH111,IF(A112&lt;'Données projet'!$A$244,$FW$205^A112,IF(A112='Données projet'!$A$244,'Données projet'!$B$244,FZ111+FY112-GH111)))</f>
        <v>328.51</v>
      </c>
      <c r="GA112" s="17">
        <f>FZ112*VLOOKUP('Données projet'!$B$17,Paramètres!$A$1:$I$89,3,0)*VLOOKUP('Données projet'!$B$17,Paramètres!$A$1:$I$89,5,0)</f>
        <v>312.610116</v>
      </c>
      <c r="GB112" s="13">
        <f t="shared" si="103"/>
        <v>73.813659998802876</v>
      </c>
      <c r="GC112" s="20">
        <f t="shared" si="79"/>
        <v>673.02140986458164</v>
      </c>
      <c r="GD112" s="59">
        <f t="shared" si="80"/>
        <v>960.23113735658012</v>
      </c>
      <c r="GE112" s="59">
        <f ca="1">AVERAGE(OFFSET($GD$3,0,0,'Données projet'!$E$17+1,1))-AVERAGE(OFFSET($H$3,0,0,'Données projet'!$E$17+1,1))</f>
        <v>512.71941256120977</v>
      </c>
      <c r="GF112" s="59">
        <f t="shared" si="104"/>
        <v>230.65031527019354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86.579391998116421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86.579391998116421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68.329925679635949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-5.6843418860808015E-14</v>
      </c>
      <c r="GV112" s="17">
        <f>GU112*VLOOKUP('Données projet'!$B$18,Paramètres!$A$1:$I$89,3,0)*VLOOKUP('Données projet'!$B$18,Paramètres!$A$1:$I$89,5,0)</f>
        <v>-2.5006556825246661E-14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180.68917161146683</v>
      </c>
      <c r="HA112" s="59">
        <f t="shared" si="106"/>
        <v>344.42126252322419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13.376280027089187</v>
      </c>
      <c r="HH112" s="21">
        <f>EXP(-LN(2)/25)*HH111+(1-EXP(-LN(2)/25))/(LN(2)/25)*Calculateur!HC112*Calculateur!HE112*VLOOKUP('Données projet'!$B$18,Paramètres!$A$1:$I$89,3,0)*0.475*44/12</f>
        <v>1.853196301292994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15.229476328382182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2.25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8.25</v>
      </c>
      <c r="H113" s="66">
        <f t="shared" si="56"/>
        <v>223.66666666666666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6.8850000000000025</v>
      </c>
      <c r="N113" s="13">
        <f>IF('Données projet'!$A$36&gt;35,N112+M113-V112,IF(A113&lt;'Données projet'!$A$36,$K$205^A113,IF(A113='Données projet'!$A$36,'Données projet'!$B$36,N112+M113-V112)))</f>
        <v>335.39499999999998</v>
      </c>
      <c r="O113" s="13">
        <f>N113*VLOOKUP('Données projet'!$B$9,Paramètres!$A$1:$I$89,3,0)*VLOOKUP('Données projet'!$B$9,Paramètres!$A$1:$I$89,5,0)</f>
        <v>303.46539599999994</v>
      </c>
      <c r="P113" s="13">
        <f t="shared" si="87"/>
        <v>71.902457268336448</v>
      </c>
      <c r="Q113" s="20">
        <f t="shared" si="107"/>
        <v>653.76567777568584</v>
      </c>
      <c r="R113" s="59">
        <f t="shared" si="55"/>
        <v>941.08163613869988</v>
      </c>
      <c r="S113" s="59">
        <f ca="1">AVERAGE(OFFSET($R$3,0,0,'Données projet'!$E$9+1,1))-AVERAGE(OFFSET($H$3,0,0,'Données projet'!$E$9+1,1))</f>
        <v>490.57849401500789</v>
      </c>
      <c r="T113" s="59">
        <f t="shared" si="88"/>
        <v>221.7570623669753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80.707116883547343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80.707116883547343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6.5011111111111068</v>
      </c>
      <c r="AI113" s="13">
        <f>IF('Données projet'!$A$62&gt;35,AI112+AH113-AQ112,IF(A113&lt;'Données projet'!$A$62,$AF$205^A113,IF(A113='Données projet'!$A$62,'Données projet'!$B$62,AI112+AH113-AQ112)))</f>
        <v>274.39666666666676</v>
      </c>
      <c r="AJ113" s="13">
        <f>AI113*VLOOKUP('Données projet'!$B$10,Paramètres!$A$1:$I$89,3,0)*VLOOKUP('Données projet'!$B$10,Paramètres!$A$1:$I$89,5,0)</f>
        <v>184.06528400000008</v>
      </c>
      <c r="AK113" s="13">
        <f t="shared" si="89"/>
        <v>46.225457984245772</v>
      </c>
      <c r="AL113" s="20">
        <f t="shared" si="58"/>
        <v>401.08970895589482</v>
      </c>
      <c r="AM113" s="59">
        <f t="shared" si="59"/>
        <v>688.40566731890885</v>
      </c>
      <c r="AN113" s="59">
        <f ca="1">AVERAGE(OFFSET($AM$3,0,0,'Données projet'!$E$10+1,1))-AVERAGE(OFFSET($H$3,0,0,'Données projet'!$E$10+1,1))</f>
        <v>377.00534440335832</v>
      </c>
      <c r="AO113" s="59">
        <f t="shared" si="90"/>
        <v>131.56029120000656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55.813857325261353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55.813857325261353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212.00000000000009</v>
      </c>
      <c r="BE113" s="13">
        <f>BD113*VLOOKUP('Données projet'!$B$11,Paramètres!$A$1:$I$89,3,0)*VLOOKUP('Données projet'!$B$11,Paramètres!$A$1:$I$89,5,0)</f>
        <v>185.20320000000009</v>
      </c>
      <c r="BF113" s="13">
        <f t="shared" si="91"/>
        <v>46.477875402099386</v>
      </c>
      <c r="BG113" s="20">
        <f t="shared" si="61"/>
        <v>403.5112063253232</v>
      </c>
      <c r="BH113" s="59">
        <f t="shared" si="62"/>
        <v>690.82716468833723</v>
      </c>
      <c r="BI113" s="59">
        <f ca="1">AVERAGE(OFFSET($BH$3,0,0,'Données projet'!$E$11+1,1))-AVERAGE(OFFSET($H$3,0,0,'Données projet'!$E$11+1,1))</f>
        <v>314.1123649635374</v>
      </c>
      <c r="BJ113" s="59">
        <f t="shared" si="92"/>
        <v>274.92342227914889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35.924379153817441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35.924379153817441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212.42519999999985</v>
      </c>
      <c r="CA113" s="13">
        <f t="shared" si="93"/>
        <v>52.465198231787184</v>
      </c>
      <c r="CB113" s="20">
        <f t="shared" si="64"/>
        <v>461.35077692036231</v>
      </c>
      <c r="CC113" s="59">
        <f t="shared" si="65"/>
        <v>748.66673528337628</v>
      </c>
      <c r="CD113" s="59">
        <f ca="1">AVERAGE(OFFSET($CC$3,0,0,'Données projet'!$E$12+1,1))-AVERAGE(OFFSET($H$3,0,0,'Données projet'!$E$12+1,1))</f>
        <v>309.86296291630748</v>
      </c>
      <c r="CE113" s="59">
        <f t="shared" si="94"/>
        <v>301.17633325088661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23.951442704740174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23.951442704740174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420</v>
      </c>
      <c r="CR113" s="12">
        <f>VLOOKUP(A113,'Données projet'!$A$139:$I$159,9,0)</f>
        <v>6.8</v>
      </c>
      <c r="CS113" s="12">
        <f t="array" ref="CS113">INDEX(CR:CR,MIN(IF(ISNUMBER(CR113:CR309),ROW(CR113:CR309),"")))</f>
        <v>6.8</v>
      </c>
      <c r="CT113" s="12">
        <f>IF('Données projet'!$A$140&gt;35,CT112+CS113-DB112,IF(A113&lt;'Données projet'!$A$140,$CQ$205^A113,IF(A113='Données projet'!$A$140,'Données projet'!$B$140,CT112+CS113-DB112)))</f>
        <v>420.00000000000006</v>
      </c>
      <c r="CU113" s="17">
        <f>CT113*VLOOKUP('Données projet'!$B$13,Paramètres!$A$1:$I$89,3,0)*VLOOKUP('Données projet'!$B$13,Paramètres!$A$1:$I$89,5,0)</f>
        <v>360.36000000000013</v>
      </c>
      <c r="CV113" s="13">
        <f t="shared" si="95"/>
        <v>83.692107728969603</v>
      </c>
      <c r="CW113" s="20">
        <f t="shared" si="67"/>
        <v>773.3907542946223</v>
      </c>
      <c r="CX113" s="59">
        <f t="shared" si="68"/>
        <v>1060.7067126576362</v>
      </c>
      <c r="CY113" s="59">
        <f ca="1">AVERAGE(OFFSET($CX$3,0,0,'Données projet'!$E$13+1,1))-AVERAGE(OFFSET($H$3,0,0,'Données projet'!$E$13+1,1))</f>
        <v>462.66388549889928</v>
      </c>
      <c r="CZ113" s="59">
        <f t="shared" si="96"/>
        <v>265.3725203415089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22</v>
      </c>
      <c r="DC113" s="16">
        <f>IF(ISNA(VLOOKUP(A113,'Données projet'!$A$139:$I$159,5,0)),0%,VLOOKUP(A113,'Données projet'!$A$139:$I$159,5,0)*VLOOKUP('Données projet'!$B$13,Paramètres!$A$1:$I$89,7,0))</f>
        <v>0.53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109.63677437929987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109.63677437929987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210.25641030000014</v>
      </c>
      <c r="DP113" s="17">
        <f>DO113*VLOOKUP('Données projet'!$B$14,Paramètres!$A$1:$I$89,3,0)*VLOOKUP('Données projet'!$B$14,Paramètres!$A$1:$I$89,5,0)</f>
        <v>164.00000003400012</v>
      </c>
      <c r="DQ113" s="13">
        <f t="shared" si="97"/>
        <v>41.743425916009095</v>
      </c>
      <c r="DR113" s="20">
        <f t="shared" si="70"/>
        <v>358.3364668629327</v>
      </c>
      <c r="DS113" s="59">
        <f t="shared" si="71"/>
        <v>645.65242522594667</v>
      </c>
      <c r="DT113" s="59">
        <f ca="1">AVERAGE(OFFSET($DS$3,0,0,'Données projet'!$E$14+1,1))-AVERAGE(OFFSET($H$3,0,0,'Données projet'!$E$14+1,1))</f>
        <v>206.5241977687125</v>
      </c>
      <c r="DU113" s="59">
        <f t="shared" si="98"/>
        <v>205.25001043771269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14.338381415400621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14.338381415400621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155.99999999999991</v>
      </c>
      <c r="EK113" s="17">
        <f>EJ113*VLOOKUP('Données projet'!$B$15,Paramètres!$A$1:$I$89,3,0)*VLOOKUP('Données projet'!$B$15,Paramètres!$A$1:$I$89,5,0)</f>
        <v>136.28159999999994</v>
      </c>
      <c r="EL113" s="13">
        <f t="shared" si="99"/>
        <v>35.443842312892279</v>
      </c>
      <c r="EM113" s="20">
        <f t="shared" si="73"/>
        <v>299.08847869495395</v>
      </c>
      <c r="EN113" s="59">
        <f t="shared" si="74"/>
        <v>586.40443705796793</v>
      </c>
      <c r="EO113" s="59">
        <f ca="1">AVERAGE(OFFSET($EN$3,0,0,'Données projet'!$E$15+1,1))-AVERAGE(OFFSET($H$3,0,0,'Données projet'!$E$15+1,1))</f>
        <v>205.83135724908942</v>
      </c>
      <c r="EP113" s="59">
        <f t="shared" si="100"/>
        <v>193.60053377311405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14.27876845031915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14.27876845031915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204.00000000000017</v>
      </c>
      <c r="FF113" s="17">
        <f>FE113*VLOOKUP('Données projet'!$B$16,Paramètres!$A$1:$I$89,3,0)*VLOOKUP('Données projet'!$B$16,Paramètres!$A$1:$I$89,5,0)</f>
        <v>133.66080000000011</v>
      </c>
      <c r="FG113" s="13">
        <f t="shared" si="101"/>
        <v>34.840890682716783</v>
      </c>
      <c r="FH113" s="20">
        <f t="shared" si="76"/>
        <v>293.4737779390652</v>
      </c>
      <c r="FI113" s="59">
        <f t="shared" si="77"/>
        <v>580.78973630207918</v>
      </c>
      <c r="FJ113" s="59">
        <f ca="1">AVERAGE(OFFSET($FI$3,0,0,'Données projet'!$E$16+1,1))-AVERAGE(OFFSET($H$3,0,0,'Données projet'!$E$16+1,1))</f>
        <v>242.76791261317206</v>
      </c>
      <c r="FK113" s="59">
        <f t="shared" si="102"/>
        <v>244.28580264867682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26.522877732158914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26.522877732158914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6.8850000000000025</v>
      </c>
      <c r="FZ113" s="12">
        <f>IF('Données projet'!$A$244&gt;35,FZ112+FY113-GH112,IF(A113&lt;'Données projet'!$A$244,$FW$205^A113,IF(A113='Données projet'!$A$244,'Données projet'!$B$244,FZ112+FY113-GH112)))</f>
        <v>335.39499999999998</v>
      </c>
      <c r="GA113" s="17">
        <f>FZ113*VLOOKUP('Données projet'!$B$17,Paramètres!$A$1:$I$89,3,0)*VLOOKUP('Données projet'!$B$17,Paramètres!$A$1:$I$89,5,0)</f>
        <v>319.16188199999999</v>
      </c>
      <c r="GB113" s="13">
        <f t="shared" si="103"/>
        <v>75.178940305186956</v>
      </c>
      <c r="GC113" s="20">
        <f t="shared" si="79"/>
        <v>686.8102655148673</v>
      </c>
      <c r="GD113" s="59">
        <f t="shared" si="80"/>
        <v>974.12622387788133</v>
      </c>
      <c r="GE113" s="59">
        <f ca="1">AVERAGE(OFFSET($GD$3,0,0,'Données projet'!$E$17+1,1))-AVERAGE(OFFSET($H$3,0,0,'Données projet'!$E$17+1,1))</f>
        <v>512.71941256120977</v>
      </c>
      <c r="GF113" s="59">
        <f t="shared" si="104"/>
        <v>230.65031527019354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84.881622929248095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84.881622929248095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68.358897735367449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-5.6843418860808015E-14</v>
      </c>
      <c r="GV113" s="17">
        <f>GU113*VLOOKUP('Données projet'!$B$18,Paramètres!$A$1:$I$89,3,0)*VLOOKUP('Données projet'!$B$18,Paramètres!$A$1:$I$89,5,0)</f>
        <v>-2.5006556825246661E-14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180.68917161146683</v>
      </c>
      <c r="HA113" s="59">
        <f t="shared" si="106"/>
        <v>344.42126252322419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13.113979334483178</v>
      </c>
      <c r="HH113" s="21">
        <f>EXP(-LN(2)/25)*HH112+(1-EXP(-LN(2)/25))/(LN(2)/25)*Calculateur!HC113*Calculateur!HE113*VLOOKUP('Données projet'!$B$18,Paramètres!$A$1:$I$89,3,0)*0.475*44/12</f>
        <v>1.8025205509787792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14.916499885461956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2.25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8.25</v>
      </c>
      <c r="H114" s="66">
        <f t="shared" si="56"/>
        <v>223.66666666666666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6.8850000000000025</v>
      </c>
      <c r="N114" s="13">
        <f>IF('Données projet'!$A$36&gt;35,N113+M114-V113,IF(A114&lt;'Données projet'!$A$36,$K$205^A114,IF(A114='Données projet'!$A$36,'Données projet'!$B$36,N113+M114-V113)))</f>
        <v>342.28</v>
      </c>
      <c r="O114" s="13">
        <f>N114*VLOOKUP('Données projet'!$B$9,Paramètres!$A$1:$I$89,3,0)*VLOOKUP('Données projet'!$B$9,Paramètres!$A$1:$I$89,5,0)</f>
        <v>309.69494399999996</v>
      </c>
      <c r="P114" s="13">
        <f t="shared" si="87"/>
        <v>73.205118687418178</v>
      </c>
      <c r="Q114" s="20">
        <f t="shared" si="107"/>
        <v>666.88427584725321</v>
      </c>
      <c r="R114" s="59">
        <f t="shared" si="55"/>
        <v>954.30462221316714</v>
      </c>
      <c r="S114" s="59">
        <f ca="1">AVERAGE(OFFSET($R$3,0,0,'Données projet'!$E$9+1,1))-AVERAGE(OFFSET($H$3,0,0,'Données projet'!$E$9+1,1))</f>
        <v>490.57849401500789</v>
      </c>
      <c r="T114" s="59">
        <f t="shared" si="88"/>
        <v>221.7570623669753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79.124499547941568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79.124499547941568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6.5011111111111068</v>
      </c>
      <c r="AI114" s="13">
        <f>IF('Données projet'!$A$62&gt;35,AI113+AH114-AQ113,IF(A114&lt;'Données projet'!$A$62,$AF$205^A114,IF(A114='Données projet'!$A$62,'Données projet'!$B$62,AI113+AH114-AQ113)))</f>
        <v>280.89777777777789</v>
      </c>
      <c r="AJ114" s="13">
        <f>AI114*VLOOKUP('Données projet'!$B$10,Paramètres!$A$1:$I$89,3,0)*VLOOKUP('Données projet'!$B$10,Paramètres!$A$1:$I$89,5,0)</f>
        <v>188.4262293333334</v>
      </c>
      <c r="AK114" s="13">
        <f t="shared" si="89"/>
        <v>47.191846251352381</v>
      </c>
      <c r="AL114" s="20">
        <f t="shared" si="58"/>
        <v>410.36814830999441</v>
      </c>
      <c r="AM114" s="59">
        <f t="shared" si="59"/>
        <v>697.7884946759084</v>
      </c>
      <c r="AN114" s="59">
        <f ca="1">AVERAGE(OFFSET($AM$3,0,0,'Données projet'!$E$10+1,1))-AVERAGE(OFFSET($H$3,0,0,'Données projet'!$E$10+1,1))</f>
        <v>377.00534440335832</v>
      </c>
      <c r="AO114" s="59">
        <f t="shared" si="90"/>
        <v>131.56029120000656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54.719381626204466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54.719381626204466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212.00000000000009</v>
      </c>
      <c r="BE114" s="13">
        <f>BD114*VLOOKUP('Données projet'!$B$11,Paramètres!$A$1:$I$89,3,0)*VLOOKUP('Données projet'!$B$11,Paramètres!$A$1:$I$89,5,0)</f>
        <v>185.20320000000009</v>
      </c>
      <c r="BF114" s="13">
        <f t="shared" si="91"/>
        <v>46.477875402099386</v>
      </c>
      <c r="BG114" s="20">
        <f t="shared" si="61"/>
        <v>403.5112063253232</v>
      </c>
      <c r="BH114" s="59">
        <f t="shared" si="62"/>
        <v>690.93155269123713</v>
      </c>
      <c r="BI114" s="59">
        <f ca="1">AVERAGE(OFFSET($BH$3,0,0,'Données projet'!$E$11+1,1))-AVERAGE(OFFSET($H$3,0,0,'Données projet'!$E$11+1,1))</f>
        <v>314.1123649635374</v>
      </c>
      <c r="BJ114" s="59">
        <f t="shared" si="92"/>
        <v>274.92342227914889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35.219923990318762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35.219923990318762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212.42519999999985</v>
      </c>
      <c r="CA114" s="13">
        <f t="shared" si="93"/>
        <v>52.465198231787184</v>
      </c>
      <c r="CB114" s="20">
        <f t="shared" si="64"/>
        <v>461.35077692036231</v>
      </c>
      <c r="CC114" s="59">
        <f t="shared" si="65"/>
        <v>748.77112328627618</v>
      </c>
      <c r="CD114" s="59">
        <f ca="1">AVERAGE(OFFSET($CC$3,0,0,'Données projet'!$E$12+1,1))-AVERAGE(OFFSET($H$3,0,0,'Données projet'!$E$12+1,1))</f>
        <v>309.86296291630748</v>
      </c>
      <c r="CE114" s="59">
        <f t="shared" si="94"/>
        <v>301.17633325088661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23.481769522237755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23.481769522237755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5.6</v>
      </c>
      <c r="CT114" s="12">
        <f>IF('Données projet'!$A$140&gt;35,CT113+CS114-DB113,IF(A114&lt;'Données projet'!$A$140,$CQ$205^A114,IF(A114='Données projet'!$A$140,'Données projet'!$B$140,CT113+CS114-DB113)))</f>
        <v>403.60000000000008</v>
      </c>
      <c r="CU114" s="17">
        <f>CT114*VLOOKUP('Données projet'!$B$13,Paramètres!$A$1:$I$89,3,0)*VLOOKUP('Données projet'!$B$13,Paramètres!$A$1:$I$89,5,0)</f>
        <v>346.28880000000015</v>
      </c>
      <c r="CV114" s="13">
        <f t="shared" si="95"/>
        <v>80.797863156901414</v>
      </c>
      <c r="CW114" s="20">
        <f t="shared" si="67"/>
        <v>743.8426049982703</v>
      </c>
      <c r="CX114" s="59">
        <f t="shared" si="68"/>
        <v>1031.2629513641841</v>
      </c>
      <c r="CY114" s="59">
        <f ca="1">AVERAGE(OFFSET($CX$3,0,0,'Données projet'!$E$13+1,1))-AVERAGE(OFFSET($H$3,0,0,'Données projet'!$E$13+1,1))</f>
        <v>462.66388549889928</v>
      </c>
      <c r="CZ114" s="59">
        <f t="shared" si="96"/>
        <v>265.3725203415089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107.48686410555112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107.48686410555112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210.25641030000014</v>
      </c>
      <c r="DP114" s="17">
        <f>DO114*VLOOKUP('Données projet'!$B$14,Paramètres!$A$1:$I$89,3,0)*VLOOKUP('Données projet'!$B$14,Paramètres!$A$1:$I$89,5,0)</f>
        <v>164.00000003400012</v>
      </c>
      <c r="DQ114" s="13">
        <f t="shared" si="97"/>
        <v>41.743425916009095</v>
      </c>
      <c r="DR114" s="20">
        <f t="shared" si="70"/>
        <v>358.3364668629327</v>
      </c>
      <c r="DS114" s="59">
        <f t="shared" si="71"/>
        <v>645.75681322884657</v>
      </c>
      <c r="DT114" s="59">
        <f ca="1">AVERAGE(OFFSET($DS$3,0,0,'Données projet'!$E$14+1,1))-AVERAGE(OFFSET($H$3,0,0,'Données projet'!$E$14+1,1))</f>
        <v>206.5241977687125</v>
      </c>
      <c r="DU114" s="59">
        <f t="shared" si="98"/>
        <v>205.25001043771269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14.057214501393727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14.057214501393727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155.99999999999991</v>
      </c>
      <c r="EK114" s="17">
        <f>EJ114*VLOOKUP('Données projet'!$B$15,Paramètres!$A$1:$I$89,3,0)*VLOOKUP('Données projet'!$B$15,Paramètres!$A$1:$I$89,5,0)</f>
        <v>136.28159999999994</v>
      </c>
      <c r="EL114" s="13">
        <f t="shared" si="99"/>
        <v>35.443842312892279</v>
      </c>
      <c r="EM114" s="20">
        <f t="shared" si="73"/>
        <v>299.08847869495395</v>
      </c>
      <c r="EN114" s="59">
        <f t="shared" si="74"/>
        <v>586.50882506086782</v>
      </c>
      <c r="EO114" s="59">
        <f ca="1">AVERAGE(OFFSET($EN$3,0,0,'Données projet'!$E$15+1,1))-AVERAGE(OFFSET($H$3,0,0,'Données projet'!$E$15+1,1))</f>
        <v>205.83135724908942</v>
      </c>
      <c r="EP114" s="59">
        <f t="shared" si="100"/>
        <v>193.60053377311405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13.998770510197186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13.998770510197186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204.00000000000017</v>
      </c>
      <c r="FF114" s="17">
        <f>FE114*VLOOKUP('Données projet'!$B$16,Paramètres!$A$1:$I$89,3,0)*VLOOKUP('Données projet'!$B$16,Paramètres!$A$1:$I$89,5,0)</f>
        <v>133.66080000000011</v>
      </c>
      <c r="FG114" s="13">
        <f t="shared" si="101"/>
        <v>34.840890682716783</v>
      </c>
      <c r="FH114" s="20">
        <f t="shared" si="76"/>
        <v>293.4737779390652</v>
      </c>
      <c r="FI114" s="59">
        <f t="shared" si="77"/>
        <v>580.89412430497919</v>
      </c>
      <c r="FJ114" s="59">
        <f ca="1">AVERAGE(OFFSET($FI$3,0,0,'Données projet'!$E$16+1,1))-AVERAGE(OFFSET($H$3,0,0,'Données projet'!$E$16+1,1))</f>
        <v>242.76791261317206</v>
      </c>
      <c r="FK114" s="59">
        <f t="shared" si="102"/>
        <v>244.28580264867682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26.002780277189313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26.002780277189313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6.8850000000000025</v>
      </c>
      <c r="FZ114" s="12">
        <f>IF('Données projet'!$A$244&gt;35,FZ113+FY114-GH113,IF(A114&lt;'Données projet'!$A$244,$FW$205^A114,IF(A114='Données projet'!$A$244,'Données projet'!$B$244,FZ113+FY114-GH113)))</f>
        <v>342.28</v>
      </c>
      <c r="GA114" s="17">
        <f>FZ114*VLOOKUP('Données projet'!$B$17,Paramètres!$A$1:$I$89,3,0)*VLOOKUP('Données projet'!$B$17,Paramètres!$A$1:$I$89,5,0)</f>
        <v>325.71364799999998</v>
      </c>
      <c r="GB114" s="13">
        <f t="shared" si="103"/>
        <v>76.540961977096387</v>
      </c>
      <c r="GC114" s="20">
        <f t="shared" si="79"/>
        <v>700.59344571010945</v>
      </c>
      <c r="GD114" s="59">
        <f t="shared" si="80"/>
        <v>988.01379207602338</v>
      </c>
      <c r="GE114" s="59">
        <f ca="1">AVERAGE(OFFSET($GD$3,0,0,'Données projet'!$E$17+1,1))-AVERAGE(OFFSET($H$3,0,0,'Données projet'!$E$17+1,1))</f>
        <v>512.71941256120977</v>
      </c>
      <c r="GF114" s="59">
        <f t="shared" si="104"/>
        <v>230.65031527019354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83.217146076283399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83.217146076283399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68.387367190703799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-5.6843418860808015E-14</v>
      </c>
      <c r="GV114" s="17">
        <f>GU114*VLOOKUP('Données projet'!$B$18,Paramètres!$A$1:$I$89,3,0)*VLOOKUP('Données projet'!$B$18,Paramètres!$A$1:$I$89,5,0)</f>
        <v>-2.5006556825246661E-14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180.68917161146683</v>
      </c>
      <c r="HA114" s="59">
        <f t="shared" si="106"/>
        <v>344.42126252322419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12.856822198471546</v>
      </c>
      <c r="HH114" s="21">
        <f>EXP(-LN(2)/25)*HH113+(1-EXP(-LN(2)/25))/(LN(2)/25)*Calculateur!HC114*Calculateur!HE114*VLOOKUP('Données projet'!$B$18,Paramètres!$A$1:$I$89,3,0)*0.475*44/12</f>
        <v>1.7532305317218284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14.610052730193374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2.25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8.25</v>
      </c>
      <c r="H115" s="66">
        <f t="shared" si="56"/>
        <v>223.66666666666666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6.8850000000000025</v>
      </c>
      <c r="N115" s="13">
        <f>IF('Données projet'!$A$36&gt;35,N114+M115-V114,IF(A115&lt;'Données projet'!$A$36,$K$205^A115,IF(A115='Données projet'!$A$36,'Données projet'!$B$36,N114+M115-V114)))</f>
        <v>349.16499999999996</v>
      </c>
      <c r="O115" s="13">
        <f>N115*VLOOKUP('Données projet'!$B$9,Paramètres!$A$1:$I$89,3,0)*VLOOKUP('Données projet'!$B$9,Paramètres!$A$1:$I$89,5,0)</f>
        <v>315.92449199999993</v>
      </c>
      <c r="P115" s="13">
        <f t="shared" si="87"/>
        <v>74.504733407269114</v>
      </c>
      <c r="Q115" s="20">
        <f t="shared" si="107"/>
        <v>679.99756758432682</v>
      </c>
      <c r="R115" s="59">
        <f t="shared" si="55"/>
        <v>967.52049105466699</v>
      </c>
      <c r="S115" s="59">
        <f ca="1">AVERAGE(OFFSET($R$3,0,0,'Données projet'!$E$9+1,1))-AVERAGE(OFFSET($H$3,0,0,'Données projet'!$E$9+1,1))</f>
        <v>490.57849401500789</v>
      </c>
      <c r="T115" s="59">
        <f t="shared" si="88"/>
        <v>221.7570623669753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77.572916372985759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77.572916372985759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6.5011111111111068</v>
      </c>
      <c r="AI115" s="13">
        <f>IF('Données projet'!$A$62&gt;35,AI114+AH115-AQ114,IF(A115&lt;'Données projet'!$A$62,$AF$205^A115,IF(A115='Données projet'!$A$62,'Données projet'!$B$62,AI114+AH115-AQ114)))</f>
        <v>287.39888888888902</v>
      </c>
      <c r="AJ115" s="13">
        <f>AI115*VLOOKUP('Données projet'!$B$10,Paramètres!$A$1:$I$89,3,0)*VLOOKUP('Données projet'!$B$10,Paramètres!$A$1:$I$89,5,0)</f>
        <v>192.78717466666674</v>
      </c>
      <c r="AK115" s="13">
        <f t="shared" si="89"/>
        <v>48.155634358669225</v>
      </c>
      <c r="AL115" s="20">
        <f t="shared" si="58"/>
        <v>419.64205905246013</v>
      </c>
      <c r="AM115" s="59">
        <f t="shared" si="59"/>
        <v>707.1649825228003</v>
      </c>
      <c r="AN115" s="59">
        <f ca="1">AVERAGE(OFFSET($AM$3,0,0,'Données projet'!$E$10+1,1))-AVERAGE(OFFSET($H$3,0,0,'Données projet'!$E$10+1,1))</f>
        <v>377.00534440335832</v>
      </c>
      <c r="AO115" s="59">
        <f t="shared" si="90"/>
        <v>131.56029120000656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53.646367928041826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53.646367928041826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212.00000000000009</v>
      </c>
      <c r="BE115" s="13">
        <f>BD115*VLOOKUP('Données projet'!$B$11,Paramètres!$A$1:$I$89,3,0)*VLOOKUP('Données projet'!$B$11,Paramètres!$A$1:$I$89,5,0)</f>
        <v>185.20320000000009</v>
      </c>
      <c r="BF115" s="13">
        <f t="shared" si="91"/>
        <v>46.477875402099386</v>
      </c>
      <c r="BG115" s="20">
        <f t="shared" si="61"/>
        <v>403.5112063253232</v>
      </c>
      <c r="BH115" s="59">
        <f t="shared" si="62"/>
        <v>691.03412979566338</v>
      </c>
      <c r="BI115" s="59">
        <f ca="1">AVERAGE(OFFSET($BH$3,0,0,'Données projet'!$E$11+1,1))-AVERAGE(OFFSET($H$3,0,0,'Données projet'!$E$11+1,1))</f>
        <v>314.1123649635374</v>
      </c>
      <c r="BJ115" s="59">
        <f t="shared" si="92"/>
        <v>274.92342227914889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34.529282762901069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34.529282762901069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212.42519999999985</v>
      </c>
      <c r="CA115" s="13">
        <f t="shared" si="93"/>
        <v>52.465198231787184</v>
      </c>
      <c r="CB115" s="20">
        <f t="shared" si="64"/>
        <v>461.35077692036231</v>
      </c>
      <c r="CC115" s="59">
        <f t="shared" si="65"/>
        <v>748.87370039070254</v>
      </c>
      <c r="CD115" s="59">
        <f ca="1">AVERAGE(OFFSET($CC$3,0,0,'Données projet'!$E$12+1,1))-AVERAGE(OFFSET($H$3,0,0,'Données projet'!$E$12+1,1))</f>
        <v>309.86296291630748</v>
      </c>
      <c r="CE115" s="59">
        <f t="shared" si="94"/>
        <v>301.17633325088661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23.021306344371855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23.021306344371855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5.6</v>
      </c>
      <c r="CT115" s="12">
        <f>IF('Données projet'!$A$140&gt;35,CT114+CS115-DB114,IF(A115&lt;'Données projet'!$A$140,$CQ$205^A115,IF(A115='Données projet'!$A$140,'Données projet'!$B$140,CT114+CS115-DB114)))</f>
        <v>409.2000000000001</v>
      </c>
      <c r="CU115" s="17">
        <f>CT115*VLOOKUP('Données projet'!$B$13,Paramètres!$A$1:$I$89,3,0)*VLOOKUP('Données projet'!$B$13,Paramètres!$A$1:$I$89,5,0)</f>
        <v>351.09360000000015</v>
      </c>
      <c r="CV115" s="13">
        <f t="shared" si="95"/>
        <v>81.787653933539119</v>
      </c>
      <c r="CW115" s="20">
        <f t="shared" si="67"/>
        <v>753.93485060091416</v>
      </c>
      <c r="CX115" s="59">
        <f t="shared" si="68"/>
        <v>1041.4577740712543</v>
      </c>
      <c r="CY115" s="59">
        <f ca="1">AVERAGE(OFFSET($CX$3,0,0,'Données projet'!$E$13+1,1))-AVERAGE(OFFSET($H$3,0,0,'Données projet'!$E$13+1,1))</f>
        <v>462.66388549889928</v>
      </c>
      <c r="CZ115" s="59">
        <f t="shared" si="96"/>
        <v>265.3725203415089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105.3791122609548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105.3791122609548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210.25641030000014</v>
      </c>
      <c r="DP115" s="17">
        <f>DO115*VLOOKUP('Données projet'!$B$14,Paramètres!$A$1:$I$89,3,0)*VLOOKUP('Données projet'!$B$14,Paramètres!$A$1:$I$89,5,0)</f>
        <v>164.00000003400012</v>
      </c>
      <c r="DQ115" s="13">
        <f t="shared" si="97"/>
        <v>41.743425916009095</v>
      </c>
      <c r="DR115" s="20">
        <f t="shared" si="70"/>
        <v>358.3364668629327</v>
      </c>
      <c r="DS115" s="59">
        <f t="shared" si="71"/>
        <v>645.85939033327293</v>
      </c>
      <c r="DT115" s="59">
        <f ca="1">AVERAGE(OFFSET($DS$3,0,0,'Données projet'!$E$14+1,1))-AVERAGE(OFFSET($H$3,0,0,'Données projet'!$E$14+1,1))</f>
        <v>206.5241977687125</v>
      </c>
      <c r="DU115" s="59">
        <f t="shared" si="98"/>
        <v>205.25001043771269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13.781561099075624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13.781561099075624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155.99999999999991</v>
      </c>
      <c r="EK115" s="17">
        <f>EJ115*VLOOKUP('Données projet'!$B$15,Paramètres!$A$1:$I$89,3,0)*VLOOKUP('Données projet'!$B$15,Paramètres!$A$1:$I$89,5,0)</f>
        <v>136.28159999999994</v>
      </c>
      <c r="EL115" s="13">
        <f t="shared" si="99"/>
        <v>35.443842312892279</v>
      </c>
      <c r="EM115" s="20">
        <f t="shared" si="73"/>
        <v>299.08847869495395</v>
      </c>
      <c r="EN115" s="59">
        <f t="shared" si="74"/>
        <v>586.61140216529418</v>
      </c>
      <c r="EO115" s="59">
        <f ca="1">AVERAGE(OFFSET($EN$3,0,0,'Données projet'!$E$15+1,1))-AVERAGE(OFFSET($H$3,0,0,'Données projet'!$E$15+1,1))</f>
        <v>205.83135724908942</v>
      </c>
      <c r="EP115" s="59">
        <f t="shared" si="100"/>
        <v>193.60053377311405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13.724263158899133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13.724263158899133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204.00000000000017</v>
      </c>
      <c r="FF115" s="17">
        <f>FE115*VLOOKUP('Données projet'!$B$16,Paramètres!$A$1:$I$89,3,0)*VLOOKUP('Données projet'!$B$16,Paramètres!$A$1:$I$89,5,0)</f>
        <v>133.66080000000011</v>
      </c>
      <c r="FG115" s="13">
        <f t="shared" si="101"/>
        <v>34.840890682716783</v>
      </c>
      <c r="FH115" s="20">
        <f t="shared" si="76"/>
        <v>293.4737779390652</v>
      </c>
      <c r="FI115" s="59">
        <f t="shared" si="77"/>
        <v>580.99670140940543</v>
      </c>
      <c r="FJ115" s="59">
        <f ca="1">AVERAGE(OFFSET($FI$3,0,0,'Données projet'!$E$16+1,1))-AVERAGE(OFFSET($H$3,0,0,'Données projet'!$E$16+1,1))</f>
        <v>242.76791261317206</v>
      </c>
      <c r="FK115" s="59">
        <f t="shared" si="102"/>
        <v>244.28580264867682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25.49288161608354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25.49288161608354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6.8850000000000025</v>
      </c>
      <c r="FZ115" s="12">
        <f>IF('Données projet'!$A$244&gt;35,FZ114+FY115-GH114,IF(A115&lt;'Données projet'!$A$244,$FW$205^A115,IF(A115='Données projet'!$A$244,'Données projet'!$B$244,FZ114+FY115-GH114)))</f>
        <v>349.16499999999996</v>
      </c>
      <c r="GA115" s="17">
        <f>FZ115*VLOOKUP('Données projet'!$B$17,Paramètres!$A$1:$I$89,3,0)*VLOOKUP('Données projet'!$B$17,Paramètres!$A$1:$I$89,5,0)</f>
        <v>332.26541399999996</v>
      </c>
      <c r="GB115" s="13">
        <f t="shared" si="103"/>
        <v>77.899798116434297</v>
      </c>
      <c r="GC115" s="20">
        <f t="shared" si="79"/>
        <v>714.37107776945629</v>
      </c>
      <c r="GD115" s="59">
        <f t="shared" si="80"/>
        <v>1001.8940012397966</v>
      </c>
      <c r="GE115" s="59">
        <f ca="1">AVERAGE(OFFSET($GD$3,0,0,'Données projet'!$E$17+1,1))-AVERAGE(OFFSET($H$3,0,0,'Données projet'!$E$17+1,1))</f>
        <v>512.71941256120977</v>
      </c>
      <c r="GF115" s="59">
        <f t="shared" si="104"/>
        <v>230.65031527019354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81.585308599174709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81.585308599174709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68.41534276463824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-5.6843418860808015E-14</v>
      </c>
      <c r="GV115" s="17">
        <f>GU115*VLOOKUP('Données projet'!$B$18,Paramètres!$A$1:$I$89,3,0)*VLOOKUP('Données projet'!$B$18,Paramètres!$A$1:$I$89,5,0)</f>
        <v>-2.5006556825246661E-14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180.68917161146683</v>
      </c>
      <c r="HA115" s="59">
        <f t="shared" si="106"/>
        <v>344.42126252322419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12.604707757046738</v>
      </c>
      <c r="HH115" s="21">
        <f>EXP(-LN(2)/25)*HH114+(1-EXP(-LN(2)/25))/(LN(2)/25)*Calculateur!HC115*Calculateur!HE115*VLOOKUP('Données projet'!$B$18,Paramètres!$A$1:$I$89,3,0)*0.475*44/12</f>
        <v>1.7052883506335084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14.309996107680245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2.25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8.25</v>
      </c>
      <c r="H116" s="66">
        <f t="shared" si="56"/>
        <v>223.66666666666666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356.05</v>
      </c>
      <c r="L116" s="12">
        <f>VLOOKUP(A116,'Données projet'!$A$35:$I$55,9,0)</f>
        <v>6.8850000000000025</v>
      </c>
      <c r="M116" s="12">
        <f t="array" ref="M116">INDEX(L:L,MIN(IF(ISNUMBER(L116:L312),ROW(L116:L312),"")))</f>
        <v>6.8850000000000025</v>
      </c>
      <c r="N116" s="13">
        <f>IF('Données projet'!$A$36&gt;35,N115+M116-V115,IF(A116&lt;'Données projet'!$A$36,$K$205^A116,IF(A116='Données projet'!$A$36,'Données projet'!$B$36,N115+M116-V115)))</f>
        <v>356.04999999999995</v>
      </c>
      <c r="O116" s="13">
        <f>N116*VLOOKUP('Données projet'!$B$9,Paramètres!$A$1:$I$89,3,0)*VLOOKUP('Données projet'!$B$9,Paramètres!$A$1:$I$89,5,0)</f>
        <v>322.15403999999995</v>
      </c>
      <c r="P116" s="13">
        <f t="shared" si="87"/>
        <v>75.80136842886715</v>
      </c>
      <c r="Q116" s="20">
        <f t="shared" si="107"/>
        <v>693.10566968027672</v>
      </c>
      <c r="R116" s="59">
        <f t="shared" si="55"/>
        <v>980.72939077160947</v>
      </c>
      <c r="S116" s="59">
        <f ca="1">AVERAGE(OFFSET($R$3,0,0,'Données projet'!$E$9+1,1))-AVERAGE(OFFSET($H$3,0,0,'Données projet'!$E$9+1,1))</f>
        <v>490.57849401500789</v>
      </c>
      <c r="T116" s="59">
        <f t="shared" si="88"/>
        <v>221.7570623669753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40.479999999999997</v>
      </c>
      <c r="W116" s="16">
        <f>IF(ISNA(VLOOKUP(A116,'Données projet'!$A$35:$I$55,5,0)),0%,VLOOKUP(A116,'Données projet'!$A$35:$I$55,5,0)*VLOOKUP('Données projet'!$B$9,Paramètres!$A$1:$I$89,7,0))</f>
        <v>0.43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93.462155296739311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93.462155296739311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293.89999999999998</v>
      </c>
      <c r="AG116" s="12">
        <f>VLOOKUP(A116,'Données projet'!$A$61:$I$81,9,0)</f>
        <v>6.5011111111111068</v>
      </c>
      <c r="AH116" s="12">
        <f t="array" ref="AH116">INDEX(AG:AG,MIN(IF(ISNUMBER(AG116:AG312),ROW(AG116:AG312),"")))</f>
        <v>6.5011111111111068</v>
      </c>
      <c r="AI116" s="13">
        <f>IF('Données projet'!$A$62&gt;35,AI115+AH116-AQ115,IF(A116&lt;'Données projet'!$A$62,$AF$205^A116,IF(A116='Données projet'!$A$62,'Données projet'!$B$62,AI115+AH116-AQ115)))</f>
        <v>293.90000000000015</v>
      </c>
      <c r="AJ116" s="13">
        <f>AI116*VLOOKUP('Données projet'!$B$10,Paramètres!$A$1:$I$89,3,0)*VLOOKUP('Données projet'!$B$10,Paramètres!$A$1:$I$89,5,0)</f>
        <v>197.14812000000012</v>
      </c>
      <c r="AK116" s="13">
        <f t="shared" si="89"/>
        <v>49.11688789437774</v>
      </c>
      <c r="AL116" s="20">
        <f t="shared" si="58"/>
        <v>428.91155541604144</v>
      </c>
      <c r="AM116" s="59">
        <f t="shared" si="59"/>
        <v>716.53527650737419</v>
      </c>
      <c r="AN116" s="59">
        <f ca="1">AVERAGE(OFFSET($AM$3,0,0,'Données projet'!$E$10+1,1))-AVERAGE(OFFSET($H$3,0,0,'Données projet'!$E$10+1,1))</f>
        <v>377.00534440335832</v>
      </c>
      <c r="AO116" s="59">
        <f t="shared" si="90"/>
        <v>131.56029120000656</v>
      </c>
      <c r="AP116" s="15">
        <f>IF(ISNA(VLOOKUP(A116,'Données projet'!$A$61:$I$81,3,0)),0,VLOOKUP(A116,'Données projet'!$A$61:$I$81,3,0))</f>
        <v>7</v>
      </c>
      <c r="AQ116" s="15">
        <f>IF(ISNA(VLOOKUP(A116,'Données projet'!$A$61:$I$81,4,0)),0,VLOOKUP(A116,'Données projet'!$A$61:$I$81,4,0))</f>
        <v>37.82</v>
      </c>
      <c r="AR116" s="16">
        <f>IF(ISNA(VLOOKUP(A116,'Données projet'!$A$61:$I$81,5,0)),0%,VLOOKUP(A116,'Données projet'!$A$61:$I$81,5,0)*VLOOKUP('Données projet'!$B$10,Paramètres!$A$1:$I$89,7,0))</f>
        <v>0.53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67.458459094904825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67.458459094904825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212.00000000000009</v>
      </c>
      <c r="BE116" s="13">
        <f>BD116*VLOOKUP('Données projet'!$B$11,Paramètres!$A$1:$I$89,3,0)*VLOOKUP('Données projet'!$B$11,Paramètres!$A$1:$I$89,5,0)</f>
        <v>185.20320000000009</v>
      </c>
      <c r="BF116" s="13">
        <f t="shared" si="91"/>
        <v>46.477875402099386</v>
      </c>
      <c r="BG116" s="20">
        <f t="shared" si="61"/>
        <v>403.5112063253232</v>
      </c>
      <c r="BH116" s="59">
        <f t="shared" si="62"/>
        <v>691.13492741665596</v>
      </c>
      <c r="BI116" s="59">
        <f ca="1">AVERAGE(OFFSET($BH$3,0,0,'Données projet'!$E$11+1,1))-AVERAGE(OFFSET($H$3,0,0,'Données projet'!$E$11+1,1))</f>
        <v>314.1123649635374</v>
      </c>
      <c r="BJ116" s="59">
        <f t="shared" si="92"/>
        <v>274.92342227914889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33.852184588703487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33.852184588703487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212.42519999999985</v>
      </c>
      <c r="CA116" s="13">
        <f t="shared" si="93"/>
        <v>52.465198231787184</v>
      </c>
      <c r="CB116" s="20">
        <f t="shared" si="64"/>
        <v>461.35077692036231</v>
      </c>
      <c r="CC116" s="59">
        <f t="shared" si="65"/>
        <v>748.974498011695</v>
      </c>
      <c r="CD116" s="59">
        <f ca="1">AVERAGE(OFFSET($CC$3,0,0,'Données projet'!$E$12+1,1))-AVERAGE(OFFSET($H$3,0,0,'Données projet'!$E$12+1,1))</f>
        <v>309.86296291630748</v>
      </c>
      <c r="CE116" s="59">
        <f t="shared" si="94"/>
        <v>301.17633325088661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22.5698725685691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22.5698725685691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5.6</v>
      </c>
      <c r="CT116" s="12">
        <f>IF('Données projet'!$A$140&gt;35,CT115+CS116-DB115,IF(A116&lt;'Données projet'!$A$140,$CQ$205^A116,IF(A116='Données projet'!$A$140,'Données projet'!$B$140,CT115+CS116-DB115)))</f>
        <v>414.80000000000013</v>
      </c>
      <c r="CU116" s="17">
        <f>CT116*VLOOKUP('Données projet'!$B$13,Paramètres!$A$1:$I$89,3,0)*VLOOKUP('Données projet'!$B$13,Paramètres!$A$1:$I$89,5,0)</f>
        <v>355.89840000000015</v>
      </c>
      <c r="CV116" s="13">
        <f t="shared" si="95"/>
        <v>82.775869214346599</v>
      </c>
      <c r="CW116" s="20">
        <f t="shared" si="67"/>
        <v>764.02435221498718</v>
      </c>
      <c r="CX116" s="59">
        <f t="shared" si="68"/>
        <v>1051.6480733063199</v>
      </c>
      <c r="CY116" s="59">
        <f ca="1">AVERAGE(OFFSET($CX$3,0,0,'Données projet'!$E$13+1,1))-AVERAGE(OFFSET($H$3,0,0,'Données projet'!$E$13+1,1))</f>
        <v>462.66388549889928</v>
      </c>
      <c r="CZ116" s="59">
        <f t="shared" si="96"/>
        <v>265.3725203415089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103.31269214442933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103.31269214442933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210.25641030000014</v>
      </c>
      <c r="DP116" s="17">
        <f>DO116*VLOOKUP('Données projet'!$B$14,Paramètres!$A$1:$I$89,3,0)*VLOOKUP('Données projet'!$B$14,Paramètres!$A$1:$I$89,5,0)</f>
        <v>164.00000003400012</v>
      </c>
      <c r="DQ116" s="13">
        <f t="shared" si="97"/>
        <v>41.743425916009095</v>
      </c>
      <c r="DR116" s="20">
        <f t="shared" si="70"/>
        <v>358.3364668629327</v>
      </c>
      <c r="DS116" s="59">
        <f t="shared" si="71"/>
        <v>645.96018795426539</v>
      </c>
      <c r="DT116" s="59">
        <f ca="1">AVERAGE(OFFSET($DS$3,0,0,'Données projet'!$E$14+1,1))-AVERAGE(OFFSET($H$3,0,0,'Données projet'!$E$14+1,1))</f>
        <v>206.5241977687125</v>
      </c>
      <c r="DU116" s="59">
        <f t="shared" si="98"/>
        <v>205.25001043771269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13.511313091845006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13.511313091845006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155.99999999999991</v>
      </c>
      <c r="EK116" s="17">
        <f>EJ116*VLOOKUP('Données projet'!$B$15,Paramètres!$A$1:$I$89,3,0)*VLOOKUP('Données projet'!$B$15,Paramètres!$A$1:$I$89,5,0)</f>
        <v>136.28159999999994</v>
      </c>
      <c r="EL116" s="13">
        <f t="shared" si="99"/>
        <v>35.443842312892279</v>
      </c>
      <c r="EM116" s="20">
        <f t="shared" si="73"/>
        <v>299.08847869495395</v>
      </c>
      <c r="EN116" s="59">
        <f t="shared" si="74"/>
        <v>586.71219978628665</v>
      </c>
      <c r="EO116" s="59">
        <f ca="1">AVERAGE(OFFSET($EN$3,0,0,'Données projet'!$E$15+1,1))-AVERAGE(OFFSET($H$3,0,0,'Données projet'!$E$15+1,1))</f>
        <v>205.83135724908942</v>
      </c>
      <c r="EP116" s="59">
        <f t="shared" si="100"/>
        <v>193.60053377311405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13.455138729327082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13.455138729327082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204.00000000000017</v>
      </c>
      <c r="FF116" s="17">
        <f>FE116*VLOOKUP('Données projet'!$B$16,Paramètres!$A$1:$I$89,3,0)*VLOOKUP('Données projet'!$B$16,Paramètres!$A$1:$I$89,5,0)</f>
        <v>133.66080000000011</v>
      </c>
      <c r="FG116" s="13">
        <f t="shared" si="101"/>
        <v>34.840890682716783</v>
      </c>
      <c r="FH116" s="20">
        <f t="shared" si="76"/>
        <v>293.4737779390652</v>
      </c>
      <c r="FI116" s="59">
        <f t="shared" si="77"/>
        <v>581.09749903039801</v>
      </c>
      <c r="FJ116" s="59">
        <f ca="1">AVERAGE(OFFSET($FI$3,0,0,'Données projet'!$E$16+1,1))-AVERAGE(OFFSET($H$3,0,0,'Données projet'!$E$16+1,1))</f>
        <v>242.76791261317206</v>
      </c>
      <c r="FK116" s="59">
        <f t="shared" si="102"/>
        <v>244.28580264867682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24.992981756714581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24.992981756714581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>
        <f>VLOOKUP(A116,'Données projet'!$A$243:$I$263,2,0)</f>
        <v>356.05</v>
      </c>
      <c r="FX116" s="12">
        <f>VLOOKUP(A116,'Données projet'!$A$243:$I$263,9,0)</f>
        <v>6.8850000000000025</v>
      </c>
      <c r="FY116" s="12">
        <f t="array" ref="FY116">INDEX(FX:FX,MIN(IF(ISNUMBER(FX116:FX312),ROW(FX116:FX312),"")))</f>
        <v>6.8850000000000025</v>
      </c>
      <c r="FZ116" s="12">
        <f>IF('Données projet'!$A$244&gt;35,FZ115+FY116-GH115,IF(A116&lt;'Données projet'!$A$244,$FW$205^A116,IF(A116='Données projet'!$A$244,'Données projet'!$B$244,FZ115+FY116-GH115)))</f>
        <v>356.04999999999995</v>
      </c>
      <c r="GA116" s="17">
        <f>FZ116*VLOOKUP('Données projet'!$B$17,Paramètres!$A$1:$I$89,3,0)*VLOOKUP('Données projet'!$B$17,Paramètres!$A$1:$I$89,5,0)</f>
        <v>338.81717999999995</v>
      </c>
      <c r="GB116" s="13">
        <f t="shared" si="103"/>
        <v>79.255518777308779</v>
      </c>
      <c r="GC116" s="20">
        <f t="shared" si="79"/>
        <v>728.1432837038127</v>
      </c>
      <c r="GD116" s="59">
        <f t="shared" si="80"/>
        <v>1015.7670047951455</v>
      </c>
      <c r="GE116" s="59">
        <f ca="1">AVERAGE(OFFSET($GD$3,0,0,'Données projet'!$E$17+1,1))-AVERAGE(OFFSET($H$3,0,0,'Données projet'!$E$17+1,1))</f>
        <v>512.71941256120977</v>
      </c>
      <c r="GF116" s="59">
        <f t="shared" si="104"/>
        <v>230.65031527019354</v>
      </c>
      <c r="GG116" s="15">
        <f>IF(ISNA(VLOOKUP(A116,'Données projet'!$A$243:$I$263,3,0)),0,VLOOKUP(A116,'Données projet'!$A$243:$I$263,3,0))</f>
        <v>9</v>
      </c>
      <c r="GH116" s="15">
        <f>IF(ISNA(VLOOKUP(A116,'Données projet'!$A$243:$I$263,4,0)),0,VLOOKUP(A116,'Données projet'!$A$243:$I$263,4,0))</f>
        <v>40.479999999999997</v>
      </c>
      <c r="GI116" s="16">
        <f>IF(ISNA(VLOOKUP(A116,'Données projet'!$A$243:$I$263,5,0)),0%,VLOOKUP(A116,'Données projet'!$A$243:$I$263,5,0)*VLOOKUP('Données projet'!$B$17,Paramètres!$A$1:$I$89,7,0))</f>
        <v>0.43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98.296404708639656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98.296404708639656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68.442833024908936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-5.6843418860808015E-14</v>
      </c>
      <c r="GV116" s="17">
        <f>GU116*VLOOKUP('Données projet'!$B$18,Paramètres!$A$1:$I$89,3,0)*VLOOKUP('Données projet'!$B$18,Paramètres!$A$1:$I$89,5,0)</f>
        <v>-2.5006556825246661E-14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180.68917161146683</v>
      </c>
      <c r="HA116" s="59">
        <f t="shared" si="106"/>
        <v>344.42126252322419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12.357537126043646</v>
      </c>
      <c r="HH116" s="21">
        <f>EXP(-LN(2)/25)*HH115+(1-EXP(-LN(2)/25))/(LN(2)/25)*Calculateur!HC116*Calculateur!HE116*VLOOKUP('Données projet'!$B$18,Paramètres!$A$1:$I$89,3,0)*0.475*44/12</f>
        <v>1.6586571510082182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14.016194277051863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2.25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8.25</v>
      </c>
      <c r="H117" s="66">
        <f t="shared" si="56"/>
        <v>223.66666666666666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7.4200000000000017</v>
      </c>
      <c r="N117" s="13">
        <f>IF('Données projet'!$A$36&gt;35,N116+M117-V116,IF(A117&lt;'Données projet'!$A$36,$K$205^A117,IF(A117='Données projet'!$A$36,'Données projet'!$B$36,N116+M117-V116)))</f>
        <v>322.98999999999995</v>
      </c>
      <c r="O117" s="13">
        <f>N117*VLOOKUP('Données projet'!$B$9,Paramètres!$A$1:$I$89,3,0)*VLOOKUP('Données projet'!$B$9,Paramètres!$A$1:$I$89,5,0)</f>
        <v>292.24135199999995</v>
      </c>
      <c r="P117" s="13">
        <f t="shared" si="87"/>
        <v>69.54748076489652</v>
      </c>
      <c r="Q117" s="20">
        <f t="shared" si="107"/>
        <v>630.11555039886127</v>
      </c>
      <c r="R117" s="59">
        <f t="shared" si="55"/>
        <v>917.83832049781199</v>
      </c>
      <c r="S117" s="59">
        <f ca="1">AVERAGE(OFFSET($R$3,0,0,'Données projet'!$E$9+1,1))-AVERAGE(OFFSET($H$3,0,0,'Données projet'!$E$9+1,1))</f>
        <v>490.57849401500789</v>
      </c>
      <c r="T117" s="59">
        <f t="shared" si="88"/>
        <v>221.7570623669753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91.629419437656082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91.629419437656082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6.5766666666666662</v>
      </c>
      <c r="AI117" s="13">
        <f>IF('Données projet'!$A$62&gt;35,AI116+AH117-AQ116,IF(A117&lt;'Données projet'!$A$62,$AF$205^A117,IF(A117='Données projet'!$A$62,'Données projet'!$B$62,AI116+AH117-AQ116)))</f>
        <v>262.65666666666681</v>
      </c>
      <c r="AJ117" s="13">
        <f>AI117*VLOOKUP('Données projet'!$B$10,Paramètres!$A$1:$I$89,3,0)*VLOOKUP('Données projet'!$B$10,Paramètres!$A$1:$I$89,5,0)</f>
        <v>176.19009200000011</v>
      </c>
      <c r="AK117" s="13">
        <f t="shared" si="89"/>
        <v>44.473499336502293</v>
      </c>
      <c r="AL117" s="20">
        <f t="shared" si="58"/>
        <v>384.32242157774164</v>
      </c>
      <c r="AM117" s="59">
        <f t="shared" si="59"/>
        <v>672.04519167669241</v>
      </c>
      <c r="AN117" s="59">
        <f ca="1">AVERAGE(OFFSET($AM$3,0,0,'Données projet'!$E$10+1,1))-AVERAGE(OFFSET($H$3,0,0,'Données projet'!$E$10+1,1))</f>
        <v>377.00534440335832</v>
      </c>
      <c r="AO117" s="59">
        <f t="shared" si="90"/>
        <v>131.56029120000656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66.135639857651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66.135639857651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212.00000000000009</v>
      </c>
      <c r="BE117" s="13">
        <f>BD117*VLOOKUP('Données projet'!$B$11,Paramètres!$A$1:$I$89,3,0)*VLOOKUP('Données projet'!$B$11,Paramètres!$A$1:$I$89,5,0)</f>
        <v>185.20320000000009</v>
      </c>
      <c r="BF117" s="13">
        <f t="shared" si="91"/>
        <v>46.477875402099386</v>
      </c>
      <c r="BG117" s="20">
        <f t="shared" si="61"/>
        <v>403.5112063253232</v>
      </c>
      <c r="BH117" s="59">
        <f t="shared" si="62"/>
        <v>691.23397642427403</v>
      </c>
      <c r="BI117" s="59">
        <f ca="1">AVERAGE(OFFSET($BH$3,0,0,'Données projet'!$E$11+1,1))-AVERAGE(OFFSET($H$3,0,0,'Données projet'!$E$11+1,1))</f>
        <v>314.1123649635374</v>
      </c>
      <c r="BJ117" s="59">
        <f t="shared" si="92"/>
        <v>274.92342227914889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33.188363896712808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33.188363896712808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212.42519999999985</v>
      </c>
      <c r="CA117" s="13">
        <f t="shared" si="93"/>
        <v>52.465198231787184</v>
      </c>
      <c r="CB117" s="20">
        <f t="shared" si="64"/>
        <v>461.35077692036231</v>
      </c>
      <c r="CC117" s="59">
        <f t="shared" si="65"/>
        <v>749.07354701931308</v>
      </c>
      <c r="CD117" s="59">
        <f ca="1">AVERAGE(OFFSET($CC$3,0,0,'Données projet'!$E$12+1,1))-AVERAGE(OFFSET($H$3,0,0,'Données projet'!$E$12+1,1))</f>
        <v>309.86296291630748</v>
      </c>
      <c r="CE117" s="59">
        <f t="shared" si="94"/>
        <v>301.17633325088661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22.127291133762419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22.127291133762419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5.6</v>
      </c>
      <c r="CT117" s="12">
        <f>IF('Données projet'!$A$140&gt;35,CT116+CS117-DB116,IF(A117&lt;'Données projet'!$A$140,$CQ$205^A117,IF(A117='Données projet'!$A$140,'Données projet'!$B$140,CT116+CS117-DB116)))</f>
        <v>420.40000000000015</v>
      </c>
      <c r="CU117" s="17">
        <f>CT117*VLOOKUP('Données projet'!$B$13,Paramètres!$A$1:$I$89,3,0)*VLOOKUP('Données projet'!$B$13,Paramètres!$A$1:$I$89,5,0)</f>
        <v>360.70320000000021</v>
      </c>
      <c r="CV117" s="13">
        <f t="shared" si="95"/>
        <v>83.762532727902268</v>
      </c>
      <c r="CW117" s="20">
        <f t="shared" si="67"/>
        <v>774.11115116776352</v>
      </c>
      <c r="CX117" s="59">
        <f t="shared" si="68"/>
        <v>1061.8339212667142</v>
      </c>
      <c r="CY117" s="59">
        <f ca="1">AVERAGE(OFFSET($CX$3,0,0,'Données projet'!$E$13+1,1))-AVERAGE(OFFSET($H$3,0,0,'Données projet'!$E$13+1,1))</f>
        <v>462.66388549889928</v>
      </c>
      <c r="CZ117" s="59">
        <f t="shared" si="96"/>
        <v>265.3725203415089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101.28679326599712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101.28679326599712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210.25641030000014</v>
      </c>
      <c r="DP117" s="17">
        <f>DO117*VLOOKUP('Données projet'!$B$14,Paramètres!$A$1:$I$89,3,0)*VLOOKUP('Données projet'!$B$14,Paramètres!$A$1:$I$89,5,0)</f>
        <v>164.00000003400012</v>
      </c>
      <c r="DQ117" s="13">
        <f t="shared" si="97"/>
        <v>41.743425916009095</v>
      </c>
      <c r="DR117" s="20">
        <f t="shared" si="70"/>
        <v>358.3364668629327</v>
      </c>
      <c r="DS117" s="59">
        <f t="shared" si="71"/>
        <v>646.05923696188347</v>
      </c>
      <c r="DT117" s="59">
        <f ca="1">AVERAGE(OFFSET($DS$3,0,0,'Données projet'!$E$14+1,1))-AVERAGE(OFFSET($H$3,0,0,'Données projet'!$E$14+1,1))</f>
        <v>206.5241977687125</v>
      </c>
      <c r="DU117" s="59">
        <f t="shared" si="98"/>
        <v>205.25001043771269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13.246364483201171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13.246364483201171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155.99999999999991</v>
      </c>
      <c r="EK117" s="17">
        <f>EJ117*VLOOKUP('Données projet'!$B$15,Paramètres!$A$1:$I$89,3,0)*VLOOKUP('Données projet'!$B$15,Paramètres!$A$1:$I$89,5,0)</f>
        <v>136.28159999999994</v>
      </c>
      <c r="EL117" s="13">
        <f t="shared" si="99"/>
        <v>35.443842312892279</v>
      </c>
      <c r="EM117" s="20">
        <f t="shared" si="73"/>
        <v>299.08847869495395</v>
      </c>
      <c r="EN117" s="59">
        <f t="shared" si="74"/>
        <v>586.81124879390472</v>
      </c>
      <c r="EO117" s="59">
        <f ca="1">AVERAGE(OFFSET($EN$3,0,0,'Données projet'!$E$15+1,1))-AVERAGE(OFFSET($H$3,0,0,'Données projet'!$E$15+1,1))</f>
        <v>205.83135724908942</v>
      </c>
      <c r="EP117" s="59">
        <f t="shared" si="100"/>
        <v>193.60053377311405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13.191291665669246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13.191291665669246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204.00000000000017</v>
      </c>
      <c r="FF117" s="17">
        <f>FE117*VLOOKUP('Données projet'!$B$16,Paramètres!$A$1:$I$89,3,0)*VLOOKUP('Données projet'!$B$16,Paramètres!$A$1:$I$89,5,0)</f>
        <v>133.66080000000011</v>
      </c>
      <c r="FG117" s="13">
        <f t="shared" si="101"/>
        <v>34.840890682716783</v>
      </c>
      <c r="FH117" s="20">
        <f t="shared" si="76"/>
        <v>293.4737779390652</v>
      </c>
      <c r="FI117" s="59">
        <f t="shared" si="77"/>
        <v>581.19654803801598</v>
      </c>
      <c r="FJ117" s="59">
        <f ca="1">AVERAGE(OFFSET($FI$3,0,0,'Données projet'!$E$16+1,1))-AVERAGE(OFFSET($H$3,0,0,'Données projet'!$E$16+1,1))</f>
        <v>242.76791261317206</v>
      </c>
      <c r="FK117" s="59">
        <f t="shared" si="102"/>
        <v>244.28580264867682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24.502884628679038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24.502884628679038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7.4200000000000017</v>
      </c>
      <c r="FZ117" s="12">
        <f>IF('Données projet'!$A$244&gt;35,FZ116+FY117-GH116,IF(A117&lt;'Données projet'!$A$244,$FW$205^A117,IF(A117='Données projet'!$A$244,'Données projet'!$B$244,FZ116+FY117-GH116)))</f>
        <v>322.98999999999995</v>
      </c>
      <c r="GA117" s="17">
        <f>FZ117*VLOOKUP('Données projet'!$B$17,Paramètres!$A$1:$I$89,3,0)*VLOOKUP('Données projet'!$B$17,Paramètres!$A$1:$I$89,5,0)</f>
        <v>307.35728399999994</v>
      </c>
      <c r="GB117" s="13">
        <f t="shared" si="103"/>
        <v>72.71665118881495</v>
      </c>
      <c r="GC117" s="20">
        <f t="shared" si="79"/>
        <v>661.96210378718581</v>
      </c>
      <c r="GD117" s="59">
        <f t="shared" si="80"/>
        <v>949.68487388613653</v>
      </c>
      <c r="GE117" s="59">
        <f ca="1">AVERAGE(OFFSET($GD$3,0,0,'Données projet'!$E$17+1,1))-AVERAGE(OFFSET($H$3,0,0,'Données projet'!$E$17+1,1))</f>
        <v>512.71941256120977</v>
      </c>
      <c r="GF117" s="59">
        <f t="shared" si="104"/>
        <v>230.65031527019354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96.368872167190048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96.368872167190048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68.469846390622948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-5.6843418860808015E-14</v>
      </c>
      <c r="GV117" s="17">
        <f>GU117*VLOOKUP('Données projet'!$B$18,Paramètres!$A$1:$I$89,3,0)*VLOOKUP('Données projet'!$B$18,Paramètres!$A$1:$I$89,5,0)</f>
        <v>-2.5006556825246661E-14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180.68917161146683</v>
      </c>
      <c r="HA117" s="59">
        <f t="shared" si="106"/>
        <v>344.42126252322419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12.115213360355325</v>
      </c>
      <c r="HH117" s="21">
        <f>EXP(-LN(2)/25)*HH116+(1-EXP(-LN(2)/25))/(LN(2)/25)*Calculateur!HC117*Calculateur!HE117*VLOOKUP('Données projet'!$B$18,Paramètres!$A$1:$I$89,3,0)*0.475*44/12</f>
        <v>1.6133010839889099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13.728514444344235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2.25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8.25</v>
      </c>
      <c r="H118" s="66">
        <f t="shared" si="56"/>
        <v>223.66666666666666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7.4200000000000017</v>
      </c>
      <c r="N118" s="13">
        <f>IF('Données projet'!$A$36&gt;35,N117+M118-V117,IF(A118&lt;'Données projet'!$A$36,$K$205^A118,IF(A118='Données projet'!$A$36,'Données projet'!$B$36,N117+M118-V117)))</f>
        <v>330.40999999999997</v>
      </c>
      <c r="O118" s="13">
        <f>N118*VLOOKUP('Données projet'!$B$9,Paramètres!$A$1:$I$89,3,0)*VLOOKUP('Données projet'!$B$9,Paramètres!$A$1:$I$89,5,0)</f>
        <v>298.95496799999995</v>
      </c>
      <c r="P118" s="13">
        <f t="shared" si="87"/>
        <v>70.957340155469637</v>
      </c>
      <c r="Q118" s="20">
        <f t="shared" si="107"/>
        <v>644.2639367041096</v>
      </c>
      <c r="R118" s="59">
        <f t="shared" si="55"/>
        <v>932.08403753183666</v>
      </c>
      <c r="S118" s="59">
        <f ca="1">AVERAGE(OFFSET($R$3,0,0,'Données projet'!$E$9+1,1))-AVERAGE(OFFSET($H$3,0,0,'Données projet'!$E$9+1,1))</f>
        <v>490.57849401500789</v>
      </c>
      <c r="T118" s="59">
        <f t="shared" si="88"/>
        <v>221.7570623669753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89.832622410910986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89.832622410910986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6.5766666666666662</v>
      </c>
      <c r="AI118" s="13">
        <f>IF('Données projet'!$A$62&gt;35,AI117+AH118-AQ117,IF(A118&lt;'Données projet'!$A$62,$AF$205^A118,IF(A118='Données projet'!$A$62,'Données projet'!$B$62,AI117+AH118-AQ117)))</f>
        <v>269.23333333333346</v>
      </c>
      <c r="AJ118" s="13">
        <f>AI118*VLOOKUP('Données projet'!$B$10,Paramètres!$A$1:$I$89,3,0)*VLOOKUP('Données projet'!$B$10,Paramètres!$A$1:$I$89,5,0)</f>
        <v>180.60172000000009</v>
      </c>
      <c r="AK118" s="13">
        <f t="shared" si="89"/>
        <v>45.456031767330707</v>
      </c>
      <c r="AL118" s="20">
        <f t="shared" si="58"/>
        <v>393.71725099476771</v>
      </c>
      <c r="AM118" s="59">
        <f t="shared" si="59"/>
        <v>681.53735182249477</v>
      </c>
      <c r="AN118" s="59">
        <f ca="1">AVERAGE(OFFSET($AM$3,0,0,'Données projet'!$E$10+1,1))-AVERAGE(OFFSET($H$3,0,0,'Données projet'!$E$10+1,1))</f>
        <v>377.00534440335832</v>
      </c>
      <c r="AO118" s="59">
        <f t="shared" si="90"/>
        <v>131.56029120000656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64.838760298799656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64.838760298799656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212.00000000000009</v>
      </c>
      <c r="BE118" s="13">
        <f>BD118*VLOOKUP('Données projet'!$B$11,Paramètres!$A$1:$I$89,3,0)*VLOOKUP('Données projet'!$B$11,Paramètres!$A$1:$I$89,5,0)</f>
        <v>185.20320000000009</v>
      </c>
      <c r="BF118" s="13">
        <f t="shared" si="91"/>
        <v>46.477875402099386</v>
      </c>
      <c r="BG118" s="20">
        <f t="shared" si="61"/>
        <v>403.5112063253232</v>
      </c>
      <c r="BH118" s="59">
        <f t="shared" si="62"/>
        <v>691.33130715305026</v>
      </c>
      <c r="BI118" s="59">
        <f ca="1">AVERAGE(OFFSET($BH$3,0,0,'Données projet'!$E$11+1,1))-AVERAGE(OFFSET($H$3,0,0,'Données projet'!$E$11+1,1))</f>
        <v>314.1123649635374</v>
      </c>
      <c r="BJ118" s="59">
        <f t="shared" si="92"/>
        <v>274.92342227914889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32.537560323601426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32.537560323601426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212.42519999999985</v>
      </c>
      <c r="CA118" s="13">
        <f t="shared" si="93"/>
        <v>52.465198231787184</v>
      </c>
      <c r="CB118" s="20">
        <f t="shared" si="64"/>
        <v>461.35077692036231</v>
      </c>
      <c r="CC118" s="59">
        <f t="shared" si="65"/>
        <v>749.17087774808942</v>
      </c>
      <c r="CD118" s="59">
        <f ca="1">AVERAGE(OFFSET($CC$3,0,0,'Données projet'!$E$12+1,1))-AVERAGE(OFFSET($H$3,0,0,'Données projet'!$E$12+1,1))</f>
        <v>309.86296291630748</v>
      </c>
      <c r="CE118" s="59">
        <f t="shared" si="94"/>
        <v>301.17633325088661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21.69338845094428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21.69338845094428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426</v>
      </c>
      <c r="CR118" s="12">
        <f>VLOOKUP(A118,'Données projet'!$A$139:$I$159,9,0)</f>
        <v>5.6</v>
      </c>
      <c r="CS118" s="12">
        <f t="array" ref="CS118">INDEX(CR:CR,MIN(IF(ISNUMBER(CR118:CR314),ROW(CR118:CR314),"")))</f>
        <v>5.6</v>
      </c>
      <c r="CT118" s="12">
        <f>IF('Données projet'!$A$140&gt;35,CT117+CS118-DB117,IF(A118&lt;'Données projet'!$A$140,$CQ$205^A118,IF(A118='Données projet'!$A$140,'Données projet'!$B$140,CT117+CS118-DB117)))</f>
        <v>426.00000000000017</v>
      </c>
      <c r="CU118" s="17">
        <f>CT118*VLOOKUP('Données projet'!$B$13,Paramètres!$A$1:$I$89,3,0)*VLOOKUP('Données projet'!$B$13,Paramètres!$A$1:$I$89,5,0)</f>
        <v>365.50800000000021</v>
      </c>
      <c r="CV118" s="13">
        <f t="shared" si="95"/>
        <v>84.747667534292177</v>
      </c>
      <c r="CW118" s="20">
        <f t="shared" si="67"/>
        <v>784.19528762222581</v>
      </c>
      <c r="CX118" s="59">
        <f t="shared" si="68"/>
        <v>1072.0153884499528</v>
      </c>
      <c r="CY118" s="59">
        <f ca="1">AVERAGE(OFFSET($CX$3,0,0,'Données projet'!$E$13+1,1))-AVERAGE(OFFSET($H$3,0,0,'Données projet'!$E$13+1,1))</f>
        <v>462.66388549889928</v>
      </c>
      <c r="CZ118" s="59">
        <f t="shared" si="96"/>
        <v>265.3725203415089</v>
      </c>
      <c r="DA118" s="15">
        <f>IF(ISNA(VLOOKUP(A118,'Données projet'!$A$139:$I$159,3,0)),0,VLOOKUP(A118,'Données projet'!$A$139:$I$159,3,0))</f>
        <v>19</v>
      </c>
      <c r="DB118" s="15">
        <f>IF(ISNA(VLOOKUP(A118,'Données projet'!$A$139:$I$159,4,0)),0,VLOOKUP(A118,'Données projet'!$A$139:$I$159,4,0))</f>
        <v>22</v>
      </c>
      <c r="DC118" s="16">
        <f>IF(ISNA(VLOOKUP(A118,'Données projet'!$A$139:$I$159,5,0)),0%,VLOOKUP(A118,'Données projet'!$A$139:$I$159,5,0)*VLOOKUP('Données projet'!$B$13,Paramètres!$A$1:$I$89,7,0))</f>
        <v>0.53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110.36005623744856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110.36005623744856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210.25641030000014</v>
      </c>
      <c r="DP118" s="17">
        <f>DO118*VLOOKUP('Données projet'!$B$14,Paramètres!$A$1:$I$89,3,0)*VLOOKUP('Données projet'!$B$14,Paramètres!$A$1:$I$89,5,0)</f>
        <v>164.00000003400012</v>
      </c>
      <c r="DQ118" s="13">
        <f t="shared" si="97"/>
        <v>41.743425916009095</v>
      </c>
      <c r="DR118" s="20">
        <f t="shared" si="70"/>
        <v>358.3364668629327</v>
      </c>
      <c r="DS118" s="59">
        <f t="shared" si="71"/>
        <v>646.15656769065981</v>
      </c>
      <c r="DT118" s="59">
        <f ca="1">AVERAGE(OFFSET($DS$3,0,0,'Données projet'!$E$14+1,1))-AVERAGE(OFFSET($H$3,0,0,'Données projet'!$E$14+1,1))</f>
        <v>206.5241977687125</v>
      </c>
      <c r="DU118" s="59">
        <f t="shared" si="98"/>
        <v>205.25001043771269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12.986611355170147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12.986611355170147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155.99999999999991</v>
      </c>
      <c r="EK118" s="17">
        <f>EJ118*VLOOKUP('Données projet'!$B$15,Paramètres!$A$1:$I$89,3,0)*VLOOKUP('Données projet'!$B$15,Paramètres!$A$1:$I$89,5,0)</f>
        <v>136.28159999999994</v>
      </c>
      <c r="EL118" s="13">
        <f t="shared" si="99"/>
        <v>35.443842312892279</v>
      </c>
      <c r="EM118" s="20">
        <f t="shared" si="73"/>
        <v>299.08847869495395</v>
      </c>
      <c r="EN118" s="59">
        <f t="shared" si="74"/>
        <v>586.90857952268107</v>
      </c>
      <c r="EO118" s="59">
        <f ca="1">AVERAGE(OFFSET($EN$3,0,0,'Données projet'!$E$15+1,1))-AVERAGE(OFFSET($H$3,0,0,'Données projet'!$E$15+1,1))</f>
        <v>205.83135724908942</v>
      </c>
      <c r="EP118" s="59">
        <f t="shared" si="100"/>
        <v>193.60053377311405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12.932618481998922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12.932618481998922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204.00000000000017</v>
      </c>
      <c r="FF118" s="17">
        <f>FE118*VLOOKUP('Données projet'!$B$16,Paramètres!$A$1:$I$89,3,0)*VLOOKUP('Données projet'!$B$16,Paramètres!$A$1:$I$89,5,0)</f>
        <v>133.66080000000011</v>
      </c>
      <c r="FG118" s="13">
        <f t="shared" si="101"/>
        <v>34.840890682716783</v>
      </c>
      <c r="FH118" s="20">
        <f t="shared" si="76"/>
        <v>293.4737779390652</v>
      </c>
      <c r="FI118" s="59">
        <f t="shared" si="77"/>
        <v>581.2938787667922</v>
      </c>
      <c r="FJ118" s="59">
        <f ca="1">AVERAGE(OFFSET($FI$3,0,0,'Données projet'!$E$16+1,1))-AVERAGE(OFFSET($H$3,0,0,'Données projet'!$E$16+1,1))</f>
        <v>242.76791261317206</v>
      </c>
      <c r="FK118" s="59">
        <f t="shared" si="102"/>
        <v>244.28580264867682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24.022398006394543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24.022398006394543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7.4200000000000017</v>
      </c>
      <c r="FZ118" s="12">
        <f>IF('Données projet'!$A$244&gt;35,FZ117+FY118-GH117,IF(A118&lt;'Données projet'!$A$244,$FW$205^A118,IF(A118='Données projet'!$A$244,'Données projet'!$B$244,FZ117+FY118-GH117)))</f>
        <v>330.40999999999997</v>
      </c>
      <c r="GA118" s="17">
        <f>FZ118*VLOOKUP('Données projet'!$B$17,Paramètres!$A$1:$I$89,3,0)*VLOOKUP('Données projet'!$B$17,Paramètres!$A$1:$I$89,5,0)</f>
        <v>314.41815600000001</v>
      </c>
      <c r="GB118" s="13">
        <f t="shared" si="103"/>
        <v>74.190755676886184</v>
      </c>
      <c r="GC118" s="20">
        <f t="shared" si="79"/>
        <v>676.8271878372434</v>
      </c>
      <c r="GD118" s="59">
        <f t="shared" si="80"/>
        <v>964.64728866497046</v>
      </c>
      <c r="GE118" s="59">
        <f ca="1">AVERAGE(OFFSET($GD$3,0,0,'Données projet'!$E$17+1,1))-AVERAGE(OFFSET($H$3,0,0,'Données projet'!$E$17+1,1))</f>
        <v>512.71941256120977</v>
      </c>
      <c r="GF118" s="59">
        <f t="shared" si="104"/>
        <v>230.65031527019354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94.479137363199513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94.479137363199513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68.496391134834653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-5.6843418860808015E-14</v>
      </c>
      <c r="GV118" s="17">
        <f>GU118*VLOOKUP('Données projet'!$B$18,Paramètres!$A$1:$I$89,3,0)*VLOOKUP('Données projet'!$B$18,Paramètres!$A$1:$I$89,5,0)</f>
        <v>-2.5006556825246661E-14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180.68917161146683</v>
      </c>
      <c r="HA118" s="59">
        <f t="shared" si="106"/>
        <v>344.42126252322419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11.877641415909249</v>
      </c>
      <c r="HH118" s="21">
        <f>EXP(-LN(2)/25)*HH117+(1-EXP(-LN(2)/25))/(LN(2)/25)*Calculateur!HC118*Calculateur!HE118*VLOOKUP('Données projet'!$B$18,Paramètres!$A$1:$I$89,3,0)*0.475*44/12</f>
        <v>1.5691852810074165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13.446826696916666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2.25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8.25</v>
      </c>
      <c r="H119" s="66">
        <f t="shared" si="56"/>
        <v>223.66666666666666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7.4200000000000017</v>
      </c>
      <c r="N119" s="13">
        <f>IF('Données projet'!$A$36&gt;35,N118+M119-V118,IF(A119&lt;'Données projet'!$A$36,$K$205^A119,IF(A119='Données projet'!$A$36,'Données projet'!$B$36,N118+M119-V118)))</f>
        <v>337.83</v>
      </c>
      <c r="O119" s="13">
        <f>N119*VLOOKUP('Données projet'!$B$9,Paramètres!$A$1:$I$89,3,0)*VLOOKUP('Données projet'!$B$9,Paramètres!$A$1:$I$89,5,0)</f>
        <v>305.66858400000001</v>
      </c>
      <c r="P119" s="13">
        <f t="shared" si="87"/>
        <v>72.363518675095591</v>
      </c>
      <c r="Q119" s="20">
        <f t="shared" si="107"/>
        <v>658.4059121591248</v>
      </c>
      <c r="R119" s="59">
        <f t="shared" si="55"/>
        <v>946.32165524508287</v>
      </c>
      <c r="S119" s="59">
        <f ca="1">AVERAGE(OFFSET($R$3,0,0,'Données projet'!$E$9+1,1))-AVERAGE(OFFSET($H$3,0,0,'Données projet'!$E$9+1,1))</f>
        <v>490.57849401500789</v>
      </c>
      <c r="T119" s="59">
        <f t="shared" si="88"/>
        <v>221.7570623669753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88.07105947792239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88.07105947792239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6.5766666666666662</v>
      </c>
      <c r="AI119" s="13">
        <f>IF('Données projet'!$A$62&gt;35,AI118+AH119-AQ118,IF(A119&lt;'Données projet'!$A$62,$AF$205^A119,IF(A119='Données projet'!$A$62,'Données projet'!$B$62,AI118+AH119-AQ118)))</f>
        <v>275.81000000000012</v>
      </c>
      <c r="AJ119" s="13">
        <f>AI119*VLOOKUP('Données projet'!$B$10,Paramètres!$A$1:$I$89,3,0)*VLOOKUP('Données projet'!$B$10,Paramètres!$A$1:$I$89,5,0)</f>
        <v>185.01334800000009</v>
      </c>
      <c r="AK119" s="13">
        <f t="shared" si="89"/>
        <v>46.435774191459245</v>
      </c>
      <c r="AL119" s="20">
        <f t="shared" si="58"/>
        <v>403.10722115012499</v>
      </c>
      <c r="AM119" s="59">
        <f t="shared" si="59"/>
        <v>691.022964236083</v>
      </c>
      <c r="AN119" s="59">
        <f ca="1">AVERAGE(OFFSET($AM$3,0,0,'Données projet'!$E$10+1,1))-AVERAGE(OFFSET($H$3,0,0,'Données projet'!$E$10+1,1))</f>
        <v>377.00534440335832</v>
      </c>
      <c r="AO119" s="59">
        <f t="shared" si="90"/>
        <v>131.56029120000656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63.567311757078961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63.567311757078961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212.00000000000009</v>
      </c>
      <c r="BE119" s="13">
        <f>BD119*VLOOKUP('Données projet'!$B$11,Paramètres!$A$1:$I$89,3,0)*VLOOKUP('Données projet'!$B$11,Paramètres!$A$1:$I$89,5,0)</f>
        <v>185.20320000000009</v>
      </c>
      <c r="BF119" s="13">
        <f t="shared" si="91"/>
        <v>46.477875402099386</v>
      </c>
      <c r="BG119" s="20">
        <f t="shared" si="61"/>
        <v>403.5112063253232</v>
      </c>
      <c r="BH119" s="59">
        <f t="shared" si="62"/>
        <v>691.42694941128116</v>
      </c>
      <c r="BI119" s="59">
        <f ca="1">AVERAGE(OFFSET($BH$3,0,0,'Données projet'!$E$11+1,1))-AVERAGE(OFFSET($H$3,0,0,'Données projet'!$E$11+1,1))</f>
        <v>314.1123649635374</v>
      </c>
      <c r="BJ119" s="59">
        <f t="shared" si="92"/>
        <v>274.92342227914889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31.899518611607775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31.899518611607775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212.42519999999985</v>
      </c>
      <c r="CA119" s="13">
        <f t="shared" si="93"/>
        <v>52.465198231787184</v>
      </c>
      <c r="CB119" s="20">
        <f t="shared" si="64"/>
        <v>461.35077692036231</v>
      </c>
      <c r="CC119" s="59">
        <f t="shared" si="65"/>
        <v>749.26652000632032</v>
      </c>
      <c r="CD119" s="59">
        <f ca="1">AVERAGE(OFFSET($CC$3,0,0,'Données projet'!$E$12+1,1))-AVERAGE(OFFSET($H$3,0,0,'Données projet'!$E$12+1,1))</f>
        <v>309.86296291630748</v>
      </c>
      <c r="CE119" s="59">
        <f t="shared" si="94"/>
        <v>301.17633325088661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21.267994335081699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21.267994335081699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404.00000000000017</v>
      </c>
      <c r="CU119" s="17">
        <f>CT119*VLOOKUP('Données projet'!$B$13,Paramètres!$A$1:$I$89,3,0)*VLOOKUP('Données projet'!$B$13,Paramètres!$A$1:$I$89,5,0)</f>
        <v>346.63200000000018</v>
      </c>
      <c r="CV119" s="13">
        <f t="shared" si="95"/>
        <v>80.868615263336864</v>
      </c>
      <c r="CW119" s="20">
        <f t="shared" si="67"/>
        <v>744.56357158364528</v>
      </c>
      <c r="CX119" s="59">
        <f t="shared" si="68"/>
        <v>1032.4793146696034</v>
      </c>
      <c r="CY119" s="59">
        <f ca="1">AVERAGE(OFFSET($CX$3,0,0,'Données projet'!$E$13+1,1))-AVERAGE(OFFSET($H$3,0,0,'Données projet'!$E$13+1,1))</f>
        <v>462.66388549889928</v>
      </c>
      <c r="CZ119" s="59">
        <f t="shared" si="96"/>
        <v>265.3725203415089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108.1959628476199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108.1959628476199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210.25641030000014</v>
      </c>
      <c r="DP119" s="17">
        <f>DO119*VLOOKUP('Données projet'!$B$14,Paramètres!$A$1:$I$89,3,0)*VLOOKUP('Données projet'!$B$14,Paramètres!$A$1:$I$89,5,0)</f>
        <v>164.00000003400012</v>
      </c>
      <c r="DQ119" s="13">
        <f t="shared" si="97"/>
        <v>41.743425916009095</v>
      </c>
      <c r="DR119" s="20">
        <f t="shared" si="70"/>
        <v>358.3364668629327</v>
      </c>
      <c r="DS119" s="59">
        <f t="shared" si="71"/>
        <v>646.25220994889071</v>
      </c>
      <c r="DT119" s="59">
        <f ca="1">AVERAGE(OFFSET($DS$3,0,0,'Données projet'!$E$14+1,1))-AVERAGE(OFFSET($H$3,0,0,'Données projet'!$E$14+1,1))</f>
        <v>206.5241977687125</v>
      </c>
      <c r="DU119" s="59">
        <f t="shared" si="98"/>
        <v>205.25001043771269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12.731951827546048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12.731951827546048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155.99999999999991</v>
      </c>
      <c r="EK119" s="17">
        <f>EJ119*VLOOKUP('Données projet'!$B$15,Paramètres!$A$1:$I$89,3,0)*VLOOKUP('Données projet'!$B$15,Paramètres!$A$1:$I$89,5,0)</f>
        <v>136.28159999999994</v>
      </c>
      <c r="EL119" s="13">
        <f t="shared" si="99"/>
        <v>35.443842312892279</v>
      </c>
      <c r="EM119" s="20">
        <f t="shared" si="73"/>
        <v>299.08847869495395</v>
      </c>
      <c r="EN119" s="59">
        <f t="shared" si="74"/>
        <v>587.00422178091196</v>
      </c>
      <c r="EO119" s="59">
        <f ca="1">AVERAGE(OFFSET($EN$3,0,0,'Données projet'!$E$15+1,1))-AVERAGE(OFFSET($H$3,0,0,'Données projet'!$E$15+1,1))</f>
        <v>205.83135724908942</v>
      </c>
      <c r="EP119" s="59">
        <f t="shared" si="100"/>
        <v>193.60053377311405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12.679017721685311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12.679017721685311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204.00000000000017</v>
      </c>
      <c r="FF119" s="17">
        <f>FE119*VLOOKUP('Données projet'!$B$16,Paramètres!$A$1:$I$89,3,0)*VLOOKUP('Données projet'!$B$16,Paramètres!$A$1:$I$89,5,0)</f>
        <v>133.66080000000011</v>
      </c>
      <c r="FG119" s="13">
        <f t="shared" si="101"/>
        <v>34.840890682716783</v>
      </c>
      <c r="FH119" s="20">
        <f t="shared" si="76"/>
        <v>293.4737779390652</v>
      </c>
      <c r="FI119" s="59">
        <f t="shared" si="77"/>
        <v>581.38952102502321</v>
      </c>
      <c r="FJ119" s="59">
        <f ca="1">AVERAGE(OFFSET($FI$3,0,0,'Données projet'!$E$16+1,1))-AVERAGE(OFFSET($H$3,0,0,'Données projet'!$E$16+1,1))</f>
        <v>242.76791261317206</v>
      </c>
      <c r="FK119" s="59">
        <f t="shared" si="102"/>
        <v>244.28580264867682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23.551333433705143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23.551333433705143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7.4200000000000017</v>
      </c>
      <c r="FZ119" s="12">
        <f>IF('Données projet'!$A$244&gt;35,FZ118+FY119-GH118,IF(A119&lt;'Données projet'!$A$244,$FW$205^A119,IF(A119='Données projet'!$A$244,'Données projet'!$B$244,FZ118+FY119-GH118)))</f>
        <v>337.83</v>
      </c>
      <c r="GA119" s="17">
        <f>FZ119*VLOOKUP('Données projet'!$B$17,Paramètres!$A$1:$I$89,3,0)*VLOOKUP('Données projet'!$B$17,Paramètres!$A$1:$I$89,5,0)</f>
        <v>321.47902799999997</v>
      </c>
      <c r="GB119" s="13">
        <f t="shared" si="103"/>
        <v>75.661011562451691</v>
      </c>
      <c r="GC119" s="20">
        <f t="shared" si="79"/>
        <v>691.68556890460331</v>
      </c>
      <c r="GD119" s="59">
        <f t="shared" si="80"/>
        <v>979.60131199056127</v>
      </c>
      <c r="GE119" s="59">
        <f ca="1">AVERAGE(OFFSET($GD$3,0,0,'Données projet'!$E$17+1,1))-AVERAGE(OFFSET($H$3,0,0,'Données projet'!$E$17+1,1))</f>
        <v>512.71941256120977</v>
      </c>
      <c r="GF119" s="59">
        <f t="shared" si="104"/>
        <v>230.65031527019354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92.626459106090806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92.626459106090806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68.522475387079453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-5.6843418860808015E-14</v>
      </c>
      <c r="GV119" s="17">
        <f>GU119*VLOOKUP('Données projet'!$B$18,Paramètres!$A$1:$I$89,3,0)*VLOOKUP('Données projet'!$B$18,Paramètres!$A$1:$I$89,5,0)</f>
        <v>-2.5006556825246661E-14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180.68917161146683</v>
      </c>
      <c r="HA119" s="59">
        <f t="shared" si="106"/>
        <v>344.42126252322419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11.644728112389183</v>
      </c>
      <c r="HH119" s="21">
        <f>EXP(-LN(2)/25)*HH118+(1-EXP(-LN(2)/25))/(LN(2)/25)*Calculateur!HC119*Calculateur!HE119*VLOOKUP('Données projet'!$B$18,Paramètres!$A$1:$I$89,3,0)*0.475*44/12</f>
        <v>1.5262758269784011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13.171003939367584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2.25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8.25</v>
      </c>
      <c r="H120" s="66">
        <f t="shared" si="56"/>
        <v>223.66666666666666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7.4200000000000017</v>
      </c>
      <c r="N120" s="13">
        <f>IF('Données projet'!$A$36&gt;35,N119+M120-V119,IF(A120&lt;'Données projet'!$A$36,$K$205^A120,IF(A120='Données projet'!$A$36,'Données projet'!$B$36,N119+M120-V119)))</f>
        <v>345.25</v>
      </c>
      <c r="O120" s="13">
        <f>N120*VLOOKUP('Données projet'!$B$9,Paramètres!$A$1:$I$89,3,0)*VLOOKUP('Données projet'!$B$9,Paramètres!$A$1:$I$89,5,0)</f>
        <v>312.38219999999995</v>
      </c>
      <c r="P120" s="13">
        <f t="shared" si="87"/>
        <v>73.766106479148277</v>
      </c>
      <c r="Q120" s="20">
        <f t="shared" si="107"/>
        <v>672.54163378451642</v>
      </c>
      <c r="R120" s="59">
        <f t="shared" si="55"/>
        <v>960.55135994934903</v>
      </c>
      <c r="S120" s="59">
        <f ca="1">AVERAGE(OFFSET($R$3,0,0,'Données projet'!$E$9+1,1))-AVERAGE(OFFSET($H$3,0,0,'Données projet'!$E$9+1,1))</f>
        <v>490.57849401500789</v>
      </c>
      <c r="T120" s="59">
        <f t="shared" si="88"/>
        <v>221.7570623669753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86.344039719602392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86.344039719602392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6.5766666666666662</v>
      </c>
      <c r="AI120" s="13">
        <f>IF('Données projet'!$A$62&gt;35,AI119+AH120-AQ119,IF(A120&lt;'Données projet'!$A$62,$AF$205^A120,IF(A120='Données projet'!$A$62,'Données projet'!$B$62,AI119+AH120-AQ119)))</f>
        <v>282.38666666666677</v>
      </c>
      <c r="AJ120" s="13">
        <f>AI120*VLOOKUP('Données projet'!$B$10,Paramètres!$A$1:$I$89,3,0)*VLOOKUP('Données projet'!$B$10,Paramètres!$A$1:$I$89,5,0)</f>
        <v>189.42497600000007</v>
      </c>
      <c r="AK120" s="13">
        <f t="shared" si="89"/>
        <v>47.412800791402866</v>
      </c>
      <c r="AL120" s="20">
        <f t="shared" si="58"/>
        <v>412.49246124502679</v>
      </c>
      <c r="AM120" s="59">
        <f t="shared" si="59"/>
        <v>700.50218740985952</v>
      </c>
      <c r="AN120" s="59">
        <f ca="1">AVERAGE(OFFSET($AM$3,0,0,'Données projet'!$E$10+1,1))-AVERAGE(OFFSET($H$3,0,0,'Données projet'!$E$10+1,1))</f>
        <v>377.00534440335832</v>
      </c>
      <c r="AO120" s="59">
        <f t="shared" si="90"/>
        <v>131.56029120000656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62.320795545754372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62.320795545754372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212.00000000000009</v>
      </c>
      <c r="BE120" s="13">
        <f>BD120*VLOOKUP('Données projet'!$B$11,Paramètres!$A$1:$I$89,3,0)*VLOOKUP('Données projet'!$B$11,Paramètres!$A$1:$I$89,5,0)</f>
        <v>185.20320000000009</v>
      </c>
      <c r="BF120" s="13">
        <f t="shared" si="91"/>
        <v>46.477875402099386</v>
      </c>
      <c r="BG120" s="20">
        <f t="shared" si="61"/>
        <v>403.5112063253232</v>
      </c>
      <c r="BH120" s="59">
        <f t="shared" si="62"/>
        <v>691.52093249015593</v>
      </c>
      <c r="BI120" s="59">
        <f ca="1">AVERAGE(OFFSET($BH$3,0,0,'Données projet'!$E$11+1,1))-AVERAGE(OFFSET($H$3,0,0,'Données projet'!$E$11+1,1))</f>
        <v>314.1123649635374</v>
      </c>
      <c r="BJ120" s="59">
        <f t="shared" si="92"/>
        <v>274.92342227914889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31.273988508419301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31.273988508419301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212.42519999999985</v>
      </c>
      <c r="CA120" s="13">
        <f t="shared" si="93"/>
        <v>52.465198231787184</v>
      </c>
      <c r="CB120" s="20">
        <f t="shared" si="64"/>
        <v>461.35077692036231</v>
      </c>
      <c r="CC120" s="59">
        <f t="shared" si="65"/>
        <v>749.36050308519498</v>
      </c>
      <c r="CD120" s="59">
        <f ca="1">AVERAGE(OFFSET($CC$3,0,0,'Données projet'!$E$12+1,1))-AVERAGE(OFFSET($H$3,0,0,'Données projet'!$E$12+1,1))</f>
        <v>309.86296291630748</v>
      </c>
      <c r="CE120" s="59">
        <f t="shared" si="94"/>
        <v>301.17633325088661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20.850941938366393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20.850941938366393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404.00000000000017</v>
      </c>
      <c r="CU120" s="17">
        <f>CT120*VLOOKUP('Données projet'!$B$13,Paramètres!$A$1:$I$89,3,0)*VLOOKUP('Données projet'!$B$13,Paramètres!$A$1:$I$89,5,0)</f>
        <v>346.63200000000018</v>
      </c>
      <c r="CV120" s="13">
        <f t="shared" si="95"/>
        <v>80.868615263336864</v>
      </c>
      <c r="CW120" s="20">
        <f t="shared" si="67"/>
        <v>744.56357158364528</v>
      </c>
      <c r="CX120" s="59">
        <f t="shared" si="68"/>
        <v>1032.5732977484779</v>
      </c>
      <c r="CY120" s="59">
        <f ca="1">AVERAGE(OFFSET($CX$3,0,0,'Données projet'!$E$13+1,1))-AVERAGE(OFFSET($H$3,0,0,'Données projet'!$E$13+1,1))</f>
        <v>462.66388549889928</v>
      </c>
      <c r="CZ120" s="59">
        <f t="shared" si="96"/>
        <v>265.3725203415089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106.07430600919913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106.07430600919913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210.25641030000014</v>
      </c>
      <c r="DP120" s="17">
        <f>DO120*VLOOKUP('Données projet'!$B$14,Paramètres!$A$1:$I$89,3,0)*VLOOKUP('Données projet'!$B$14,Paramètres!$A$1:$I$89,5,0)</f>
        <v>164.00000003400012</v>
      </c>
      <c r="DQ120" s="13">
        <f t="shared" si="97"/>
        <v>41.743425916009095</v>
      </c>
      <c r="DR120" s="20">
        <f t="shared" si="70"/>
        <v>358.3364668629327</v>
      </c>
      <c r="DS120" s="59">
        <f t="shared" si="71"/>
        <v>646.34619302776537</v>
      </c>
      <c r="DT120" s="59">
        <f ca="1">AVERAGE(OFFSET($DS$3,0,0,'Données projet'!$E$14+1,1))-AVERAGE(OFFSET($H$3,0,0,'Données projet'!$E$14+1,1))</f>
        <v>206.5241977687125</v>
      </c>
      <c r="DU120" s="59">
        <f t="shared" si="98"/>
        <v>205.25001043771269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12.482286017931683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12.482286017931683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155.99999999999991</v>
      </c>
      <c r="EK120" s="17">
        <f>EJ120*VLOOKUP('Données projet'!$B$15,Paramètres!$A$1:$I$89,3,0)*VLOOKUP('Données projet'!$B$15,Paramètres!$A$1:$I$89,5,0)</f>
        <v>136.28159999999994</v>
      </c>
      <c r="EL120" s="13">
        <f t="shared" si="99"/>
        <v>35.443842312892279</v>
      </c>
      <c r="EM120" s="20">
        <f t="shared" si="73"/>
        <v>299.08847869495395</v>
      </c>
      <c r="EN120" s="59">
        <f t="shared" si="74"/>
        <v>587.09820485978662</v>
      </c>
      <c r="EO120" s="59">
        <f ca="1">AVERAGE(OFFSET($EN$3,0,0,'Données projet'!$E$15+1,1))-AVERAGE(OFFSET($H$3,0,0,'Données projet'!$E$15+1,1))</f>
        <v>205.83135724908942</v>
      </c>
      <c r="EP120" s="59">
        <f t="shared" si="100"/>
        <v>193.60053377311405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12.430389917600259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12.430389917600259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204.00000000000017</v>
      </c>
      <c r="FF120" s="17">
        <f>FE120*VLOOKUP('Données projet'!$B$16,Paramètres!$A$1:$I$89,3,0)*VLOOKUP('Données projet'!$B$16,Paramètres!$A$1:$I$89,5,0)</f>
        <v>133.66080000000011</v>
      </c>
      <c r="FG120" s="13">
        <f t="shared" si="101"/>
        <v>34.840890682716783</v>
      </c>
      <c r="FH120" s="20">
        <f t="shared" si="76"/>
        <v>293.4737779390652</v>
      </c>
      <c r="FI120" s="59">
        <f t="shared" si="77"/>
        <v>581.48350410389787</v>
      </c>
      <c r="FJ120" s="59">
        <f ca="1">AVERAGE(OFFSET($FI$3,0,0,'Données projet'!$E$16+1,1))-AVERAGE(OFFSET($H$3,0,0,'Données projet'!$E$16+1,1))</f>
        <v>242.76791261317206</v>
      </c>
      <c r="FK120" s="59">
        <f t="shared" si="102"/>
        <v>244.28580264867682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23.089506149965164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23.089506149965164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7.4200000000000017</v>
      </c>
      <c r="FZ120" s="12">
        <f>IF('Données projet'!$A$244&gt;35,FZ119+FY120-GH119,IF(A120&lt;'Données projet'!$A$244,$FW$205^A120,IF(A120='Données projet'!$A$244,'Données projet'!$B$244,FZ119+FY120-GH119)))</f>
        <v>345.25</v>
      </c>
      <c r="GA120" s="17">
        <f>FZ120*VLOOKUP('Données projet'!$B$17,Paramètres!$A$1:$I$89,3,0)*VLOOKUP('Données projet'!$B$17,Paramètres!$A$1:$I$89,5,0)</f>
        <v>328.53989999999999</v>
      </c>
      <c r="GB120" s="13">
        <f t="shared" si="103"/>
        <v>77.127513109125545</v>
      </c>
      <c r="GC120" s="20">
        <f t="shared" si="79"/>
        <v>706.53741116506023</v>
      </c>
      <c r="GD120" s="59">
        <f t="shared" si="80"/>
        <v>994.54713732989285</v>
      </c>
      <c r="GE120" s="59">
        <f ca="1">AVERAGE(OFFSET($GD$3,0,0,'Données projet'!$E$17+1,1))-AVERAGE(OFFSET($H$3,0,0,'Données projet'!$E$17+1,1))</f>
        <v>512.71941256120977</v>
      </c>
      <c r="GF120" s="59">
        <f t="shared" si="104"/>
        <v>230.65031527019354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90.810110739581845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90.810110739581845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68.548107135863461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-5.6843418860808015E-14</v>
      </c>
      <c r="GV120" s="17">
        <f>GU120*VLOOKUP('Données projet'!$B$18,Paramètres!$A$1:$I$89,3,0)*VLOOKUP('Données projet'!$B$18,Paramètres!$A$1:$I$89,5,0)</f>
        <v>-2.5006556825246661E-14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180.68917161146683</v>
      </c>
      <c r="HA120" s="59">
        <f t="shared" si="106"/>
        <v>344.42126252322419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11.416382096688057</v>
      </c>
      <c r="HH120" s="21">
        <f>EXP(-LN(2)/25)*HH119+(1-EXP(-LN(2)/25))/(LN(2)/25)*Calculateur!HC120*Calculateur!HE120*VLOOKUP('Données projet'!$B$18,Paramètres!$A$1:$I$89,3,0)*0.475*44/12</f>
        <v>1.4845397342263194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12.900921830914376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2.25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8.25</v>
      </c>
      <c r="H121" s="66">
        <f t="shared" si="56"/>
        <v>223.66666666666666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7.4200000000000017</v>
      </c>
      <c r="N121" s="13">
        <f>IF('Données projet'!$A$36&gt;35,N120+M121-V120,IF(A121&lt;'Données projet'!$A$36,$K$205^A121,IF(A121='Données projet'!$A$36,'Données projet'!$B$36,N120+M121-V120)))</f>
        <v>352.67</v>
      </c>
      <c r="O121" s="13">
        <f>N121*VLOOKUP('Données projet'!$B$9,Paramètres!$A$1:$I$89,3,0)*VLOOKUP('Données projet'!$B$9,Paramètres!$A$1:$I$89,5,0)</f>
        <v>319.09581600000001</v>
      </c>
      <c r="P121" s="13">
        <f t="shared" si="87"/>
        <v>75.165189626464382</v>
      </c>
      <c r="Q121" s="20">
        <f t="shared" si="107"/>
        <v>686.67125146609214</v>
      </c>
      <c r="R121" s="59">
        <f t="shared" si="55"/>
        <v>974.77333031349576</v>
      </c>
      <c r="S121" s="59">
        <f ca="1">AVERAGE(OFFSET($R$3,0,0,'Données projet'!$E$9+1,1))-AVERAGE(OFFSET($H$3,0,0,'Données projet'!$E$9+1,1))</f>
        <v>490.57849401500789</v>
      </c>
      <c r="T121" s="59">
        <f t="shared" si="88"/>
        <v>221.7570623669753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84.650885765365018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84.650885765365018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6.5766666666666662</v>
      </c>
      <c r="AI121" s="13">
        <f>IF('Données projet'!$A$62&gt;35,AI120+AH121-AQ120,IF(A121&lt;'Données projet'!$A$62,$AF$205^A121,IF(A121='Données projet'!$A$62,'Données projet'!$B$62,AI120+AH121-AQ120)))</f>
        <v>288.96333333333342</v>
      </c>
      <c r="AJ121" s="13">
        <f>AI121*VLOOKUP('Données projet'!$B$10,Paramètres!$A$1:$I$89,3,0)*VLOOKUP('Données projet'!$B$10,Paramètres!$A$1:$I$89,5,0)</f>
        <v>193.83660400000008</v>
      </c>
      <c r="AK121" s="13">
        <f t="shared" si="89"/>
        <v>48.387182097173515</v>
      </c>
      <c r="AL121" s="20">
        <f t="shared" si="58"/>
        <v>421.87309411924394</v>
      </c>
      <c r="AM121" s="59">
        <f t="shared" si="59"/>
        <v>709.97517296664751</v>
      </c>
      <c r="AN121" s="59">
        <f ca="1">AVERAGE(OFFSET($AM$3,0,0,'Données projet'!$E$10+1,1))-AVERAGE(OFFSET($H$3,0,0,'Données projet'!$E$10+1,1))</f>
        <v>377.00534440335832</v>
      </c>
      <c r="AO121" s="59">
        <f t="shared" si="90"/>
        <v>131.56029120000656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61.098722757034047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61.098722757034047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212.00000000000009</v>
      </c>
      <c r="BE121" s="13">
        <f>BD121*VLOOKUP('Données projet'!$B$11,Paramètres!$A$1:$I$89,3,0)*VLOOKUP('Données projet'!$B$11,Paramètres!$A$1:$I$89,5,0)</f>
        <v>185.20320000000009</v>
      </c>
      <c r="BF121" s="13">
        <f t="shared" si="91"/>
        <v>46.477875402099386</v>
      </c>
      <c r="BG121" s="20">
        <f t="shared" si="61"/>
        <v>403.5112063253232</v>
      </c>
      <c r="BH121" s="59">
        <f t="shared" si="62"/>
        <v>691.61328517272682</v>
      </c>
      <c r="BI121" s="59">
        <f ca="1">AVERAGE(OFFSET($BH$3,0,0,'Données projet'!$E$11+1,1))-AVERAGE(OFFSET($H$3,0,0,'Données projet'!$E$11+1,1))</f>
        <v>314.1123649635374</v>
      </c>
      <c r="BJ121" s="59">
        <f t="shared" si="92"/>
        <v>274.92342227914889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30.660724669018663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30.660724669018663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212.42519999999985</v>
      </c>
      <c r="CA121" s="13">
        <f t="shared" si="93"/>
        <v>52.465198231787184</v>
      </c>
      <c r="CB121" s="20">
        <f t="shared" si="64"/>
        <v>461.35077692036231</v>
      </c>
      <c r="CC121" s="59">
        <f t="shared" si="65"/>
        <v>749.45285576776587</v>
      </c>
      <c r="CD121" s="59">
        <f ca="1">AVERAGE(OFFSET($CC$3,0,0,'Données projet'!$E$12+1,1))-AVERAGE(OFFSET($H$3,0,0,'Données projet'!$E$12+1,1))</f>
        <v>309.86296291630748</v>
      </c>
      <c r="CE121" s="59">
        <f t="shared" si="94"/>
        <v>301.17633325088661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20.442067684773832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20.442067684773832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404.00000000000017</v>
      </c>
      <c r="CU121" s="17">
        <f>CT121*VLOOKUP('Données projet'!$B$13,Paramètres!$A$1:$I$89,3,0)*VLOOKUP('Données projet'!$B$13,Paramètres!$A$1:$I$89,5,0)</f>
        <v>346.63200000000018</v>
      </c>
      <c r="CV121" s="13">
        <f t="shared" si="95"/>
        <v>80.868615263336864</v>
      </c>
      <c r="CW121" s="20">
        <f t="shared" si="67"/>
        <v>744.56357158364528</v>
      </c>
      <c r="CX121" s="59">
        <f t="shared" si="68"/>
        <v>1032.6656504310488</v>
      </c>
      <c r="CY121" s="59">
        <f ca="1">AVERAGE(OFFSET($CX$3,0,0,'Données projet'!$E$13+1,1))-AVERAGE(OFFSET($H$3,0,0,'Données projet'!$E$13+1,1))</f>
        <v>462.66388549889928</v>
      </c>
      <c r="CZ121" s="59">
        <f t="shared" si="96"/>
        <v>265.3725203415089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103.99425356729691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103.99425356729691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210.25641030000014</v>
      </c>
      <c r="DP121" s="17">
        <f>DO121*VLOOKUP('Données projet'!$B$14,Paramètres!$A$1:$I$89,3,0)*VLOOKUP('Données projet'!$B$14,Paramètres!$A$1:$I$89,5,0)</f>
        <v>164.00000003400012</v>
      </c>
      <c r="DQ121" s="13">
        <f t="shared" si="97"/>
        <v>41.743425916009095</v>
      </c>
      <c r="DR121" s="20">
        <f t="shared" si="70"/>
        <v>358.3364668629327</v>
      </c>
      <c r="DS121" s="59">
        <f t="shared" si="71"/>
        <v>646.43854571033626</v>
      </c>
      <c r="DT121" s="59">
        <f ca="1">AVERAGE(OFFSET($DS$3,0,0,'Données projet'!$E$14+1,1))-AVERAGE(OFFSET($H$3,0,0,'Données projet'!$E$14+1,1))</f>
        <v>206.5241977687125</v>
      </c>
      <c r="DU121" s="59">
        <f t="shared" si="98"/>
        <v>205.25001043771269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12.237516002562749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12.237516002562749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155.99999999999991</v>
      </c>
      <c r="EK121" s="17">
        <f>EJ121*VLOOKUP('Données projet'!$B$15,Paramètres!$A$1:$I$89,3,0)*VLOOKUP('Données projet'!$B$15,Paramètres!$A$1:$I$89,5,0)</f>
        <v>136.28159999999994</v>
      </c>
      <c r="EL121" s="13">
        <f t="shared" si="99"/>
        <v>35.443842312892279</v>
      </c>
      <c r="EM121" s="20">
        <f t="shared" si="73"/>
        <v>299.08847869495395</v>
      </c>
      <c r="EN121" s="59">
        <f t="shared" si="74"/>
        <v>587.19055754235751</v>
      </c>
      <c r="EO121" s="59">
        <f ca="1">AVERAGE(OFFSET($EN$3,0,0,'Données projet'!$E$15+1,1))-AVERAGE(OFFSET($H$3,0,0,'Données projet'!$E$15+1,1))</f>
        <v>205.83135724908942</v>
      </c>
      <c r="EP121" s="59">
        <f t="shared" si="100"/>
        <v>193.60053377311405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12.186637553105328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12.186637553105328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204.00000000000017</v>
      </c>
      <c r="FF121" s="17">
        <f>FE121*VLOOKUP('Données projet'!$B$16,Paramètres!$A$1:$I$89,3,0)*VLOOKUP('Données projet'!$B$16,Paramètres!$A$1:$I$89,5,0)</f>
        <v>133.66080000000011</v>
      </c>
      <c r="FG121" s="13">
        <f t="shared" si="101"/>
        <v>34.840890682716783</v>
      </c>
      <c r="FH121" s="20">
        <f t="shared" si="76"/>
        <v>293.4737779390652</v>
      </c>
      <c r="FI121" s="59">
        <f t="shared" si="77"/>
        <v>581.57585678646876</v>
      </c>
      <c r="FJ121" s="59">
        <f ca="1">AVERAGE(OFFSET($FI$3,0,0,'Données projet'!$E$16+1,1))-AVERAGE(OFFSET($H$3,0,0,'Données projet'!$E$16+1,1))</f>
        <v>242.76791261317206</v>
      </c>
      <c r="FK121" s="59">
        <f t="shared" si="102"/>
        <v>244.28580264867682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22.636735017572498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22.636735017572498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7.4200000000000017</v>
      </c>
      <c r="FZ121" s="12">
        <f>IF('Données projet'!$A$244&gt;35,FZ120+FY121-GH120,IF(A121&lt;'Données projet'!$A$244,$FW$205^A121,IF(A121='Données projet'!$A$244,'Données projet'!$B$244,FZ120+FY121-GH120)))</f>
        <v>352.67</v>
      </c>
      <c r="GA121" s="17">
        <f>FZ121*VLOOKUP('Données projet'!$B$17,Paramètres!$A$1:$I$89,3,0)*VLOOKUP('Données projet'!$B$17,Paramètres!$A$1:$I$89,5,0)</f>
        <v>335.60077200000001</v>
      </c>
      <c r="GB121" s="13">
        <f t="shared" si="103"/>
        <v>78.590350297311446</v>
      </c>
      <c r="GC121" s="20">
        <f t="shared" si="79"/>
        <v>721.38287133448409</v>
      </c>
      <c r="GD121" s="59">
        <f t="shared" si="80"/>
        <v>1009.4849501818876</v>
      </c>
      <c r="GE121" s="59">
        <f ca="1">AVERAGE(OFFSET($GD$3,0,0,'Données projet'!$E$17+1,1))-AVERAGE(OFFSET($H$3,0,0,'Données projet'!$E$17+1,1))</f>
        <v>512.71941256120977</v>
      </c>
      <c r="GF121" s="59">
        <f t="shared" si="104"/>
        <v>230.65031527019354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89.029379856677011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89.029379856677011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68.573294231110054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-5.6843418860808015E-14</v>
      </c>
      <c r="GV121" s="17">
        <f>GU121*VLOOKUP('Données projet'!$B$18,Paramètres!$A$1:$I$89,3,0)*VLOOKUP('Données projet'!$B$18,Paramètres!$A$1:$I$89,5,0)</f>
        <v>-2.5006556825246661E-14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180.68917161146683</v>
      </c>
      <c r="HA121" s="59">
        <f t="shared" si="106"/>
        <v>344.42126252322419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11.192513807077514</v>
      </c>
      <c r="HH121" s="21">
        <f>EXP(-LN(2)/25)*HH120+(1-EXP(-LN(2)/25))/(LN(2)/25)*Calculateur!HC121*Calculateur!HE121*VLOOKUP('Données projet'!$B$18,Paramètres!$A$1:$I$89,3,0)*0.475*44/12</f>
        <v>1.4439449171253489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12.636458724202862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2.25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8.25</v>
      </c>
      <c r="H122" s="66">
        <f t="shared" si="56"/>
        <v>223.66666666666666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7.4200000000000017</v>
      </c>
      <c r="N122" s="13">
        <f>IF('Données projet'!$A$36&gt;35,N121+M122-V121,IF(A122&lt;'Données projet'!$A$36,$K$205^A122,IF(A122='Données projet'!$A$36,'Données projet'!$B$36,N121+M122-V121)))</f>
        <v>360.09000000000003</v>
      </c>
      <c r="O122" s="13">
        <f>N122*VLOOKUP('Données projet'!$B$9,Paramètres!$A$1:$I$89,3,0)*VLOOKUP('Données projet'!$B$9,Paramètres!$A$1:$I$89,5,0)</f>
        <v>325.80943200000002</v>
      </c>
      <c r="P122" s="13">
        <f t="shared" si="87"/>
        <v>76.56085034769346</v>
      </c>
      <c r="Q122" s="20">
        <f t="shared" si="107"/>
        <v>700.79490842223277</v>
      </c>
      <c r="R122" s="59">
        <f t="shared" si="55"/>
        <v>988.98773783963429</v>
      </c>
      <c r="S122" s="59">
        <f ca="1">AVERAGE(OFFSET($R$3,0,0,'Données projet'!$E$9+1,1))-AVERAGE(OFFSET($H$3,0,0,'Données projet'!$E$9+1,1))</f>
        <v>490.57849401500789</v>
      </c>
      <c r="T122" s="59">
        <f t="shared" si="88"/>
        <v>221.7570623669753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82.990933527448291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82.990933527448291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6.5766666666666662</v>
      </c>
      <c r="AI122" s="13">
        <f>IF('Données projet'!$A$62&gt;35,AI121+AH122-AQ121,IF(A122&lt;'Données projet'!$A$62,$AF$205^A122,IF(A122='Données projet'!$A$62,'Données projet'!$B$62,AI121+AH122-AQ121)))</f>
        <v>295.54000000000008</v>
      </c>
      <c r="AJ122" s="13">
        <f>AI122*VLOOKUP('Données projet'!$B$10,Paramètres!$A$1:$I$89,3,0)*VLOOKUP('Données projet'!$B$10,Paramètres!$A$1:$I$89,5,0)</f>
        <v>198.24823200000006</v>
      </c>
      <c r="AK122" s="13">
        <f t="shared" si="89"/>
        <v>49.358985245091013</v>
      </c>
      <c r="AL122" s="20">
        <f t="shared" si="58"/>
        <v>431.24923670186695</v>
      </c>
      <c r="AM122" s="59">
        <f t="shared" si="59"/>
        <v>719.44206611926847</v>
      </c>
      <c r="AN122" s="59">
        <f ca="1">AVERAGE(OFFSET($AM$3,0,0,'Données projet'!$E$10+1,1))-AVERAGE(OFFSET($H$3,0,0,'Données projet'!$E$10+1,1))</f>
        <v>377.00534440335832</v>
      </c>
      <c r="AO122" s="59">
        <f t="shared" si="90"/>
        <v>131.56029120000656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59.900614070309729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59.900614070309729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212.00000000000009</v>
      </c>
      <c r="BE122" s="13">
        <f>BD122*VLOOKUP('Données projet'!$B$11,Paramètres!$A$1:$I$89,3,0)*VLOOKUP('Données projet'!$B$11,Paramètres!$A$1:$I$89,5,0)</f>
        <v>185.20320000000009</v>
      </c>
      <c r="BF122" s="13">
        <f t="shared" si="91"/>
        <v>46.477875402099386</v>
      </c>
      <c r="BG122" s="20">
        <f t="shared" si="61"/>
        <v>403.5112063253232</v>
      </c>
      <c r="BH122" s="59">
        <f t="shared" si="62"/>
        <v>691.70403574272473</v>
      </c>
      <c r="BI122" s="59">
        <f ca="1">AVERAGE(OFFSET($BH$3,0,0,'Données projet'!$E$11+1,1))-AVERAGE(OFFSET($H$3,0,0,'Données projet'!$E$11+1,1))</f>
        <v>314.1123649635374</v>
      </c>
      <c r="BJ122" s="59">
        <f t="shared" si="92"/>
        <v>274.92342227914889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30.059486559454665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30.059486559454665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212.42519999999985</v>
      </c>
      <c r="CA122" s="13">
        <f t="shared" si="93"/>
        <v>52.465198231787184</v>
      </c>
      <c r="CB122" s="20">
        <f t="shared" si="64"/>
        <v>461.35077692036231</v>
      </c>
      <c r="CC122" s="59">
        <f t="shared" si="65"/>
        <v>749.54360633776378</v>
      </c>
      <c r="CD122" s="59">
        <f ca="1">AVERAGE(OFFSET($CC$3,0,0,'Données projet'!$E$12+1,1))-AVERAGE(OFFSET($H$3,0,0,'Données projet'!$E$12+1,1))</f>
        <v>309.86296291630748</v>
      </c>
      <c r="CE122" s="59">
        <f t="shared" si="94"/>
        <v>301.17633325088661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20.041211205905551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20.041211205905551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404.00000000000017</v>
      </c>
      <c r="CU122" s="17">
        <f>CT122*VLOOKUP('Données projet'!$B$13,Paramètres!$A$1:$I$89,3,0)*VLOOKUP('Données projet'!$B$13,Paramètres!$A$1:$I$89,5,0)</f>
        <v>346.63200000000018</v>
      </c>
      <c r="CV122" s="13">
        <f t="shared" si="95"/>
        <v>80.868615263336864</v>
      </c>
      <c r="CW122" s="20">
        <f t="shared" si="67"/>
        <v>744.56357158364528</v>
      </c>
      <c r="CX122" s="59">
        <f t="shared" si="68"/>
        <v>1032.7564010010467</v>
      </c>
      <c r="CY122" s="59">
        <f ca="1">AVERAGE(OFFSET($CX$3,0,0,'Données projet'!$E$13+1,1))-AVERAGE(OFFSET($H$3,0,0,'Données projet'!$E$13+1,1))</f>
        <v>462.66388549889928</v>
      </c>
      <c r="CZ122" s="59">
        <f t="shared" si="96"/>
        <v>265.3725203415089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101.95498968507367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101.95498968507367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210.25641030000014</v>
      </c>
      <c r="DP122" s="17">
        <f>DO122*VLOOKUP('Données projet'!$B$14,Paramètres!$A$1:$I$89,3,0)*VLOOKUP('Données projet'!$B$14,Paramètres!$A$1:$I$89,5,0)</f>
        <v>164.00000003400012</v>
      </c>
      <c r="DQ122" s="13">
        <f t="shared" si="97"/>
        <v>41.743425916009095</v>
      </c>
      <c r="DR122" s="20">
        <f t="shared" si="70"/>
        <v>358.3364668629327</v>
      </c>
      <c r="DS122" s="59">
        <f t="shared" si="71"/>
        <v>646.52929628033417</v>
      </c>
      <c r="DT122" s="59">
        <f ca="1">AVERAGE(OFFSET($DS$3,0,0,'Données projet'!$E$14+1,1))-AVERAGE(OFFSET($H$3,0,0,'Données projet'!$E$14+1,1))</f>
        <v>206.5241977687125</v>
      </c>
      <c r="DU122" s="59">
        <f t="shared" si="98"/>
        <v>205.25001043771269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11.997545777900232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11.997545777900232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155.99999999999991</v>
      </c>
      <c r="EK122" s="17">
        <f>EJ122*VLOOKUP('Données projet'!$B$15,Paramètres!$A$1:$I$89,3,0)*VLOOKUP('Données projet'!$B$15,Paramètres!$A$1:$I$89,5,0)</f>
        <v>136.28159999999994</v>
      </c>
      <c r="EL122" s="13">
        <f t="shared" si="99"/>
        <v>35.443842312892279</v>
      </c>
      <c r="EM122" s="20">
        <f t="shared" si="73"/>
        <v>299.08847869495395</v>
      </c>
      <c r="EN122" s="59">
        <f t="shared" si="74"/>
        <v>587.28130811235542</v>
      </c>
      <c r="EO122" s="59">
        <f ca="1">AVERAGE(OFFSET($EN$3,0,0,'Données projet'!$E$15+1,1))-AVERAGE(OFFSET($H$3,0,0,'Données projet'!$E$15+1,1))</f>
        <v>205.83135724908942</v>
      </c>
      <c r="EP122" s="59">
        <f t="shared" si="100"/>
        <v>193.60053377311405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11.94766502380388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11.94766502380388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204.00000000000017</v>
      </c>
      <c r="FF122" s="17">
        <f>FE122*VLOOKUP('Données projet'!$B$16,Paramètres!$A$1:$I$89,3,0)*VLOOKUP('Données projet'!$B$16,Paramètres!$A$1:$I$89,5,0)</f>
        <v>133.66080000000011</v>
      </c>
      <c r="FG122" s="13">
        <f t="shared" si="101"/>
        <v>34.840890682716783</v>
      </c>
      <c r="FH122" s="20">
        <f t="shared" si="76"/>
        <v>293.4737779390652</v>
      </c>
      <c r="FI122" s="59">
        <f t="shared" si="77"/>
        <v>581.66660735646667</v>
      </c>
      <c r="FJ122" s="59">
        <f ca="1">AVERAGE(OFFSET($FI$3,0,0,'Données projet'!$E$16+1,1))-AVERAGE(OFFSET($H$3,0,0,'Données projet'!$E$16+1,1))</f>
        <v>242.76791261317206</v>
      </c>
      <c r="FK122" s="59">
        <f t="shared" si="102"/>
        <v>244.28580264867682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22.192842450922928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22.192842450922928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7.4200000000000017</v>
      </c>
      <c r="FZ122" s="12">
        <f>IF('Données projet'!$A$244&gt;35,FZ121+FY122-GH121,IF(A122&lt;'Données projet'!$A$244,$FW$205^A122,IF(A122='Données projet'!$A$244,'Données projet'!$B$244,FZ121+FY122-GH121)))</f>
        <v>360.09000000000003</v>
      </c>
      <c r="GA122" s="17">
        <f>FZ122*VLOOKUP('Données projet'!$B$17,Paramètres!$A$1:$I$89,3,0)*VLOOKUP('Données projet'!$B$17,Paramètres!$A$1:$I$89,5,0)</f>
        <v>342.66164400000008</v>
      </c>
      <c r="GB122" s="13">
        <f t="shared" si="103"/>
        <v>80.049609104781581</v>
      </c>
      <c r="GC122" s="20">
        <f t="shared" si="79"/>
        <v>736.22209915749488</v>
      </c>
      <c r="GD122" s="59">
        <f t="shared" si="80"/>
        <v>1024.4149285748963</v>
      </c>
      <c r="GE122" s="59">
        <f ca="1">AVERAGE(OFFSET($GD$3,0,0,'Données projet'!$E$17+1,1))-AVERAGE(OFFSET($H$3,0,0,'Données projet'!$E$17+1,1))</f>
        <v>512.71941256120977</v>
      </c>
      <c r="GF122" s="59">
        <f t="shared" si="104"/>
        <v>230.65031527019354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87.283568020247358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87.283568020247358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68.598044386564041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-5.6843418860808015E-14</v>
      </c>
      <c r="GV122" s="17">
        <f>GU122*VLOOKUP('Données projet'!$B$18,Paramètres!$A$1:$I$89,3,0)*VLOOKUP('Données projet'!$B$18,Paramètres!$A$1:$I$89,5,0)</f>
        <v>-2.5006556825246661E-14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180.68917161146683</v>
      </c>
      <c r="HA122" s="59">
        <f t="shared" si="106"/>
        <v>344.42126252322419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10.973035438080061</v>
      </c>
      <c r="HH122" s="21">
        <f>EXP(-LN(2)/25)*HH121+(1-EXP(-LN(2)/25))/(LN(2)/25)*Calculateur!HC122*Calculateur!HE122*VLOOKUP('Données projet'!$B$18,Paramètres!$A$1:$I$89,3,0)*0.475*44/12</f>
        <v>1.4044601674327932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12.377495605512854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2.25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8.25</v>
      </c>
      <c r="H123" s="66">
        <f t="shared" si="56"/>
        <v>223.66666666666666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7.4200000000000017</v>
      </c>
      <c r="N123" s="13">
        <f>IF('Données projet'!$A$36&gt;35,N122+M123-V122,IF(A123&lt;'Données projet'!$A$36,$K$205^A123,IF(A123='Données projet'!$A$36,'Données projet'!$B$36,N122+M123-V122)))</f>
        <v>367.51000000000005</v>
      </c>
      <c r="O123" s="13">
        <f>N123*VLOOKUP('Données projet'!$B$9,Paramètres!$A$1:$I$89,3,0)*VLOOKUP('Données projet'!$B$9,Paramètres!$A$1:$I$89,5,0)</f>
        <v>332.52304800000002</v>
      </c>
      <c r="P123" s="13">
        <f t="shared" si="87"/>
        <v>77.953167290905412</v>
      </c>
      <c r="Q123" s="20">
        <f t="shared" si="107"/>
        <v>714.9127416316602</v>
      </c>
      <c r="R123" s="59">
        <f t="shared" si="55"/>
        <v>1003.194747299558</v>
      </c>
      <c r="S123" s="59">
        <f ca="1">AVERAGE(OFFSET($R$3,0,0,'Données projet'!$E$9+1,1))-AVERAGE(OFFSET($H$3,0,0,'Données projet'!$E$9+1,1))</f>
        <v>490.57849401500789</v>
      </c>
      <c r="T123" s="59">
        <f t="shared" si="88"/>
        <v>221.7570623669753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81.363531940446222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81.363531940446222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6.5766666666666662</v>
      </c>
      <c r="AI123" s="13">
        <f>IF('Données projet'!$A$62&gt;35,AI122+AH123-AQ122,IF(A123&lt;'Données projet'!$A$62,$AF$205^A123,IF(A123='Données projet'!$A$62,'Données projet'!$B$62,AI122+AH123-AQ122)))</f>
        <v>302.11666666666673</v>
      </c>
      <c r="AJ123" s="13">
        <f>AI123*VLOOKUP('Données projet'!$B$10,Paramètres!$A$1:$I$89,3,0)*VLOOKUP('Données projet'!$B$10,Paramètres!$A$1:$I$89,5,0)</f>
        <v>202.65986000000007</v>
      </c>
      <c r="AK123" s="13">
        <f t="shared" si="89"/>
        <v>50.328274212906685</v>
      </c>
      <c r="AL123" s="20">
        <f t="shared" si="58"/>
        <v>440.62100042081261</v>
      </c>
      <c r="AM123" s="59">
        <f t="shared" si="59"/>
        <v>728.90300608871053</v>
      </c>
      <c r="AN123" s="59">
        <f ca="1">AVERAGE(OFFSET($AM$3,0,0,'Données projet'!$E$10+1,1))-AVERAGE(OFFSET($H$3,0,0,'Données projet'!$E$10+1,1))</f>
        <v>377.00534440335832</v>
      </c>
      <c r="AO123" s="59">
        <f t="shared" si="90"/>
        <v>131.56029120000656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58.725999564157931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58.725999564157931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212.00000000000009</v>
      </c>
      <c r="BE123" s="13">
        <f>BD123*VLOOKUP('Données projet'!$B$11,Paramètres!$A$1:$I$89,3,0)*VLOOKUP('Données projet'!$B$11,Paramètres!$A$1:$I$89,5,0)</f>
        <v>185.20320000000009</v>
      </c>
      <c r="BF123" s="13">
        <f t="shared" si="91"/>
        <v>46.477875402099386</v>
      </c>
      <c r="BG123" s="20">
        <f t="shared" si="61"/>
        <v>403.5112063253232</v>
      </c>
      <c r="BH123" s="59">
        <f t="shared" si="62"/>
        <v>691.79321199322112</v>
      </c>
      <c r="BI123" s="59">
        <f ca="1">AVERAGE(OFFSET($BH$3,0,0,'Données projet'!$E$11+1,1))-AVERAGE(OFFSET($H$3,0,0,'Données projet'!$E$11+1,1))</f>
        <v>314.1123649635374</v>
      </c>
      <c r="BJ123" s="59">
        <f t="shared" si="92"/>
        <v>274.92342227914889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29.47003836250018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29.47003836250018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212.42519999999985</v>
      </c>
      <c r="CA123" s="13">
        <f t="shared" si="93"/>
        <v>52.465198231787184</v>
      </c>
      <c r="CB123" s="20">
        <f t="shared" si="64"/>
        <v>461.35077692036231</v>
      </c>
      <c r="CC123" s="59">
        <f t="shared" si="65"/>
        <v>749.63278258826017</v>
      </c>
      <c r="CD123" s="59">
        <f ca="1">AVERAGE(OFFSET($CC$3,0,0,'Données projet'!$E$12+1,1))-AVERAGE(OFFSET($H$3,0,0,'Données projet'!$E$12+1,1))</f>
        <v>309.86296291630748</v>
      </c>
      <c r="CE123" s="59">
        <f t="shared" si="94"/>
        <v>301.17633325088661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19.648215278089566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19.648215278089566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404.00000000000017</v>
      </c>
      <c r="CU123" s="17">
        <f>CT123*VLOOKUP('Données projet'!$B$13,Paramètres!$A$1:$I$89,3,0)*VLOOKUP('Données projet'!$B$13,Paramètres!$A$1:$I$89,5,0)</f>
        <v>346.63200000000018</v>
      </c>
      <c r="CV123" s="13">
        <f t="shared" si="95"/>
        <v>80.868615263336864</v>
      </c>
      <c r="CW123" s="20">
        <f t="shared" si="67"/>
        <v>744.56357158364528</v>
      </c>
      <c r="CX123" s="59">
        <f t="shared" si="68"/>
        <v>1032.8455772515431</v>
      </c>
      <c r="CY123" s="59">
        <f ca="1">AVERAGE(OFFSET($CX$3,0,0,'Données projet'!$E$13+1,1))-AVERAGE(OFFSET($H$3,0,0,'Données projet'!$E$13+1,1))</f>
        <v>462.66388549889928</v>
      </c>
      <c r="CZ123" s="59">
        <f t="shared" si="96"/>
        <v>265.3725203415089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99.95571452375269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99.95571452375269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210.25641030000014</v>
      </c>
      <c r="DP123" s="17">
        <f>DO123*VLOOKUP('Données projet'!$B$14,Paramètres!$A$1:$I$89,3,0)*VLOOKUP('Données projet'!$B$14,Paramètres!$A$1:$I$89,5,0)</f>
        <v>164.00000003400012</v>
      </c>
      <c r="DQ123" s="13">
        <f t="shared" si="97"/>
        <v>41.743425916009095</v>
      </c>
      <c r="DR123" s="20">
        <f t="shared" si="70"/>
        <v>358.3364668629327</v>
      </c>
      <c r="DS123" s="59">
        <f t="shared" si="71"/>
        <v>646.61847253083056</v>
      </c>
      <c r="DT123" s="59">
        <f ca="1">AVERAGE(OFFSET($DS$3,0,0,'Données projet'!$E$14+1,1))-AVERAGE(OFFSET($H$3,0,0,'Données projet'!$E$14+1,1))</f>
        <v>206.5241977687125</v>
      </c>
      <c r="DU123" s="59">
        <f t="shared" si="98"/>
        <v>205.25001043771269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11.762281222975963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11.762281222975963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155.99999999999991</v>
      </c>
      <c r="EK123" s="17">
        <f>EJ123*VLOOKUP('Données projet'!$B$15,Paramètres!$A$1:$I$89,3,0)*VLOOKUP('Données projet'!$B$15,Paramètres!$A$1:$I$89,5,0)</f>
        <v>136.28159999999994</v>
      </c>
      <c r="EL123" s="13">
        <f t="shared" si="99"/>
        <v>35.443842312892279</v>
      </c>
      <c r="EM123" s="20">
        <f t="shared" si="73"/>
        <v>299.08847869495395</v>
      </c>
      <c r="EN123" s="59">
        <f t="shared" si="74"/>
        <v>587.37048436285181</v>
      </c>
      <c r="EO123" s="59">
        <f ca="1">AVERAGE(OFFSET($EN$3,0,0,'Données projet'!$E$15+1,1))-AVERAGE(OFFSET($H$3,0,0,'Données projet'!$E$15+1,1))</f>
        <v>205.83135724908942</v>
      </c>
      <c r="EP123" s="59">
        <f t="shared" si="100"/>
        <v>193.60053377311405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11.713378600043184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11.713378600043184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204.00000000000017</v>
      </c>
      <c r="FF123" s="17">
        <f>FE123*VLOOKUP('Données projet'!$B$16,Paramètres!$A$1:$I$89,3,0)*VLOOKUP('Données projet'!$B$16,Paramètres!$A$1:$I$89,5,0)</f>
        <v>133.66080000000011</v>
      </c>
      <c r="FG123" s="13">
        <f t="shared" si="101"/>
        <v>34.840890682716783</v>
      </c>
      <c r="FH123" s="20">
        <f t="shared" si="76"/>
        <v>293.4737779390652</v>
      </c>
      <c r="FI123" s="59">
        <f t="shared" si="77"/>
        <v>581.75578360696306</v>
      </c>
      <c r="FJ123" s="59">
        <f ca="1">AVERAGE(OFFSET($FI$3,0,0,'Données projet'!$E$16+1,1))-AVERAGE(OFFSET($H$3,0,0,'Données projet'!$E$16+1,1))</f>
        <v>242.76791261317206</v>
      </c>
      <c r="FK123" s="59">
        <f t="shared" si="102"/>
        <v>244.28580264867682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21.757654346757626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21.757654346757626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7.4200000000000017</v>
      </c>
      <c r="FZ123" s="12">
        <f>IF('Données projet'!$A$244&gt;35,FZ122+FY123-GH122,IF(A123&lt;'Données projet'!$A$244,$FW$205^A123,IF(A123='Données projet'!$A$244,'Données projet'!$B$244,FZ122+FY123-GH122)))</f>
        <v>367.51000000000005</v>
      </c>
      <c r="GA123" s="17">
        <f>FZ123*VLOOKUP('Données projet'!$B$17,Paramètres!$A$1:$I$89,3,0)*VLOOKUP('Données projet'!$B$17,Paramètres!$A$1:$I$89,5,0)</f>
        <v>349.72251600000004</v>
      </c>
      <c r="GB123" s="13">
        <f t="shared" si="103"/>
        <v>81.505371763476234</v>
      </c>
      <c r="GC123" s="20">
        <f t="shared" si="79"/>
        <v>751.05523785472121</v>
      </c>
      <c r="GD123" s="59">
        <f t="shared" si="80"/>
        <v>1039.337243522619</v>
      </c>
      <c r="GE123" s="59">
        <f ca="1">AVERAGE(OFFSET($GD$3,0,0,'Données projet'!$E$17+1,1))-AVERAGE(OFFSET($H$3,0,0,'Données projet'!$E$17+1,1))</f>
        <v>512.71941256120977</v>
      </c>
      <c r="GF123" s="59">
        <f t="shared" si="104"/>
        <v>230.65031527019354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85.571990489090012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85.571990489090012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68.622365182153956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-5.6843418860808015E-14</v>
      </c>
      <c r="GV123" s="17">
        <f>GU123*VLOOKUP('Données projet'!$B$18,Paramètres!$A$1:$I$89,3,0)*VLOOKUP('Données projet'!$B$18,Paramètres!$A$1:$I$89,5,0)</f>
        <v>-2.5006556825246661E-14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180.68917161146683</v>
      </c>
      <c r="HA123" s="59">
        <f t="shared" si="106"/>
        <v>344.42126252322419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10.757860906030059</v>
      </c>
      <c r="HH123" s="21">
        <f>EXP(-LN(2)/25)*HH122+(1-EXP(-LN(2)/25))/(LN(2)/25)*Calculateur!HC123*Calculateur!HE123*VLOOKUP('Données projet'!$B$18,Paramètres!$A$1:$I$89,3,0)*0.475*44/12</f>
        <v>1.3660551302969932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12.123916036327053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2.25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8.25</v>
      </c>
      <c r="H124" s="66">
        <f t="shared" si="56"/>
        <v>223.66666666666666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7.4200000000000017</v>
      </c>
      <c r="N124" s="13">
        <f>IF('Données projet'!$A$36&gt;35,N123+M124-V123,IF(A124&lt;'Données projet'!$A$36,$K$205^A124,IF(A124='Données projet'!$A$36,'Données projet'!$B$36,N123+M124-V123)))</f>
        <v>374.93000000000006</v>
      </c>
      <c r="O124" s="13">
        <f>N124*VLOOKUP('Données projet'!$B$9,Paramètres!$A$1:$I$89,3,0)*VLOOKUP('Données projet'!$B$9,Paramètres!$A$1:$I$89,5,0)</f>
        <v>339.23666400000002</v>
      </c>
      <c r="P124" s="13">
        <f t="shared" si="87"/>
        <v>79.342215746802893</v>
      </c>
      <c r="Q124" s="20">
        <f t="shared" si="107"/>
        <v>729.02488222568172</v>
      </c>
      <c r="R124" s="59">
        <f t="shared" si="55"/>
        <v>1017.3945171354981</v>
      </c>
      <c r="S124" s="59">
        <f ca="1">AVERAGE(OFFSET($R$3,0,0,'Données projet'!$E$9+1,1))-AVERAGE(OFFSET($H$3,0,0,'Données projet'!$E$9+1,1))</f>
        <v>490.57849401500789</v>
      </c>
      <c r="T124" s="59">
        <f t="shared" si="88"/>
        <v>221.7570623669753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79.768042705948304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79.768042705948304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6.5766666666666662</v>
      </c>
      <c r="AI124" s="13">
        <f>IF('Données projet'!$A$62&gt;35,AI123+AH124-AQ123,IF(A124&lt;'Données projet'!$A$62,$AF$205^A124,IF(A124='Données projet'!$A$62,'Données projet'!$B$62,AI123+AH124-AQ123)))</f>
        <v>308.69333333333338</v>
      </c>
      <c r="AJ124" s="13">
        <f>AI124*VLOOKUP('Données projet'!$B$10,Paramètres!$A$1:$I$89,3,0)*VLOOKUP('Données projet'!$B$10,Paramètres!$A$1:$I$89,5,0)</f>
        <v>207.07148800000004</v>
      </c>
      <c r="AK124" s="13">
        <f t="shared" si="89"/>
        <v>51.295110033876995</v>
      </c>
      <c r="AL124" s="20">
        <f t="shared" si="58"/>
        <v>449.98849157566923</v>
      </c>
      <c r="AM124" s="59">
        <f t="shared" si="59"/>
        <v>738.35812648548551</v>
      </c>
      <c r="AN124" s="59">
        <f ca="1">AVERAGE(OFFSET($AM$3,0,0,'Données projet'!$E$10+1,1))-AVERAGE(OFFSET($H$3,0,0,'Données projet'!$E$10+1,1))</f>
        <v>377.00534440335832</v>
      </c>
      <c r="AO124" s="59">
        <f t="shared" si="90"/>
        <v>131.56029120000656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57.574418532027664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57.574418532027664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212.00000000000009</v>
      </c>
      <c r="BE124" s="13">
        <f>BD124*VLOOKUP('Données projet'!$B$11,Paramètres!$A$1:$I$89,3,0)*VLOOKUP('Données projet'!$B$11,Paramètres!$A$1:$I$89,5,0)</f>
        <v>185.20320000000009</v>
      </c>
      <c r="BF124" s="13">
        <f t="shared" si="91"/>
        <v>46.477875402099386</v>
      </c>
      <c r="BG124" s="20">
        <f t="shared" si="61"/>
        <v>403.5112063253232</v>
      </c>
      <c r="BH124" s="59">
        <f t="shared" si="62"/>
        <v>691.88084123513954</v>
      </c>
      <c r="BI124" s="59">
        <f ca="1">AVERAGE(OFFSET($BH$3,0,0,'Données projet'!$E$11+1,1))-AVERAGE(OFFSET($H$3,0,0,'Données projet'!$E$11+1,1))</f>
        <v>314.1123649635374</v>
      </c>
      <c r="BJ124" s="59">
        <f t="shared" si="92"/>
        <v>274.92342227914889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28.892148885160072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28.892148885160072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212.42519999999985</v>
      </c>
      <c r="CA124" s="13">
        <f t="shared" si="93"/>
        <v>52.465198231787184</v>
      </c>
      <c r="CB124" s="20">
        <f t="shared" si="64"/>
        <v>461.35077692036231</v>
      </c>
      <c r="CC124" s="59">
        <f t="shared" si="65"/>
        <v>749.72041183017859</v>
      </c>
      <c r="CD124" s="59">
        <f ca="1">AVERAGE(OFFSET($CC$3,0,0,'Données projet'!$E$12+1,1))-AVERAGE(OFFSET($H$3,0,0,'Données projet'!$E$12+1,1))</f>
        <v>309.86296291630748</v>
      </c>
      <c r="CE124" s="59">
        <f t="shared" si="94"/>
        <v>301.17633325088661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19.262925760714204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19.262925760714204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404.00000000000017</v>
      </c>
      <c r="CU124" s="17">
        <f>CT124*VLOOKUP('Données projet'!$B$13,Paramètres!$A$1:$I$89,3,0)*VLOOKUP('Données projet'!$B$13,Paramètres!$A$1:$I$89,5,0)</f>
        <v>346.63200000000018</v>
      </c>
      <c r="CV124" s="13">
        <f t="shared" si="95"/>
        <v>80.868615263336864</v>
      </c>
      <c r="CW124" s="20">
        <f t="shared" si="67"/>
        <v>744.56357158364528</v>
      </c>
      <c r="CX124" s="59">
        <f t="shared" si="68"/>
        <v>1032.9332064934615</v>
      </c>
      <c r="CY124" s="59">
        <f ca="1">AVERAGE(OFFSET($CX$3,0,0,'Données projet'!$E$13+1,1))-AVERAGE(OFFSET($H$3,0,0,'Données projet'!$E$13+1,1))</f>
        <v>462.66388549889928</v>
      </c>
      <c r="CZ124" s="59">
        <f t="shared" si="96"/>
        <v>265.3725203415089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97.995643928907768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97.995643928907768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210.25641030000014</v>
      </c>
      <c r="DP124" s="17">
        <f>DO124*VLOOKUP('Données projet'!$B$14,Paramètres!$A$1:$I$89,3,0)*VLOOKUP('Données projet'!$B$14,Paramètres!$A$1:$I$89,5,0)</f>
        <v>164.00000003400012</v>
      </c>
      <c r="DQ124" s="13">
        <f t="shared" si="97"/>
        <v>41.743425916009095</v>
      </c>
      <c r="DR124" s="20">
        <f t="shared" si="70"/>
        <v>358.3364668629327</v>
      </c>
      <c r="DS124" s="59">
        <f t="shared" si="71"/>
        <v>646.70610177274898</v>
      </c>
      <c r="DT124" s="59">
        <f ca="1">AVERAGE(OFFSET($DS$3,0,0,'Données projet'!$E$14+1,1))-AVERAGE(OFFSET($H$3,0,0,'Données projet'!$E$14+1,1))</f>
        <v>206.5241977687125</v>
      </c>
      <c r="DU124" s="59">
        <f t="shared" si="98"/>
        <v>205.25001043771269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11.531630062476548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11.531630062476548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155.99999999999991</v>
      </c>
      <c r="EK124" s="17">
        <f>EJ124*VLOOKUP('Données projet'!$B$15,Paramètres!$A$1:$I$89,3,0)*VLOOKUP('Données projet'!$B$15,Paramètres!$A$1:$I$89,5,0)</f>
        <v>136.28159999999994</v>
      </c>
      <c r="EL124" s="13">
        <f t="shared" si="99"/>
        <v>35.443842312892279</v>
      </c>
      <c r="EM124" s="20">
        <f t="shared" si="73"/>
        <v>299.08847869495395</v>
      </c>
      <c r="EN124" s="59">
        <f t="shared" si="74"/>
        <v>587.45811360477023</v>
      </c>
      <c r="EO124" s="59">
        <f ca="1">AVERAGE(OFFSET($EN$3,0,0,'Données projet'!$E$15+1,1))-AVERAGE(OFFSET($H$3,0,0,'Données projet'!$E$15+1,1))</f>
        <v>205.83135724908942</v>
      </c>
      <c r="EP124" s="59">
        <f t="shared" si="100"/>
        <v>193.60053377311405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11.483686390151826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11.483686390151826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204.00000000000017</v>
      </c>
      <c r="FF124" s="17">
        <f>FE124*VLOOKUP('Données projet'!$B$16,Paramètres!$A$1:$I$89,3,0)*VLOOKUP('Données projet'!$B$16,Paramètres!$A$1:$I$89,5,0)</f>
        <v>133.66080000000011</v>
      </c>
      <c r="FG124" s="13">
        <f t="shared" si="101"/>
        <v>34.840890682716783</v>
      </c>
      <c r="FH124" s="20">
        <f t="shared" si="76"/>
        <v>293.4737779390652</v>
      </c>
      <c r="FI124" s="59">
        <f t="shared" si="77"/>
        <v>581.84341284888148</v>
      </c>
      <c r="FJ124" s="59">
        <f ca="1">AVERAGE(OFFSET($FI$3,0,0,'Données projet'!$E$16+1,1))-AVERAGE(OFFSET($H$3,0,0,'Données projet'!$E$16+1,1))</f>
        <v>242.76791261317206</v>
      </c>
      <c r="FK124" s="59">
        <f t="shared" si="102"/>
        <v>244.28580264867682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21.331000015876473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21.331000015876473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7.4200000000000017</v>
      </c>
      <c r="FZ124" s="12">
        <f>IF('Données projet'!$A$244&gt;35,FZ123+FY124-GH123,IF(A124&lt;'Données projet'!$A$244,$FW$205^A124,IF(A124='Données projet'!$A$244,'Données projet'!$B$244,FZ123+FY124-GH123)))</f>
        <v>374.93000000000006</v>
      </c>
      <c r="GA124" s="17">
        <f>FZ124*VLOOKUP('Données projet'!$B$17,Paramètres!$A$1:$I$89,3,0)*VLOOKUP('Données projet'!$B$17,Paramètres!$A$1:$I$89,5,0)</f>
        <v>356.78338800000006</v>
      </c>
      <c r="GB124" s="13">
        <f t="shared" si="103"/>
        <v>82.957716994978085</v>
      </c>
      <c r="GC124" s="20">
        <f t="shared" si="79"/>
        <v>765.88242453292025</v>
      </c>
      <c r="GD124" s="59">
        <f t="shared" si="80"/>
        <v>1054.2520594427365</v>
      </c>
      <c r="GE124" s="59">
        <f ca="1">AVERAGE(OFFSET($GD$3,0,0,'Données projet'!$E$17+1,1))-AVERAGE(OFFSET($H$3,0,0,'Données projet'!$E$17+1,1))</f>
        <v>512.71941256120977</v>
      </c>
      <c r="GF124" s="59">
        <f t="shared" si="104"/>
        <v>230.65031527019354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83.893975949359444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83.893975949359444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68.646264066313535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-5.6843418860808015E-14</v>
      </c>
      <c r="GV124" s="17">
        <f>GU124*VLOOKUP('Données projet'!$B$18,Paramètres!$A$1:$I$89,3,0)*VLOOKUP('Données projet'!$B$18,Paramètres!$A$1:$I$89,5,0)</f>
        <v>-2.5006556825246661E-14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180.68917161146683</v>
      </c>
      <c r="HA124" s="59">
        <f t="shared" si="106"/>
        <v>344.42126252322419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10.546905815310053</v>
      </c>
      <c r="HH124" s="21">
        <f>EXP(-LN(2)/25)*HH123+(1-EXP(-LN(2)/25))/(LN(2)/25)*Calculateur!HC124*Calculateur!HE124*VLOOKUP('Données projet'!$B$18,Paramètres!$A$1:$I$89,3,0)*0.475*44/12</f>
        <v>1.3287002809213049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11.875606096231358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2.25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8.25</v>
      </c>
      <c r="H125" s="66">
        <f t="shared" si="56"/>
        <v>223.66666666666666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7.4200000000000017</v>
      </c>
      <c r="N125" s="13">
        <f>IF('Données projet'!$A$36&gt;35,N124+M125-V124,IF(A125&lt;'Données projet'!$A$36,$K$205^A125,IF(A125='Données projet'!$A$36,'Données projet'!$B$36,N124+M125-V124)))</f>
        <v>382.35000000000008</v>
      </c>
      <c r="O125" s="13">
        <f>N125*VLOOKUP('Données projet'!$B$9,Paramètres!$A$1:$I$89,3,0)*VLOOKUP('Données projet'!$B$9,Paramètres!$A$1:$I$89,5,0)</f>
        <v>345.95028000000008</v>
      </c>
      <c r="P125" s="13">
        <f t="shared" si="87"/>
        <v>80.728067855601395</v>
      </c>
      <c r="Q125" s="20">
        <f t="shared" si="107"/>
        <v>743.13145584850588</v>
      </c>
      <c r="R125" s="59">
        <f t="shared" si="55"/>
        <v>1031.587199828803</v>
      </c>
      <c r="S125" s="59">
        <f ca="1">AVERAGE(OFFSET($R$3,0,0,'Données projet'!$E$9+1,1))-AVERAGE(OFFSET($H$3,0,0,'Données projet'!$E$9+1,1))</f>
        <v>490.57849401500789</v>
      </c>
      <c r="T125" s="59">
        <f t="shared" si="88"/>
        <v>221.7570623669753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78.203840042186556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78.203840042186556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>
        <f>VLOOKUP(A125,'Données projet'!$A$61:$I$81,2,0)</f>
        <v>315.27</v>
      </c>
      <c r="AG125" s="12">
        <f>VLOOKUP(A125,'Données projet'!$A$61:$I$81,9,0)</f>
        <v>6.5766666666666662</v>
      </c>
      <c r="AH125" s="12">
        <f t="array" ref="AH125">INDEX(AG:AG,MIN(IF(ISNUMBER(AG125:AG321),ROW(AG125:AG321),"")))</f>
        <v>6.5766666666666662</v>
      </c>
      <c r="AI125" s="13">
        <f>IF('Données projet'!$A$62&gt;35,AI124+AH125-AQ124,IF(A125&lt;'Données projet'!$A$62,$AF$205^A125,IF(A125='Données projet'!$A$62,'Données projet'!$B$62,AI124+AH125-AQ124)))</f>
        <v>315.27000000000004</v>
      </c>
      <c r="AJ125" s="13">
        <f>AI125*VLOOKUP('Données projet'!$B$10,Paramètres!$A$1:$I$89,3,0)*VLOOKUP('Données projet'!$B$10,Paramètres!$A$1:$I$89,5,0)</f>
        <v>211.48311600000002</v>
      </c>
      <c r="AK125" s="13">
        <f t="shared" si="89"/>
        <v>52.259550992078211</v>
      </c>
      <c r="AL125" s="20">
        <f t="shared" si="58"/>
        <v>459.35181167786959</v>
      </c>
      <c r="AM125" s="59">
        <f t="shared" si="59"/>
        <v>747.80755565816662</v>
      </c>
      <c r="AN125" s="59">
        <f ca="1">AVERAGE(OFFSET($AM$3,0,0,'Données projet'!$E$10+1,1))-AVERAGE(OFFSET($H$3,0,0,'Données projet'!$E$10+1,1))</f>
        <v>377.00534440335832</v>
      </c>
      <c r="AO125" s="59">
        <f t="shared" si="90"/>
        <v>131.56029120000656</v>
      </c>
      <c r="AP125" s="15">
        <f>IF(ISNA(VLOOKUP(A125,'Données projet'!$A$61:$I$81,3,0)),0,VLOOKUP(A125,'Données projet'!$A$61:$I$81,3,0))</f>
        <v>8</v>
      </c>
      <c r="AQ125" s="15">
        <f>IF(ISNA(VLOOKUP(A125,'Données projet'!$A$61:$I$81,4,0)),0,VLOOKUP(A125,'Données projet'!$A$61:$I$81,4,0))</f>
        <v>41.63</v>
      </c>
      <c r="AR125" s="16">
        <f>IF(ISNA(VLOOKUP(A125,'Données projet'!$A$61:$I$81,5,0)),0%,VLOOKUP(A125,'Données projet'!$A$61:$I$81,5,0)*VLOOKUP('Données projet'!$B$10,Paramètres!$A$1:$I$89,7,0))</f>
        <v>0.53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72.806893989542615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72.806893989542615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212.00000000000009</v>
      </c>
      <c r="BE125" s="13">
        <f>BD125*VLOOKUP('Données projet'!$B$11,Paramètres!$A$1:$I$89,3,0)*VLOOKUP('Données projet'!$B$11,Paramètres!$A$1:$I$89,5,0)</f>
        <v>185.20320000000009</v>
      </c>
      <c r="BF125" s="13">
        <f t="shared" si="91"/>
        <v>46.477875402099386</v>
      </c>
      <c r="BG125" s="20">
        <f t="shared" si="61"/>
        <v>403.5112063253232</v>
      </c>
      <c r="BH125" s="59">
        <f t="shared" si="62"/>
        <v>691.96695030562023</v>
      </c>
      <c r="BI125" s="59">
        <f ca="1">AVERAGE(OFFSET($BH$3,0,0,'Données projet'!$E$11+1,1))-AVERAGE(OFFSET($H$3,0,0,'Données projet'!$E$11+1,1))</f>
        <v>314.1123649635374</v>
      </c>
      <c r="BJ125" s="59">
        <f t="shared" si="92"/>
        <v>274.92342227914889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28.32559146799283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28.32559146799283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212.42519999999985</v>
      </c>
      <c r="CA125" s="13">
        <f t="shared" si="93"/>
        <v>52.465198231787184</v>
      </c>
      <c r="CB125" s="20">
        <f t="shared" si="64"/>
        <v>461.35077692036231</v>
      </c>
      <c r="CC125" s="59">
        <f t="shared" si="65"/>
        <v>749.80652090065939</v>
      </c>
      <c r="CD125" s="59">
        <f ca="1">AVERAGE(OFFSET($CC$3,0,0,'Données projet'!$E$12+1,1))-AVERAGE(OFFSET($H$3,0,0,'Données projet'!$E$12+1,1))</f>
        <v>309.86296291630748</v>
      </c>
      <c r="CE125" s="59">
        <f t="shared" si="94"/>
        <v>301.17633325088661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18.885191535771174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18.885191535771174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404.00000000000017</v>
      </c>
      <c r="CU125" s="17">
        <f>CT125*VLOOKUP('Données projet'!$B$13,Paramètres!$A$1:$I$89,3,0)*VLOOKUP('Données projet'!$B$13,Paramètres!$A$1:$I$89,5,0)</f>
        <v>346.63200000000018</v>
      </c>
      <c r="CV125" s="13">
        <f t="shared" si="95"/>
        <v>80.868615263336864</v>
      </c>
      <c r="CW125" s="20">
        <f t="shared" si="67"/>
        <v>744.56357158364528</v>
      </c>
      <c r="CX125" s="59">
        <f t="shared" si="68"/>
        <v>1033.0193155639424</v>
      </c>
      <c r="CY125" s="59">
        <f ca="1">AVERAGE(OFFSET($CX$3,0,0,'Données projet'!$E$13+1,1))-AVERAGE(OFFSET($H$3,0,0,'Données projet'!$E$13+1,1))</f>
        <v>462.66388549889928</v>
      </c>
      <c r="CZ125" s="59">
        <f t="shared" si="96"/>
        <v>265.3725203415089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96.074009122902737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96.074009122902737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210.25641030000014</v>
      </c>
      <c r="DP125" s="17">
        <f>DO125*VLOOKUP('Données projet'!$B$14,Paramètres!$A$1:$I$89,3,0)*VLOOKUP('Données projet'!$B$14,Paramètres!$A$1:$I$89,5,0)</f>
        <v>164.00000003400012</v>
      </c>
      <c r="DQ125" s="13">
        <f t="shared" si="97"/>
        <v>41.743425916009095</v>
      </c>
      <c r="DR125" s="20">
        <f t="shared" si="70"/>
        <v>358.3364668629327</v>
      </c>
      <c r="DS125" s="59">
        <f t="shared" si="71"/>
        <v>646.79221084322978</v>
      </c>
      <c r="DT125" s="59">
        <f ca="1">AVERAGE(OFFSET($DS$3,0,0,'Données projet'!$E$14+1,1))-AVERAGE(OFFSET($H$3,0,0,'Données projet'!$E$14+1,1))</f>
        <v>206.5241977687125</v>
      </c>
      <c r="DU125" s="59">
        <f t="shared" si="98"/>
        <v>205.25001043771269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11.305501830551211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11.305501830551211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155.99999999999991</v>
      </c>
      <c r="EK125" s="17">
        <f>EJ125*VLOOKUP('Données projet'!$B$15,Paramètres!$A$1:$I$89,3,0)*VLOOKUP('Données projet'!$B$15,Paramètres!$A$1:$I$89,5,0)</f>
        <v>136.28159999999994</v>
      </c>
      <c r="EL125" s="13">
        <f t="shared" si="99"/>
        <v>35.443842312892279</v>
      </c>
      <c r="EM125" s="20">
        <f t="shared" si="73"/>
        <v>299.08847869495395</v>
      </c>
      <c r="EN125" s="59">
        <f t="shared" si="74"/>
        <v>587.54422267525104</v>
      </c>
      <c r="EO125" s="59">
        <f ca="1">AVERAGE(OFFSET($EN$3,0,0,'Données projet'!$E$15+1,1))-AVERAGE(OFFSET($H$3,0,0,'Données projet'!$E$15+1,1))</f>
        <v>205.83135724908942</v>
      </c>
      <c r="EP125" s="59">
        <f t="shared" si="100"/>
        <v>193.60053377311405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11.258498304398024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11.258498304398024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204.00000000000017</v>
      </c>
      <c r="FF125" s="17">
        <f>FE125*VLOOKUP('Données projet'!$B$16,Paramètres!$A$1:$I$89,3,0)*VLOOKUP('Données projet'!$B$16,Paramètres!$A$1:$I$89,5,0)</f>
        <v>133.66080000000011</v>
      </c>
      <c r="FG125" s="13">
        <f t="shared" si="101"/>
        <v>34.840890682716783</v>
      </c>
      <c r="FH125" s="20">
        <f t="shared" si="76"/>
        <v>293.4737779390652</v>
      </c>
      <c r="FI125" s="59">
        <f t="shared" si="77"/>
        <v>581.92952191936229</v>
      </c>
      <c r="FJ125" s="59">
        <f ca="1">AVERAGE(OFFSET($FI$3,0,0,'Données projet'!$E$16+1,1))-AVERAGE(OFFSET($H$3,0,0,'Données projet'!$E$16+1,1))</f>
        <v>242.76791261317206</v>
      </c>
      <c r="FK125" s="59">
        <f t="shared" si="102"/>
        <v>244.28580264867682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20.912712116190452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20.912712116190452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7.4200000000000017</v>
      </c>
      <c r="FZ125" s="12">
        <f>IF('Données projet'!$A$244&gt;35,FZ124+FY125-GH124,IF(A125&lt;'Données projet'!$A$244,$FW$205^A125,IF(A125='Données projet'!$A$244,'Données projet'!$B$244,FZ124+FY125-GH124)))</f>
        <v>382.35000000000008</v>
      </c>
      <c r="GA125" s="17">
        <f>FZ125*VLOOKUP('Données projet'!$B$17,Paramètres!$A$1:$I$89,3,0)*VLOOKUP('Données projet'!$B$17,Paramètres!$A$1:$I$89,5,0)</f>
        <v>363.84426000000008</v>
      </c>
      <c r="GB125" s="13">
        <f t="shared" si="103"/>
        <v>84.4067202268198</v>
      </c>
      <c r="GC125" s="20">
        <f t="shared" si="79"/>
        <v>780.70379056171123</v>
      </c>
      <c r="GD125" s="59">
        <f t="shared" si="80"/>
        <v>1069.1595345420083</v>
      </c>
      <c r="GE125" s="59">
        <f ca="1">AVERAGE(OFFSET($GD$3,0,0,'Données projet'!$E$17+1,1))-AVERAGE(OFFSET($H$3,0,0,'Données projet'!$E$17+1,1))</f>
        <v>512.71941256120977</v>
      </c>
      <c r="GF125" s="59">
        <f t="shared" si="104"/>
        <v>230.65031527019354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82.248866251265184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82.248866251265184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68.669748358262851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-5.6843418860808015E-14</v>
      </c>
      <c r="GV125" s="17">
        <f>GU125*VLOOKUP('Données projet'!$B$18,Paramètres!$A$1:$I$89,3,0)*VLOOKUP('Données projet'!$B$18,Paramètres!$A$1:$I$89,5,0)</f>
        <v>-2.5006556825246661E-14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180.68917161146683</v>
      </c>
      <c r="HA125" s="59">
        <f t="shared" si="106"/>
        <v>344.42126252322419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10.340087425249166</v>
      </c>
      <c r="HH125" s="21">
        <f>EXP(-LN(2)/25)*HH124+(1-EXP(-LN(2)/25))/(LN(2)/25)*Calculateur!HC125*Calculateur!HE125*VLOOKUP('Données projet'!$B$18,Paramètres!$A$1:$I$89,3,0)*0.475*44/12</f>
        <v>1.2923669018662007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11.632454327115367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2.25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8.25</v>
      </c>
      <c r="H126" s="66">
        <f t="shared" si="56"/>
        <v>223.66666666666666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7.4200000000000017</v>
      </c>
      <c r="N126" s="13">
        <f>IF('Données projet'!$A$36&gt;35,N125+M126-V125,IF(A126&lt;'Données projet'!$A$36,$K$205^A126,IF(A126='Données projet'!$A$36,'Données projet'!$B$36,N125+M126-V125)))</f>
        <v>389.7700000000001</v>
      </c>
      <c r="O126" s="13">
        <f>N126*VLOOKUP('Données projet'!$B$9,Paramètres!$A$1:$I$89,3,0)*VLOOKUP('Données projet'!$B$9,Paramètres!$A$1:$I$89,5,0)</f>
        <v>352.66389600000008</v>
      </c>
      <c r="P126" s="13">
        <f t="shared" si="87"/>
        <v>82.1107927973964</v>
      </c>
      <c r="Q126" s="20">
        <f t="shared" si="107"/>
        <v>757.23258298879875</v>
      </c>
      <c r="R126" s="59">
        <f t="shared" si="55"/>
        <v>1045.7729422397149</v>
      </c>
      <c r="S126" s="59">
        <f ca="1">AVERAGE(OFFSET($R$3,0,0,'Données projet'!$E$9+1,1))-AVERAGE(OFFSET($H$3,0,0,'Données projet'!$E$9+1,1))</f>
        <v>490.57849401500789</v>
      </c>
      <c r="T126" s="59">
        <f t="shared" si="88"/>
        <v>221.7570623669753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76.670310438591756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76.670310438591756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6.6930000000000005</v>
      </c>
      <c r="AI126" s="13">
        <f>IF('Données projet'!$A$62&gt;35,AI125+AH126-AQ125,IF(A126&lt;'Données projet'!$A$62,$AF$205^A126,IF(A126='Données projet'!$A$62,'Données projet'!$B$62,AI125+AH126-AQ125)))</f>
        <v>280.33300000000003</v>
      </c>
      <c r="AJ126" s="13">
        <f>AI126*VLOOKUP('Données projet'!$B$10,Paramètres!$A$1:$I$89,3,0)*VLOOKUP('Données projet'!$B$10,Paramètres!$A$1:$I$89,5,0)</f>
        <v>188.04737640000002</v>
      </c>
      <c r="AK126" s="13">
        <f t="shared" si="89"/>
        <v>47.107996297566338</v>
      </c>
      <c r="AL126" s="20">
        <f t="shared" si="58"/>
        <v>409.56227411492802</v>
      </c>
      <c r="AM126" s="59">
        <f t="shared" si="59"/>
        <v>698.10263336584421</v>
      </c>
      <c r="AN126" s="59">
        <f ca="1">AVERAGE(OFFSET($AM$3,0,0,'Données projet'!$E$10+1,1))-AVERAGE(OFFSET($H$3,0,0,'Données projet'!$E$10+1,1))</f>
        <v>377.00534440335832</v>
      </c>
      <c r="AO126" s="59">
        <f t="shared" si="90"/>
        <v>131.56029120000656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71.379195206228104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71.379195206228104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212.00000000000009</v>
      </c>
      <c r="BE126" s="13">
        <f>BD126*VLOOKUP('Données projet'!$B$11,Paramètres!$A$1:$I$89,3,0)*VLOOKUP('Données projet'!$B$11,Paramètres!$A$1:$I$89,5,0)</f>
        <v>185.20320000000009</v>
      </c>
      <c r="BF126" s="13">
        <f t="shared" si="91"/>
        <v>46.477875402099386</v>
      </c>
      <c r="BG126" s="20">
        <f t="shared" si="61"/>
        <v>403.5112063253232</v>
      </c>
      <c r="BH126" s="59">
        <f t="shared" si="62"/>
        <v>692.05156557623934</v>
      </c>
      <c r="BI126" s="59">
        <f ca="1">AVERAGE(OFFSET($BH$3,0,0,'Données projet'!$E$11+1,1))-AVERAGE(OFFSET($H$3,0,0,'Données projet'!$E$11+1,1))</f>
        <v>314.1123649635374</v>
      </c>
      <c r="BJ126" s="59">
        <f t="shared" si="92"/>
        <v>274.92342227914889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27.770143896210332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27.770143896210332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212.42519999999985</v>
      </c>
      <c r="CA126" s="13">
        <f t="shared" si="93"/>
        <v>52.465198231787184</v>
      </c>
      <c r="CB126" s="20">
        <f t="shared" si="64"/>
        <v>461.35077692036231</v>
      </c>
      <c r="CC126" s="59">
        <f t="shared" si="65"/>
        <v>749.8911361712785</v>
      </c>
      <c r="CD126" s="59">
        <f ca="1">AVERAGE(OFFSET($CC$3,0,0,'Données projet'!$E$12+1,1))-AVERAGE(OFFSET($H$3,0,0,'Données projet'!$E$12+1,1))</f>
        <v>309.86296291630748</v>
      </c>
      <c r="CE126" s="59">
        <f t="shared" si="94"/>
        <v>301.17633325088661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18.514864448584149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18.514864448584149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404.00000000000017</v>
      </c>
      <c r="CU126" s="17">
        <f>CT126*VLOOKUP('Données projet'!$B$13,Paramètres!$A$1:$I$89,3,0)*VLOOKUP('Données projet'!$B$13,Paramètres!$A$1:$I$89,5,0)</f>
        <v>346.63200000000018</v>
      </c>
      <c r="CV126" s="13">
        <f t="shared" si="95"/>
        <v>80.868615263336864</v>
      </c>
      <c r="CW126" s="20">
        <f t="shared" si="67"/>
        <v>744.56357158364528</v>
      </c>
      <c r="CX126" s="59">
        <f t="shared" si="68"/>
        <v>1033.1039308345614</v>
      </c>
      <c r="CY126" s="59">
        <f ca="1">AVERAGE(OFFSET($CX$3,0,0,'Données projet'!$E$13+1,1))-AVERAGE(OFFSET($H$3,0,0,'Données projet'!$E$13+1,1))</f>
        <v>462.66388549889928</v>
      </c>
      <c r="CZ126" s="59">
        <f t="shared" si="96"/>
        <v>265.3725203415089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94.190056403361979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94.190056403361979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210.25641030000014</v>
      </c>
      <c r="DP126" s="17">
        <f>DO126*VLOOKUP('Données projet'!$B$14,Paramètres!$A$1:$I$89,3,0)*VLOOKUP('Données projet'!$B$14,Paramètres!$A$1:$I$89,5,0)</f>
        <v>164.00000003400012</v>
      </c>
      <c r="DQ126" s="13">
        <f t="shared" si="97"/>
        <v>41.743425916009095</v>
      </c>
      <c r="DR126" s="20">
        <f t="shared" si="70"/>
        <v>358.3364668629327</v>
      </c>
      <c r="DS126" s="59">
        <f t="shared" si="71"/>
        <v>646.87682611384889</v>
      </c>
      <c r="DT126" s="59">
        <f ca="1">AVERAGE(OFFSET($DS$3,0,0,'Données projet'!$E$14+1,1))-AVERAGE(OFFSET($H$3,0,0,'Données projet'!$E$14+1,1))</f>
        <v>206.5241977687125</v>
      </c>
      <c r="DU126" s="59">
        <f t="shared" si="98"/>
        <v>205.25001043771269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11.083807835329328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11.083807835329328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155.99999999999991</v>
      </c>
      <c r="EK126" s="17">
        <f>EJ126*VLOOKUP('Données projet'!$B$15,Paramètres!$A$1:$I$89,3,0)*VLOOKUP('Données projet'!$B$15,Paramètres!$A$1:$I$89,5,0)</f>
        <v>136.28159999999994</v>
      </c>
      <c r="EL126" s="13">
        <f t="shared" si="99"/>
        <v>35.443842312892279</v>
      </c>
      <c r="EM126" s="20">
        <f t="shared" si="73"/>
        <v>299.08847869495395</v>
      </c>
      <c r="EN126" s="59">
        <f t="shared" si="74"/>
        <v>587.62883794587015</v>
      </c>
      <c r="EO126" s="59">
        <f ca="1">AVERAGE(OFFSET($EN$3,0,0,'Données projet'!$E$15+1,1))-AVERAGE(OFFSET($H$3,0,0,'Données projet'!$E$15+1,1))</f>
        <v>205.83135724908942</v>
      </c>
      <c r="EP126" s="59">
        <f t="shared" si="100"/>
        <v>193.60053377311405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11.037726019654684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11.037726019654684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204.00000000000017</v>
      </c>
      <c r="FF126" s="17">
        <f>FE126*VLOOKUP('Données projet'!$B$16,Paramètres!$A$1:$I$89,3,0)*VLOOKUP('Données projet'!$B$16,Paramètres!$A$1:$I$89,5,0)</f>
        <v>133.66080000000011</v>
      </c>
      <c r="FG126" s="13">
        <f t="shared" si="101"/>
        <v>34.840890682716783</v>
      </c>
      <c r="FH126" s="20">
        <f t="shared" si="76"/>
        <v>293.4737779390652</v>
      </c>
      <c r="FI126" s="59">
        <f t="shared" si="77"/>
        <v>582.01413718998128</v>
      </c>
      <c r="FJ126" s="59">
        <f ca="1">AVERAGE(OFFSET($FI$3,0,0,'Données projet'!$E$16+1,1))-AVERAGE(OFFSET($H$3,0,0,'Données projet'!$E$16+1,1))</f>
        <v>242.76791261317206</v>
      </c>
      <c r="FK126" s="59">
        <f t="shared" si="102"/>
        <v>244.28580264867682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20.502626587086848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20.502626587086848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7.4200000000000017</v>
      </c>
      <c r="FZ126" s="12">
        <f>IF('Données projet'!$A$244&gt;35,FZ125+FY126-GH125,IF(A126&lt;'Données projet'!$A$244,$FW$205^A126,IF(A126='Données projet'!$A$244,'Données projet'!$B$244,FZ125+FY126-GH125)))</f>
        <v>389.7700000000001</v>
      </c>
      <c r="GA126" s="17">
        <f>FZ126*VLOOKUP('Données projet'!$B$17,Paramètres!$A$1:$I$89,3,0)*VLOOKUP('Données projet'!$B$17,Paramètres!$A$1:$I$89,5,0)</f>
        <v>370.90513200000009</v>
      </c>
      <c r="GB126" s="13">
        <f t="shared" si="103"/>
        <v>85.852453791526244</v>
      </c>
      <c r="GC126" s="20">
        <f t="shared" si="79"/>
        <v>795.51946192024172</v>
      </c>
      <c r="GD126" s="59">
        <f t="shared" si="80"/>
        <v>1084.0598211711579</v>
      </c>
      <c r="GE126" s="59">
        <f ca="1">AVERAGE(OFFSET($GD$3,0,0,'Données projet'!$E$17+1,1))-AVERAGE(OFFSET($H$3,0,0,'Données projet'!$E$17+1,1))</f>
        <v>512.71941256120977</v>
      </c>
      <c r="GF126" s="59">
        <f t="shared" si="104"/>
        <v>230.65031527019354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80.636016150932718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80.636016150932718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68.692825250249854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-5.6843418860808015E-14</v>
      </c>
      <c r="GV126" s="17">
        <f>GU126*VLOOKUP('Données projet'!$B$18,Paramètres!$A$1:$I$89,3,0)*VLOOKUP('Données projet'!$B$18,Paramètres!$A$1:$I$89,5,0)</f>
        <v>-2.5006556825246661E-14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180.68917161146683</v>
      </c>
      <c r="HA126" s="59">
        <f t="shared" si="106"/>
        <v>344.42126252322419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10.137324617670611</v>
      </c>
      <c r="HH126" s="21">
        <f>EXP(-LN(2)/25)*HH125+(1-EXP(-LN(2)/25))/(LN(2)/25)*Calculateur!HC126*Calculateur!HE126*VLOOKUP('Données projet'!$B$18,Paramètres!$A$1:$I$89,3,0)*0.475*44/12</f>
        <v>1.2570270609720477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11.394351678642659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2.25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8.25</v>
      </c>
      <c r="H127" s="66">
        <f t="shared" si="56"/>
        <v>223.66666666666666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7.4200000000000017</v>
      </c>
      <c r="N127" s="13">
        <f>IF('Données projet'!$A$36&gt;35,N126+M127-V126,IF(A127&lt;'Données projet'!$A$36,$K$205^A127,IF(A127='Données projet'!$A$36,'Données projet'!$B$36,N126+M127-V126)))</f>
        <v>397.19000000000011</v>
      </c>
      <c r="O127" s="13">
        <f>N127*VLOOKUP('Données projet'!$B$9,Paramètres!$A$1:$I$89,3,0)*VLOOKUP('Données projet'!$B$9,Paramètres!$A$1:$I$89,5,0)</f>
        <v>359.37751200000008</v>
      </c>
      <c r="P127" s="13">
        <f t="shared" si="87"/>
        <v>83.490456967625121</v>
      </c>
      <c r="Q127" s="20">
        <f t="shared" si="107"/>
        <v>771.32837928528045</v>
      </c>
      <c r="R127" s="59">
        <f t="shared" si="55"/>
        <v>1059.9518859210418</v>
      </c>
      <c r="S127" s="59">
        <f ca="1">AVERAGE(OFFSET($R$3,0,0,'Données projet'!$E$9+1,1))-AVERAGE(OFFSET($H$3,0,0,'Données projet'!$E$9+1,1))</f>
        <v>490.57849401500789</v>
      </c>
      <c r="T127" s="59">
        <f t="shared" si="88"/>
        <v>221.7570623669753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75.166852415162751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75.166852415162751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6.6930000000000005</v>
      </c>
      <c r="AI127" s="13">
        <f>IF('Données projet'!$A$62&gt;35,AI126+AH127-AQ126,IF(A127&lt;'Données projet'!$A$62,$AF$205^A127,IF(A127='Données projet'!$A$62,'Données projet'!$B$62,AI126+AH127-AQ126)))</f>
        <v>287.02600000000001</v>
      </c>
      <c r="AJ127" s="13">
        <f>AI127*VLOOKUP('Données projet'!$B$10,Paramètres!$A$1:$I$89,3,0)*VLOOKUP('Données projet'!$B$10,Paramètres!$A$1:$I$89,5,0)</f>
        <v>192.53704080000003</v>
      </c>
      <c r="AK127" s="13">
        <f t="shared" si="89"/>
        <v>48.100422803214762</v>
      </c>
      <c r="AL127" s="20">
        <f t="shared" si="58"/>
        <v>419.11024910893246</v>
      </c>
      <c r="AM127" s="59">
        <f t="shared" si="59"/>
        <v>707.73375574469378</v>
      </c>
      <c r="AN127" s="59">
        <f ca="1">AVERAGE(OFFSET($AM$3,0,0,'Données projet'!$E$10+1,1))-AVERAGE(OFFSET($H$3,0,0,'Données projet'!$E$10+1,1))</f>
        <v>377.00534440335832</v>
      </c>
      <c r="AO127" s="59">
        <f t="shared" si="90"/>
        <v>131.56029120000656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69.979492725244128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69.979492725244128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212.00000000000009</v>
      </c>
      <c r="BE127" s="13">
        <f>BD127*VLOOKUP('Données projet'!$B$11,Paramètres!$A$1:$I$89,3,0)*VLOOKUP('Données projet'!$B$11,Paramètres!$A$1:$I$89,5,0)</f>
        <v>185.20320000000009</v>
      </c>
      <c r="BF127" s="13">
        <f t="shared" si="91"/>
        <v>46.477875402099386</v>
      </c>
      <c r="BG127" s="20">
        <f t="shared" si="61"/>
        <v>403.5112063253232</v>
      </c>
      <c r="BH127" s="59">
        <f t="shared" si="62"/>
        <v>692.13471296108446</v>
      </c>
      <c r="BI127" s="59">
        <f ca="1">AVERAGE(OFFSET($BH$3,0,0,'Données projet'!$E$11+1,1))-AVERAGE(OFFSET($H$3,0,0,'Données projet'!$E$11+1,1))</f>
        <v>314.1123649635374</v>
      </c>
      <c r="BJ127" s="59">
        <f t="shared" si="92"/>
        <v>274.92342227914889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27.225588312520923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27.225588312520923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212.42519999999985</v>
      </c>
      <c r="CA127" s="13">
        <f t="shared" si="93"/>
        <v>52.465198231787184</v>
      </c>
      <c r="CB127" s="20">
        <f t="shared" si="64"/>
        <v>461.35077692036231</v>
      </c>
      <c r="CC127" s="59">
        <f t="shared" si="65"/>
        <v>749.97428355612362</v>
      </c>
      <c r="CD127" s="59">
        <f ca="1">AVERAGE(OFFSET($CC$3,0,0,'Données projet'!$E$12+1,1))-AVERAGE(OFFSET($H$3,0,0,'Données projet'!$E$12+1,1))</f>
        <v>309.86296291630748</v>
      </c>
      <c r="CE127" s="59">
        <f t="shared" si="94"/>
        <v>301.17633325088661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18.151799249699639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18.151799249699639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404.00000000000017</v>
      </c>
      <c r="CU127" s="17">
        <f>CT127*VLOOKUP('Données projet'!$B$13,Paramètres!$A$1:$I$89,3,0)*VLOOKUP('Données projet'!$B$13,Paramètres!$A$1:$I$89,5,0)</f>
        <v>346.63200000000018</v>
      </c>
      <c r="CV127" s="13">
        <f t="shared" si="95"/>
        <v>80.868615263336864</v>
      </c>
      <c r="CW127" s="20">
        <f t="shared" si="67"/>
        <v>744.56357158364528</v>
      </c>
      <c r="CX127" s="59">
        <f t="shared" si="68"/>
        <v>1033.1870782194067</v>
      </c>
      <c r="CY127" s="59">
        <f ca="1">AVERAGE(OFFSET($CX$3,0,0,'Données projet'!$E$13+1,1))-AVERAGE(OFFSET($H$3,0,0,'Données projet'!$E$13+1,1))</f>
        <v>462.66388549889928</v>
      </c>
      <c r="CZ127" s="59">
        <f t="shared" si="96"/>
        <v>265.3725203415089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92.343046847553708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92.343046847553708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210.25641030000014</v>
      </c>
      <c r="DP127" s="17">
        <f>DO127*VLOOKUP('Données projet'!$B$14,Paramètres!$A$1:$I$89,3,0)*VLOOKUP('Données projet'!$B$14,Paramètres!$A$1:$I$89,5,0)</f>
        <v>164.00000003400012</v>
      </c>
      <c r="DQ127" s="13">
        <f t="shared" si="97"/>
        <v>41.743425916009095</v>
      </c>
      <c r="DR127" s="20">
        <f t="shared" si="70"/>
        <v>358.3364668629327</v>
      </c>
      <c r="DS127" s="59">
        <f t="shared" si="71"/>
        <v>646.95997349869401</v>
      </c>
      <c r="DT127" s="59">
        <f ca="1">AVERAGE(OFFSET($DS$3,0,0,'Données projet'!$E$14+1,1))-AVERAGE(OFFSET($H$3,0,0,'Données projet'!$E$14+1,1))</f>
        <v>206.5241977687125</v>
      </c>
      <c r="DU127" s="59">
        <f t="shared" si="98"/>
        <v>205.25001043771269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10.86646112413376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10.86646112413376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155.99999999999991</v>
      </c>
      <c r="EK127" s="17">
        <f>EJ127*VLOOKUP('Données projet'!$B$15,Paramètres!$A$1:$I$89,3,0)*VLOOKUP('Données projet'!$B$15,Paramètres!$A$1:$I$89,5,0)</f>
        <v>136.28159999999994</v>
      </c>
      <c r="EL127" s="13">
        <f t="shared" si="99"/>
        <v>35.443842312892279</v>
      </c>
      <c r="EM127" s="20">
        <f t="shared" si="73"/>
        <v>299.08847869495395</v>
      </c>
      <c r="EN127" s="59">
        <f t="shared" si="74"/>
        <v>587.71198533071527</v>
      </c>
      <c r="EO127" s="59">
        <f ca="1">AVERAGE(OFFSET($EN$3,0,0,'Données projet'!$E$15+1,1))-AVERAGE(OFFSET($H$3,0,0,'Données projet'!$E$15+1,1))</f>
        <v>205.83135724908942</v>
      </c>
      <c r="EP127" s="59">
        <f t="shared" si="100"/>
        <v>193.60053377311405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10.821282944757364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10.821282944757364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204.00000000000017</v>
      </c>
      <c r="FF127" s="17">
        <f>FE127*VLOOKUP('Données projet'!$B$16,Paramètres!$A$1:$I$89,3,0)*VLOOKUP('Données projet'!$B$16,Paramètres!$A$1:$I$89,5,0)</f>
        <v>133.66080000000011</v>
      </c>
      <c r="FG127" s="13">
        <f t="shared" si="101"/>
        <v>34.840890682716783</v>
      </c>
      <c r="FH127" s="20">
        <f t="shared" si="76"/>
        <v>293.4737779390652</v>
      </c>
      <c r="FI127" s="59">
        <f t="shared" si="77"/>
        <v>582.09728457482652</v>
      </c>
      <c r="FJ127" s="59">
        <f ca="1">AVERAGE(OFFSET($FI$3,0,0,'Données projet'!$E$16+1,1))-AVERAGE(OFFSET($H$3,0,0,'Données projet'!$E$16+1,1))</f>
        <v>242.76791261317206</v>
      </c>
      <c r="FK127" s="59">
        <f t="shared" si="102"/>
        <v>244.28580264867682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20.10058258508149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20.10058258508149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7.4200000000000017</v>
      </c>
      <c r="FZ127" s="12">
        <f>IF('Données projet'!$A$244&gt;35,FZ126+FY127-GH126,IF(A127&lt;'Données projet'!$A$244,$FW$205^A127,IF(A127='Données projet'!$A$244,'Données projet'!$B$244,FZ126+FY127-GH126)))</f>
        <v>397.19000000000011</v>
      </c>
      <c r="GA127" s="17">
        <f>FZ127*VLOOKUP('Données projet'!$B$17,Paramètres!$A$1:$I$89,3,0)*VLOOKUP('Données projet'!$B$17,Paramètres!$A$1:$I$89,5,0)</f>
        <v>377.96600400000011</v>
      </c>
      <c r="GB127" s="13">
        <f t="shared" si="103"/>
        <v>87.294987110071048</v>
      </c>
      <c r="GC127" s="20">
        <f t="shared" si="79"/>
        <v>810.32955951670726</v>
      </c>
      <c r="GD127" s="59">
        <f t="shared" si="80"/>
        <v>1098.9530661524686</v>
      </c>
      <c r="GE127" s="59">
        <f ca="1">AVERAGE(OFFSET($GD$3,0,0,'Données projet'!$E$17+1,1))-AVERAGE(OFFSET($H$3,0,0,'Données projet'!$E$17+1,1))</f>
        <v>512.71941256120977</v>
      </c>
      <c r="GF127" s="59">
        <f t="shared" si="104"/>
        <v>230.65031527019354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79.05479305732635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79.05479305732635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68.715501809753093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-5.6843418860808015E-14</v>
      </c>
      <c r="GV127" s="17">
        <f>GU127*VLOOKUP('Données projet'!$B$18,Paramètres!$A$1:$I$89,3,0)*VLOOKUP('Données projet'!$B$18,Paramètres!$A$1:$I$89,5,0)</f>
        <v>-2.5006556825246661E-14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180.68917161146683</v>
      </c>
      <c r="HA127" s="59">
        <f t="shared" si="106"/>
        <v>344.42126252322419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9.9385378650755705</v>
      </c>
      <c r="HH127" s="21">
        <f>EXP(-LN(2)/25)*HH126+(1-EXP(-LN(2)/25))/(LN(2)/25)*Calculateur!HC127*Calculateur!HE127*VLOOKUP('Données projet'!$B$18,Paramètres!$A$1:$I$89,3,0)*0.475*44/12</f>
        <v>1.222653589885587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11.161191454961157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2.25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8.25</v>
      </c>
      <c r="H128" s="66">
        <f t="shared" si="56"/>
        <v>223.66666666666666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404.61</v>
      </c>
      <c r="L128" s="12">
        <f>VLOOKUP(A128,'Données projet'!$A$35:$I$55,9,0)</f>
        <v>7.4200000000000017</v>
      </c>
      <c r="M128" s="12">
        <f t="array" ref="M128">INDEX(L:L,MIN(IF(ISNUMBER(L128:L324),ROW(L128:L324),"")))</f>
        <v>7.4200000000000017</v>
      </c>
      <c r="N128" s="13">
        <f>IF('Données projet'!$A$36&gt;35,N127+M128-V127,IF(A128&lt;'Données projet'!$A$36,$K$205^A128,IF(A128='Données projet'!$A$36,'Données projet'!$B$36,N127+M128-V127)))</f>
        <v>404.61000000000013</v>
      </c>
      <c r="O128" s="13">
        <f>N128*VLOOKUP('Données projet'!$B$9,Paramètres!$A$1:$I$89,3,0)*VLOOKUP('Données projet'!$B$9,Paramètres!$A$1:$I$89,5,0)</f>
        <v>366.09112800000008</v>
      </c>
      <c r="P128" s="13">
        <f t="shared" si="87"/>
        <v>84.867124139045259</v>
      </c>
      <c r="Q128" s="20">
        <f t="shared" si="107"/>
        <v>785.41895580883727</v>
      </c>
      <c r="R128" s="59">
        <f t="shared" si="55"/>
        <v>1074.1241674082064</v>
      </c>
      <c r="S128" s="59">
        <f ca="1">AVERAGE(OFFSET($R$3,0,0,'Données projet'!$E$9+1,1))-AVERAGE(OFFSET($H$3,0,0,'Données projet'!$E$9+1,1))</f>
        <v>490.57849401500789</v>
      </c>
      <c r="T128" s="59">
        <f t="shared" si="88"/>
        <v>221.7570623669753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61.5</v>
      </c>
      <c r="W128" s="16">
        <f>IF(ISNA(VLOOKUP(A128,'Données projet'!$A$35:$I$55,5,0)),0%,VLOOKUP(A128,'Données projet'!$A$35:$I$55,5,0)*VLOOKUP('Données projet'!$B$9,Paramètres!$A$1:$I$89,7,0))</f>
        <v>0.43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100.1439480427247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100.1439480427247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6.6930000000000005</v>
      </c>
      <c r="AI128" s="13">
        <f>IF('Données projet'!$A$62&gt;35,AI127+AH128-AQ127,IF(A128&lt;'Données projet'!$A$62,$AF$205^A128,IF(A128='Données projet'!$A$62,'Données projet'!$B$62,AI127+AH128-AQ127)))</f>
        <v>293.71899999999999</v>
      </c>
      <c r="AJ128" s="13">
        <f>AI128*VLOOKUP('Données projet'!$B$10,Paramètres!$A$1:$I$89,3,0)*VLOOKUP('Données projet'!$B$10,Paramètres!$A$1:$I$89,5,0)</f>
        <v>197.02670519999998</v>
      </c>
      <c r="AK128" s="13">
        <f t="shared" si="89"/>
        <v>49.090158993084714</v>
      </c>
      <c r="AL128" s="20">
        <f t="shared" si="58"/>
        <v>428.65353846962245</v>
      </c>
      <c r="AM128" s="59">
        <f t="shared" si="59"/>
        <v>717.35875006899164</v>
      </c>
      <c r="AN128" s="59">
        <f ca="1">AVERAGE(OFFSET($AM$3,0,0,'Données projet'!$E$10+1,1))-AVERAGE(OFFSET($H$3,0,0,'Données projet'!$E$10+1,1))</f>
        <v>377.00534440335832</v>
      </c>
      <c r="AO128" s="59">
        <f t="shared" si="90"/>
        <v>131.56029120000656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68.607237556178035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68.607237556178035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212.00000000000009</v>
      </c>
      <c r="BE128" s="13">
        <f>BD128*VLOOKUP('Données projet'!$B$11,Paramètres!$A$1:$I$89,3,0)*VLOOKUP('Données projet'!$B$11,Paramètres!$A$1:$I$89,5,0)</f>
        <v>185.20320000000009</v>
      </c>
      <c r="BF128" s="13">
        <f t="shared" si="91"/>
        <v>46.477875402099386</v>
      </c>
      <c r="BG128" s="20">
        <f t="shared" si="61"/>
        <v>403.5112063253232</v>
      </c>
      <c r="BH128" s="59">
        <f t="shared" si="62"/>
        <v>692.21641792469234</v>
      </c>
      <c r="BI128" s="59">
        <f ca="1">AVERAGE(OFFSET($BH$3,0,0,'Données projet'!$E$11+1,1))-AVERAGE(OFFSET($H$3,0,0,'Données projet'!$E$11+1,1))</f>
        <v>314.1123649635374</v>
      </c>
      <c r="BJ128" s="59">
        <f t="shared" si="92"/>
        <v>274.92342227914889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26.691711131681554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26.691711131681554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212.42519999999985</v>
      </c>
      <c r="CA128" s="13">
        <f t="shared" si="93"/>
        <v>52.465198231787184</v>
      </c>
      <c r="CB128" s="20">
        <f t="shared" si="64"/>
        <v>461.35077692036231</v>
      </c>
      <c r="CC128" s="59">
        <f t="shared" si="65"/>
        <v>750.0559885197315</v>
      </c>
      <c r="CD128" s="59">
        <f ca="1">AVERAGE(OFFSET($CC$3,0,0,'Données projet'!$E$12+1,1))-AVERAGE(OFFSET($H$3,0,0,'Données projet'!$E$12+1,1))</f>
        <v>309.86296291630748</v>
      </c>
      <c r="CE128" s="59">
        <f t="shared" si="94"/>
        <v>301.17633325088661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17.795853537917353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17.795853537917353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404.00000000000017</v>
      </c>
      <c r="CU128" s="17">
        <f>CT128*VLOOKUP('Données projet'!$B$13,Paramètres!$A$1:$I$89,3,0)*VLOOKUP('Données projet'!$B$13,Paramètres!$A$1:$I$89,5,0)</f>
        <v>346.63200000000018</v>
      </c>
      <c r="CV128" s="13">
        <f t="shared" si="95"/>
        <v>80.868615263336864</v>
      </c>
      <c r="CW128" s="20">
        <f t="shared" si="67"/>
        <v>744.56357158364528</v>
      </c>
      <c r="CX128" s="59">
        <f t="shared" si="68"/>
        <v>1033.2687831830144</v>
      </c>
      <c r="CY128" s="59">
        <f ca="1">AVERAGE(OFFSET($CX$3,0,0,'Données projet'!$E$13+1,1))-AVERAGE(OFFSET($H$3,0,0,'Données projet'!$E$13+1,1))</f>
        <v>462.66388549889928</v>
      </c>
      <c r="CZ128" s="59">
        <f t="shared" si="96"/>
        <v>265.3725203415089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90.532256022570252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90.532256022570252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210.25641030000014</v>
      </c>
      <c r="DP128" s="17">
        <f>DO128*VLOOKUP('Données projet'!$B$14,Paramètres!$A$1:$I$89,3,0)*VLOOKUP('Données projet'!$B$14,Paramètres!$A$1:$I$89,5,0)</f>
        <v>164.00000003400012</v>
      </c>
      <c r="DQ128" s="13">
        <f t="shared" si="97"/>
        <v>41.743425916009095</v>
      </c>
      <c r="DR128" s="20">
        <f t="shared" si="70"/>
        <v>358.3364668629327</v>
      </c>
      <c r="DS128" s="59">
        <f t="shared" si="71"/>
        <v>647.04167846230189</v>
      </c>
      <c r="DT128" s="59">
        <f ca="1">AVERAGE(OFFSET($DS$3,0,0,'Données projet'!$E$14+1,1))-AVERAGE(OFFSET($H$3,0,0,'Données projet'!$E$14+1,1))</f>
        <v>206.5241977687125</v>
      </c>
      <c r="DU128" s="59">
        <f t="shared" si="98"/>
        <v>205.25001043771269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10.653376449376333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10.653376449376333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155.99999999999991</v>
      </c>
      <c r="EK128" s="17">
        <f>EJ128*VLOOKUP('Données projet'!$B$15,Paramètres!$A$1:$I$89,3,0)*VLOOKUP('Données projet'!$B$15,Paramètres!$A$1:$I$89,5,0)</f>
        <v>136.28159999999994</v>
      </c>
      <c r="EL128" s="13">
        <f t="shared" si="99"/>
        <v>35.443842312892279</v>
      </c>
      <c r="EM128" s="20">
        <f t="shared" si="73"/>
        <v>299.08847869495395</v>
      </c>
      <c r="EN128" s="59">
        <f t="shared" si="74"/>
        <v>587.79369029432314</v>
      </c>
      <c r="EO128" s="59">
        <f ca="1">AVERAGE(OFFSET($EN$3,0,0,'Données projet'!$E$15+1,1))-AVERAGE(OFFSET($H$3,0,0,'Données projet'!$E$15+1,1))</f>
        <v>205.83135724908942</v>
      </c>
      <c r="EP128" s="59">
        <f t="shared" si="100"/>
        <v>193.60053377311405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10.609084186541541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10.609084186541541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204.00000000000017</v>
      </c>
      <c r="FF128" s="17">
        <f>FE128*VLOOKUP('Données projet'!$B$16,Paramètres!$A$1:$I$89,3,0)*VLOOKUP('Données projet'!$B$16,Paramètres!$A$1:$I$89,5,0)</f>
        <v>133.66080000000011</v>
      </c>
      <c r="FG128" s="13">
        <f t="shared" si="101"/>
        <v>34.840890682716783</v>
      </c>
      <c r="FH128" s="20">
        <f t="shared" si="76"/>
        <v>293.4737779390652</v>
      </c>
      <c r="FI128" s="59">
        <f t="shared" si="77"/>
        <v>582.17898953843428</v>
      </c>
      <c r="FJ128" s="59">
        <f ca="1">AVERAGE(OFFSET($FI$3,0,0,'Données projet'!$E$16+1,1))-AVERAGE(OFFSET($H$3,0,0,'Données projet'!$E$16+1,1))</f>
        <v>242.76791261317206</v>
      </c>
      <c r="FK128" s="59">
        <f t="shared" si="102"/>
        <v>244.28580264867682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19.706422420732832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19.706422420732832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>
        <f>VLOOKUP(A128,'Données projet'!$A$243:$I$263,2,0)</f>
        <v>404.61</v>
      </c>
      <c r="FX128" s="12">
        <f>VLOOKUP(A128,'Données projet'!$A$243:$I$263,9,0)</f>
        <v>7.4200000000000017</v>
      </c>
      <c r="FY128" s="12">
        <f t="array" ref="FY128">INDEX(FX:FX,MIN(IF(ISNUMBER(FX128:FX324),ROW(FX128:FX324),"")))</f>
        <v>7.4200000000000017</v>
      </c>
      <c r="FZ128" s="12">
        <f>IF('Données projet'!$A$244&gt;35,FZ127+FY128-GH127,IF(A128&lt;'Données projet'!$A$244,$FW$205^A128,IF(A128='Données projet'!$A$244,'Données projet'!$B$244,FZ127+FY128-GH127)))</f>
        <v>404.61000000000013</v>
      </c>
      <c r="GA128" s="17">
        <f>FZ128*VLOOKUP('Données projet'!$B$17,Paramètres!$A$1:$I$89,3,0)*VLOOKUP('Données projet'!$B$17,Paramètres!$A$1:$I$89,5,0)</f>
        <v>385.02687600000013</v>
      </c>
      <c r="GB128" s="13">
        <f t="shared" si="103"/>
        <v>88.734386861237638</v>
      </c>
      <c r="GC128" s="20">
        <f t="shared" si="79"/>
        <v>825.13419948332239</v>
      </c>
      <c r="GD128" s="59">
        <f t="shared" si="80"/>
        <v>1113.8394110826916</v>
      </c>
      <c r="GE128" s="59">
        <f ca="1">AVERAGE(OFFSET($GD$3,0,0,'Données projet'!$E$17+1,1))-AVERAGE(OFFSET($H$3,0,0,'Données projet'!$E$17+1,1))</f>
        <v>512.71941256120977</v>
      </c>
      <c r="GF128" s="59">
        <f t="shared" si="104"/>
        <v>230.65031527019354</v>
      </c>
      <c r="GG128" s="15">
        <f>IF(ISNA(VLOOKUP(A128,'Données projet'!$A$243:$I$263,3,0)),0,VLOOKUP(A128,'Données projet'!$A$243:$I$263,3,0))</f>
        <v>10</v>
      </c>
      <c r="GH128" s="15">
        <f>IF(ISNA(VLOOKUP(A128,'Données projet'!$A$243:$I$263,4,0)),0,VLOOKUP(A128,'Données projet'!$A$243:$I$263,4,0))</f>
        <v>61.5</v>
      </c>
      <c r="GI128" s="16">
        <f>IF(ISNA(VLOOKUP(A128,'Données projet'!$A$243:$I$263,5,0)),0%,VLOOKUP(A128,'Données projet'!$A$243:$I$263,5,0)*VLOOKUP('Données projet'!$B$17,Paramètres!$A$1:$I$89,7,0))</f>
        <v>0.43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105.32380742424496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105.32380742424496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68.737784981646129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-5.6843418860808015E-14</v>
      </c>
      <c r="GV128" s="17">
        <f>GU128*VLOOKUP('Données projet'!$B$18,Paramètres!$A$1:$I$89,3,0)*VLOOKUP('Données projet'!$B$18,Paramètres!$A$1:$I$89,5,0)</f>
        <v>-2.5006556825246661E-14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180.68917161146683</v>
      </c>
      <c r="HA128" s="59">
        <f t="shared" si="106"/>
        <v>344.42126252322419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9.7436491994509726</v>
      </c>
      <c r="HH128" s="21">
        <f>EXP(-LN(2)/25)*HH127+(1-EXP(-LN(2)/25))/(LN(2)/25)*Calculateur!HC128*Calculateur!HE128*VLOOKUP('Données projet'!$B$18,Paramètres!$A$1:$I$89,3,0)*0.475*44/12</f>
        <v>1.1892200631736078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10.93286926262458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2.25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8.25</v>
      </c>
      <c r="H129" s="66">
        <f t="shared" si="56"/>
        <v>223.66666666666666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7.0766666666666636</v>
      </c>
      <c r="N129" s="13">
        <f>IF('Données projet'!$A$36&gt;35,N128+M129-V128,IF(A129&lt;'Données projet'!$A$36,$K$205^A129,IF(A129='Données projet'!$A$36,'Données projet'!$B$36,N128+M129-V128)))</f>
        <v>350.18666666666678</v>
      </c>
      <c r="O129" s="13">
        <f>N129*VLOOKUP('Données projet'!$B$9,Paramètres!$A$1:$I$89,3,0)*VLOOKUP('Données projet'!$B$9,Paramètres!$A$1:$I$89,5,0)</f>
        <v>316.84889600000008</v>
      </c>
      <c r="P129" s="13">
        <f t="shared" si="87"/>
        <v>74.697328052662286</v>
      </c>
      <c r="Q129" s="20">
        <f t="shared" si="107"/>
        <v>681.94300689172019</v>
      </c>
      <c r="R129" s="59">
        <f t="shared" si="55"/>
        <v>970.72850605624353</v>
      </c>
      <c r="S129" s="59">
        <f ca="1">AVERAGE(OFFSET($R$3,0,0,'Données projet'!$E$9+1,1))-AVERAGE(OFFSET($H$3,0,0,'Données projet'!$E$9+1,1))</f>
        <v>490.57849401500789</v>
      </c>
      <c r="T129" s="59">
        <f t="shared" si="88"/>
        <v>221.7570623669753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98.180186303383849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98.180186303383849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6.6930000000000005</v>
      </c>
      <c r="AI129" s="13">
        <f>IF('Données projet'!$A$62&gt;35,AI128+AH129-AQ128,IF(A129&lt;'Données projet'!$A$62,$AF$205^A129,IF(A129='Données projet'!$A$62,'Données projet'!$B$62,AI128+AH129-AQ128)))</f>
        <v>300.41199999999998</v>
      </c>
      <c r="AJ129" s="13">
        <f>AI129*VLOOKUP('Données projet'!$B$10,Paramètres!$A$1:$I$89,3,0)*VLOOKUP('Données projet'!$B$10,Paramètres!$A$1:$I$89,5,0)</f>
        <v>201.51636959999999</v>
      </c>
      <c r="AK129" s="13">
        <f t="shared" si="89"/>
        <v>50.077273228740864</v>
      </c>
      <c r="AL129" s="20">
        <f t="shared" si="58"/>
        <v>438.19226126005697</v>
      </c>
      <c r="AM129" s="59">
        <f t="shared" si="59"/>
        <v>726.97776042458031</v>
      </c>
      <c r="AN129" s="59">
        <f ca="1">AVERAGE(OFFSET($AM$3,0,0,'Données projet'!$E$10+1,1))-AVERAGE(OFFSET($H$3,0,0,'Données projet'!$E$10+1,1))</f>
        <v>377.00534440335832</v>
      </c>
      <c r="AO129" s="59">
        <f t="shared" si="90"/>
        <v>131.56029120000656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67.261891473984321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67.261891473984321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212.00000000000009</v>
      </c>
      <c r="BE129" s="13">
        <f>BD129*VLOOKUP('Données projet'!$B$11,Paramètres!$A$1:$I$89,3,0)*VLOOKUP('Données projet'!$B$11,Paramètres!$A$1:$I$89,5,0)</f>
        <v>185.20320000000009</v>
      </c>
      <c r="BF129" s="13">
        <f t="shared" si="91"/>
        <v>46.477875402099386</v>
      </c>
      <c r="BG129" s="20">
        <f t="shared" si="61"/>
        <v>403.5112063253232</v>
      </c>
      <c r="BH129" s="59">
        <f t="shared" si="62"/>
        <v>692.29670548984654</v>
      </c>
      <c r="BI129" s="59">
        <f ca="1">AVERAGE(OFFSET($BH$3,0,0,'Données projet'!$E$11+1,1))-AVERAGE(OFFSET($H$3,0,0,'Données projet'!$E$11+1,1))</f>
        <v>314.1123649635374</v>
      </c>
      <c r="BJ129" s="59">
        <f t="shared" si="92"/>
        <v>274.92342227914889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26.168302956725519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26.168302956725519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212.42519999999985</v>
      </c>
      <c r="CA129" s="13">
        <f t="shared" si="93"/>
        <v>52.465198231787184</v>
      </c>
      <c r="CB129" s="20">
        <f t="shared" si="64"/>
        <v>461.35077692036231</v>
      </c>
      <c r="CC129" s="59">
        <f t="shared" si="65"/>
        <v>750.13627608488559</v>
      </c>
      <c r="CD129" s="59">
        <f ca="1">AVERAGE(OFFSET($CC$3,0,0,'Données projet'!$E$12+1,1))-AVERAGE(OFFSET($H$3,0,0,'Données projet'!$E$12+1,1))</f>
        <v>309.86296291630748</v>
      </c>
      <c r="CE129" s="59">
        <f t="shared" si="94"/>
        <v>301.17633325088661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17.446887704437668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17.446887704437668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404.00000000000017</v>
      </c>
      <c r="CU129" s="17">
        <f>CT129*VLOOKUP('Données projet'!$B$13,Paramètres!$A$1:$I$89,3,0)*VLOOKUP('Données projet'!$B$13,Paramètres!$A$1:$I$89,5,0)</f>
        <v>346.63200000000018</v>
      </c>
      <c r="CV129" s="13">
        <f t="shared" si="95"/>
        <v>80.868615263336864</v>
      </c>
      <c r="CW129" s="20">
        <f t="shared" si="67"/>
        <v>744.56357158364528</v>
      </c>
      <c r="CX129" s="59">
        <f t="shared" si="68"/>
        <v>1033.3490707481685</v>
      </c>
      <c r="CY129" s="59">
        <f ca="1">AVERAGE(OFFSET($CX$3,0,0,'Données projet'!$E$13+1,1))-AVERAGE(OFFSET($H$3,0,0,'Données projet'!$E$13+1,1))</f>
        <v>462.66388549889928</v>
      </c>
      <c r="CZ129" s="59">
        <f t="shared" si="96"/>
        <v>265.3725203415089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88.756973701191384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88.756973701191384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210.25641030000014</v>
      </c>
      <c r="DP129" s="17">
        <f>DO129*VLOOKUP('Données projet'!$B$14,Paramètres!$A$1:$I$89,3,0)*VLOOKUP('Données projet'!$B$14,Paramètres!$A$1:$I$89,5,0)</f>
        <v>164.00000003400012</v>
      </c>
      <c r="DQ129" s="13">
        <f t="shared" si="97"/>
        <v>41.743425916009095</v>
      </c>
      <c r="DR129" s="20">
        <f t="shared" si="70"/>
        <v>358.3364668629327</v>
      </c>
      <c r="DS129" s="59">
        <f t="shared" si="71"/>
        <v>647.12196602745598</v>
      </c>
      <c r="DT129" s="59">
        <f ca="1">AVERAGE(OFFSET($DS$3,0,0,'Données projet'!$E$14+1,1))-AVERAGE(OFFSET($H$3,0,0,'Données projet'!$E$14+1,1))</f>
        <v>206.5241977687125</v>
      </c>
      <c r="DU129" s="59">
        <f t="shared" si="98"/>
        <v>205.25001043771269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10.444470235122081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10.444470235122081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155.99999999999991</v>
      </c>
      <c r="EK129" s="17">
        <f>EJ129*VLOOKUP('Données projet'!$B$15,Paramètres!$A$1:$I$89,3,0)*VLOOKUP('Données projet'!$B$15,Paramètres!$A$1:$I$89,5,0)</f>
        <v>136.28159999999994</v>
      </c>
      <c r="EL129" s="13">
        <f t="shared" si="99"/>
        <v>35.443842312892279</v>
      </c>
      <c r="EM129" s="20">
        <f t="shared" si="73"/>
        <v>299.08847869495395</v>
      </c>
      <c r="EN129" s="59">
        <f t="shared" si="74"/>
        <v>587.87397785947724</v>
      </c>
      <c r="EO129" s="59">
        <f ca="1">AVERAGE(OFFSET($EN$3,0,0,'Données projet'!$E$15+1,1))-AVERAGE(OFFSET($H$3,0,0,'Données projet'!$E$15+1,1))</f>
        <v>205.83135724908942</v>
      </c>
      <c r="EP129" s="59">
        <f t="shared" si="100"/>
        <v>193.60053377311405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10.401046516545867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10.401046516545867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204.00000000000017</v>
      </c>
      <c r="FF129" s="17">
        <f>FE129*VLOOKUP('Données projet'!$B$16,Paramètres!$A$1:$I$89,3,0)*VLOOKUP('Données projet'!$B$16,Paramètres!$A$1:$I$89,5,0)</f>
        <v>133.66080000000011</v>
      </c>
      <c r="FG129" s="13">
        <f t="shared" si="101"/>
        <v>34.840890682716783</v>
      </c>
      <c r="FH129" s="20">
        <f t="shared" si="76"/>
        <v>293.4737779390652</v>
      </c>
      <c r="FI129" s="59">
        <f t="shared" si="77"/>
        <v>582.25927710358849</v>
      </c>
      <c r="FJ129" s="59">
        <f ca="1">AVERAGE(OFFSET($FI$3,0,0,'Données projet'!$E$16+1,1))-AVERAGE(OFFSET($H$3,0,0,'Données projet'!$E$16+1,1))</f>
        <v>242.76791261317206</v>
      </c>
      <c r="FK129" s="59">
        <f t="shared" si="102"/>
        <v>244.28580264867682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19.319991496793087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19.319991496793087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7.0766666666666636</v>
      </c>
      <c r="FZ129" s="12">
        <f>IF('Données projet'!$A$244&gt;35,FZ128+FY129-GH128,IF(A129&lt;'Données projet'!$A$244,$FW$205^A129,IF(A129='Données projet'!$A$244,'Données projet'!$B$244,FZ128+FY129-GH128)))</f>
        <v>350.18666666666678</v>
      </c>
      <c r="GA129" s="17">
        <f>FZ129*VLOOKUP('Données projet'!$B$17,Paramètres!$A$1:$I$89,3,0)*VLOOKUP('Données projet'!$B$17,Paramètres!$A$1:$I$89,5,0)</f>
        <v>333.23763200000008</v>
      </c>
      <c r="GB129" s="13">
        <f t="shared" si="103"/>
        <v>78.101168999978341</v>
      </c>
      <c r="GC129" s="20">
        <f t="shared" si="79"/>
        <v>716.4150784082957</v>
      </c>
      <c r="GD129" s="59">
        <f t="shared" si="80"/>
        <v>1005.2005775728189</v>
      </c>
      <c r="GE129" s="59">
        <f ca="1">AVERAGE(OFFSET($GD$3,0,0,'Données projet'!$E$17+1,1))-AVERAGE(OFFSET($H$3,0,0,'Données projet'!$E$17+1,1))</f>
        <v>512.71941256120977</v>
      </c>
      <c r="GF129" s="59">
        <f t="shared" si="104"/>
        <v>230.65031527019354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103.25847180183476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103.25847180183476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68.759681590324533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-5.6843418860808015E-14</v>
      </c>
      <c r="GV129" s="17">
        <f>GU129*VLOOKUP('Données projet'!$B$18,Paramètres!$A$1:$I$89,3,0)*VLOOKUP('Données projet'!$B$18,Paramètres!$A$1:$I$89,5,0)</f>
        <v>-2.5006556825246661E-14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180.68917161146683</v>
      </c>
      <c r="HA129" s="59">
        <f t="shared" si="106"/>
        <v>344.42126252322419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9.5525821816889245</v>
      </c>
      <c r="HH129" s="21">
        <f>EXP(-LN(2)/25)*HH128+(1-EXP(-LN(2)/25))/(LN(2)/25)*Calculateur!HC129*Calculateur!HE129*VLOOKUP('Données projet'!$B$18,Paramètres!$A$1:$I$89,3,0)*0.475*44/12</f>
        <v>1.1567007780077605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10.709282959696685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2.25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8.25</v>
      </c>
      <c r="H130" s="66">
        <f t="shared" si="56"/>
        <v>223.66666666666666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7.0766666666666636</v>
      </c>
      <c r="N130" s="13">
        <f>IF('Données projet'!$A$36&gt;35,N129+M130-V129,IF(A130&lt;'Données projet'!$A$36,$K$205^A130,IF(A130='Données projet'!$A$36,'Données projet'!$B$36,N129+M130-V129)))</f>
        <v>357.26333333333343</v>
      </c>
      <c r="O130" s="13">
        <f>N130*VLOOKUP('Données projet'!$B$9,Paramètres!$A$1:$I$89,3,0)*VLOOKUP('Données projet'!$B$9,Paramètres!$A$1:$I$89,5,0)</f>
        <v>323.25186400000007</v>
      </c>
      <c r="P130" s="13">
        <f t="shared" si="87"/>
        <v>76.029568543435346</v>
      </c>
      <c r="Q130" s="20">
        <f t="shared" si="107"/>
        <v>695.41516167981661</v>
      </c>
      <c r="R130" s="59">
        <f t="shared" si="55"/>
        <v>984.27955559973475</v>
      </c>
      <c r="S130" s="59">
        <f ca="1">AVERAGE(OFFSET($R$3,0,0,'Données projet'!$E$9+1,1))-AVERAGE(OFFSET($H$3,0,0,'Données projet'!$E$9+1,1))</f>
        <v>490.57849401500789</v>
      </c>
      <c r="T130" s="59">
        <f t="shared" si="88"/>
        <v>221.7570623669753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96.254932733975082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96.254932733975082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6.6930000000000005</v>
      </c>
      <c r="AI130" s="13">
        <f>IF('Données projet'!$A$62&gt;35,AI129+AH130-AQ129,IF(A130&lt;'Données projet'!$A$62,$AF$205^A130,IF(A130='Données projet'!$A$62,'Données projet'!$B$62,AI129+AH130-AQ129)))</f>
        <v>307.10499999999996</v>
      </c>
      <c r="AJ130" s="13">
        <f>AI130*VLOOKUP('Données projet'!$B$10,Paramètres!$A$1:$I$89,3,0)*VLOOKUP('Données projet'!$B$10,Paramètres!$A$1:$I$89,5,0)</f>
        <v>206.00603399999997</v>
      </c>
      <c r="AK130" s="13">
        <f t="shared" si="89"/>
        <v>51.061830651729856</v>
      </c>
      <c r="AL130" s="20">
        <f t="shared" si="58"/>
        <v>447.72653093509615</v>
      </c>
      <c r="AM130" s="59">
        <f t="shared" si="59"/>
        <v>736.59092485501424</v>
      </c>
      <c r="AN130" s="59">
        <f ca="1">AVERAGE(OFFSET($AM$3,0,0,'Données projet'!$E$10+1,1))-AVERAGE(OFFSET($H$3,0,0,'Données projet'!$E$10+1,1))</f>
        <v>377.00534440335832</v>
      </c>
      <c r="AO130" s="59">
        <f t="shared" si="90"/>
        <v>131.56029120000656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65.94292680788233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65.94292680788233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212.00000000000009</v>
      </c>
      <c r="BE130" s="13">
        <f>BD130*VLOOKUP('Données projet'!$B$11,Paramètres!$A$1:$I$89,3,0)*VLOOKUP('Données projet'!$B$11,Paramètres!$A$1:$I$89,5,0)</f>
        <v>185.20320000000009</v>
      </c>
      <c r="BF130" s="13">
        <f t="shared" si="91"/>
        <v>46.477875402099386</v>
      </c>
      <c r="BG130" s="20">
        <f t="shared" si="61"/>
        <v>403.5112063253232</v>
      </c>
      <c r="BH130" s="59">
        <f t="shared" si="62"/>
        <v>692.37560024524134</v>
      </c>
      <c r="BI130" s="59">
        <f ca="1">AVERAGE(OFFSET($BH$3,0,0,'Données projet'!$E$11+1,1))-AVERAGE(OFFSET($H$3,0,0,'Données projet'!$E$11+1,1))</f>
        <v>314.1123649635374</v>
      </c>
      <c r="BJ130" s="59">
        <f t="shared" si="92"/>
        <v>274.92342227914889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25.655158496832907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25.655158496832907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212.42519999999985</v>
      </c>
      <c r="CA130" s="13">
        <f t="shared" si="93"/>
        <v>52.465198231787184</v>
      </c>
      <c r="CB130" s="20">
        <f t="shared" si="64"/>
        <v>461.35077692036231</v>
      </c>
      <c r="CC130" s="59">
        <f t="shared" si="65"/>
        <v>750.21517084028051</v>
      </c>
      <c r="CD130" s="59">
        <f ca="1">AVERAGE(OFFSET($CC$3,0,0,'Données projet'!$E$12+1,1))-AVERAGE(OFFSET($H$3,0,0,'Données projet'!$E$12+1,1))</f>
        <v>309.86296291630748</v>
      </c>
      <c r="CE130" s="59">
        <f t="shared" si="94"/>
        <v>301.17633325088661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17.10476487810438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17.10476487810438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404.00000000000017</v>
      </c>
      <c r="CU130" s="17">
        <f>CT130*VLOOKUP('Données projet'!$B$13,Paramètres!$A$1:$I$89,3,0)*VLOOKUP('Données projet'!$B$13,Paramètres!$A$1:$I$89,5,0)</f>
        <v>346.63200000000018</v>
      </c>
      <c r="CV130" s="13">
        <f t="shared" si="95"/>
        <v>80.868615263336864</v>
      </c>
      <c r="CW130" s="20">
        <f t="shared" si="67"/>
        <v>744.56357158364528</v>
      </c>
      <c r="CX130" s="59">
        <f t="shared" si="68"/>
        <v>1033.4279655035634</v>
      </c>
      <c r="CY130" s="59">
        <f ca="1">AVERAGE(OFFSET($CX$3,0,0,'Données projet'!$E$13+1,1))-AVERAGE(OFFSET($H$3,0,0,'Données projet'!$E$13+1,1))</f>
        <v>462.66388549889928</v>
      </c>
      <c r="CZ130" s="59">
        <f t="shared" si="96"/>
        <v>265.3725203415089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87.016503583319448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87.016503583319448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210.25641030000014</v>
      </c>
      <c r="DP130" s="17">
        <f>DO130*VLOOKUP('Données projet'!$B$14,Paramètres!$A$1:$I$89,3,0)*VLOOKUP('Données projet'!$B$14,Paramètres!$A$1:$I$89,5,0)</f>
        <v>164.00000003400012</v>
      </c>
      <c r="DQ130" s="13">
        <f t="shared" si="97"/>
        <v>41.743425916009095</v>
      </c>
      <c r="DR130" s="20">
        <f t="shared" si="70"/>
        <v>358.3364668629327</v>
      </c>
      <c r="DS130" s="59">
        <f t="shared" si="71"/>
        <v>647.2008607828509</v>
      </c>
      <c r="DT130" s="59">
        <f ca="1">AVERAGE(OFFSET($DS$3,0,0,'Données projet'!$E$14+1,1))-AVERAGE(OFFSET($H$3,0,0,'Données projet'!$E$14+1,1))</f>
        <v>206.5241977687125</v>
      </c>
      <c r="DU130" s="59">
        <f t="shared" si="98"/>
        <v>205.25001043771269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10.239660544309146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10.239660544309146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155.99999999999991</v>
      </c>
      <c r="EK130" s="17">
        <f>EJ130*VLOOKUP('Données projet'!$B$15,Paramètres!$A$1:$I$89,3,0)*VLOOKUP('Données projet'!$B$15,Paramètres!$A$1:$I$89,5,0)</f>
        <v>136.28159999999994</v>
      </c>
      <c r="EL130" s="13">
        <f t="shared" si="99"/>
        <v>35.443842312892279</v>
      </c>
      <c r="EM130" s="20">
        <f t="shared" si="73"/>
        <v>299.08847869495395</v>
      </c>
      <c r="EN130" s="59">
        <f t="shared" si="74"/>
        <v>587.95287261487215</v>
      </c>
      <c r="EO130" s="59">
        <f ca="1">AVERAGE(OFFSET($EN$3,0,0,'Données projet'!$E$15+1,1))-AVERAGE(OFFSET($H$3,0,0,'Données projet'!$E$15+1,1))</f>
        <v>205.83135724908942</v>
      </c>
      <c r="EP130" s="59">
        <f t="shared" si="100"/>
        <v>193.60053377311405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10.197088338368358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10.197088338368358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204.00000000000017</v>
      </c>
      <c r="FF130" s="17">
        <f>FE130*VLOOKUP('Données projet'!$B$16,Paramètres!$A$1:$I$89,3,0)*VLOOKUP('Données projet'!$B$16,Paramètres!$A$1:$I$89,5,0)</f>
        <v>133.66080000000011</v>
      </c>
      <c r="FG130" s="13">
        <f t="shared" si="101"/>
        <v>34.840890682716783</v>
      </c>
      <c r="FH130" s="20">
        <f t="shared" si="76"/>
        <v>293.4737779390652</v>
      </c>
      <c r="FI130" s="59">
        <f t="shared" si="77"/>
        <v>582.33817185898329</v>
      </c>
      <c r="FJ130" s="59">
        <f ca="1">AVERAGE(OFFSET($FI$3,0,0,'Données projet'!$E$16+1,1))-AVERAGE(OFFSET($H$3,0,0,'Données projet'!$E$16+1,1))</f>
        <v>242.76791261317206</v>
      </c>
      <c r="FK130" s="59">
        <f t="shared" si="102"/>
        <v>244.28580264867682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18.941138247572212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18.941138247572212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7.0766666666666636</v>
      </c>
      <c r="FZ130" s="12">
        <f>IF('Données projet'!$A$244&gt;35,FZ129+FY130-GH129,IF(A130&lt;'Données projet'!$A$244,$FW$205^A130,IF(A130='Données projet'!$A$244,'Données projet'!$B$244,FZ129+FY130-GH129)))</f>
        <v>357.26333333333343</v>
      </c>
      <c r="GA130" s="17">
        <f>FZ130*VLOOKUP('Données projet'!$B$17,Paramètres!$A$1:$I$89,3,0)*VLOOKUP('Données projet'!$B$17,Paramètres!$A$1:$I$89,5,0)</f>
        <v>339.97178800000012</v>
      </c>
      <c r="GB130" s="13">
        <f t="shared" si="103"/>
        <v>79.494117615826084</v>
      </c>
      <c r="GC130" s="20">
        <f t="shared" si="79"/>
        <v>730.56978561423057</v>
      </c>
      <c r="GD130" s="59">
        <f t="shared" si="80"/>
        <v>1019.4341795341487</v>
      </c>
      <c r="GE130" s="59">
        <f ca="1">AVERAGE(OFFSET($GD$3,0,0,'Données projet'!$E$17+1,1))-AVERAGE(OFFSET($H$3,0,0,'Données projet'!$E$17+1,1))</f>
        <v>512.71941256120977</v>
      </c>
      <c r="GF130" s="59">
        <f t="shared" si="104"/>
        <v>230.65031527019354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101.23363615124968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101.23363615124968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68.781198341795857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-5.6843418860808015E-14</v>
      </c>
      <c r="GV130" s="17">
        <f>GU130*VLOOKUP('Données projet'!$B$18,Paramètres!$A$1:$I$89,3,0)*VLOOKUP('Données projet'!$B$18,Paramètres!$A$1:$I$89,5,0)</f>
        <v>-2.5006556825246661E-14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180.68917161146683</v>
      </c>
      <c r="HA130" s="59">
        <f t="shared" si="106"/>
        <v>344.42126252322419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9.3652618716058171</v>
      </c>
      <c r="HH130" s="21">
        <f>EXP(-LN(2)/25)*HH129+(1-EXP(-LN(2)/25))/(LN(2)/25)*Calculateur!HC130*Calculateur!HE130*VLOOKUP('Données projet'!$B$18,Paramètres!$A$1:$I$89,3,0)*0.475*44/12</f>
        <v>1.125070734404888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10.490332606010705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2.25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8.25</v>
      </c>
      <c r="H131" s="66">
        <f t="shared" si="56"/>
        <v>223.66666666666666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7.0766666666666636</v>
      </c>
      <c r="N131" s="13">
        <f>IF('Données projet'!$A$36&gt;35,N130+M131-V130,IF(A131&lt;'Données projet'!$A$36,$K$205^A131,IF(A131='Données projet'!$A$36,'Données projet'!$B$36,N130+M131-V130)))</f>
        <v>364.34000000000009</v>
      </c>
      <c r="O131" s="13">
        <f>N131*VLOOKUP('Données projet'!$B$9,Paramètres!$A$1:$I$89,3,0)*VLOOKUP('Données projet'!$B$9,Paramètres!$A$1:$I$89,5,0)</f>
        <v>329.65483200000006</v>
      </c>
      <c r="P131" s="13">
        <f t="shared" si="87"/>
        <v>77.358740680970413</v>
      </c>
      <c r="Q131" s="20">
        <f t="shared" ref="Q131:Q153" si="108">(O131+P131)*0.475*44/12</f>
        <v>708.88197241935677</v>
      </c>
      <c r="R131" s="59">
        <f t="shared" ref="R131:R194" si="109">Q131+(I131+J131)*44/12</f>
        <v>997.82389244704586</v>
      </c>
      <c r="S131" s="59">
        <f ca="1">AVERAGE(OFFSET($R$3,0,0,'Données projet'!$E$9+1,1))-AVERAGE(OFFSET($H$3,0,0,'Données projet'!$E$9+1,1))</f>
        <v>490.57849401500789</v>
      </c>
      <c r="T131" s="59">
        <f t="shared" si="88"/>
        <v>221.7570623669753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94.367432212773693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94.367432212773693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6.6930000000000005</v>
      </c>
      <c r="AI131" s="13">
        <f>IF('Données projet'!$A$62&gt;35,AI130+AH131-AQ130,IF(A131&lt;'Données projet'!$A$62,$AF$205^A131,IF(A131='Données projet'!$A$62,'Données projet'!$B$62,AI130+AH131-AQ130)))</f>
        <v>313.79799999999994</v>
      </c>
      <c r="AJ131" s="13">
        <f>AI131*VLOOKUP('Données projet'!$B$10,Paramètres!$A$1:$I$89,3,0)*VLOOKUP('Données projet'!$B$10,Paramètres!$A$1:$I$89,5,0)</f>
        <v>210.49569839999998</v>
      </c>
      <c r="AK131" s="13">
        <f t="shared" si="89"/>
        <v>52.04389340207058</v>
      </c>
      <c r="AL131" s="20">
        <f t="shared" si="58"/>
        <v>457.25645572193957</v>
      </c>
      <c r="AM131" s="59">
        <f t="shared" si="59"/>
        <v>746.19837574962867</v>
      </c>
      <c r="AN131" s="59">
        <f ca="1">AVERAGE(OFFSET($AM$3,0,0,'Données projet'!$E$10+1,1))-AVERAGE(OFFSET($H$3,0,0,'Données projet'!$E$10+1,1))</f>
        <v>377.00534440335832</v>
      </c>
      <c r="AO131" s="59">
        <f t="shared" si="90"/>
        <v>131.56029120000656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64.649826234393601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64.649826234393601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212.00000000000009</v>
      </c>
      <c r="BE131" s="13">
        <f>BD131*VLOOKUP('Données projet'!$B$11,Paramètres!$A$1:$I$89,3,0)*VLOOKUP('Données projet'!$B$11,Paramètres!$A$1:$I$89,5,0)</f>
        <v>185.20320000000009</v>
      </c>
      <c r="BF131" s="13">
        <f t="shared" si="91"/>
        <v>46.477875402099386</v>
      </c>
      <c r="BG131" s="20">
        <f t="shared" si="61"/>
        <v>403.5112063253232</v>
      </c>
      <c r="BH131" s="59">
        <f t="shared" si="62"/>
        <v>692.45312635301229</v>
      </c>
      <c r="BI131" s="59">
        <f ca="1">AVERAGE(OFFSET($BH$3,0,0,'Données projet'!$E$11+1,1))-AVERAGE(OFFSET($H$3,0,0,'Données projet'!$E$11+1,1))</f>
        <v>314.1123649635374</v>
      </c>
      <c r="BJ131" s="59">
        <f t="shared" si="92"/>
        <v>274.92342227914889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25.152076486811577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25.152076486811577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212.42519999999985</v>
      </c>
      <c r="CA131" s="13">
        <f t="shared" si="93"/>
        <v>52.465198231787184</v>
      </c>
      <c r="CB131" s="20">
        <f t="shared" si="64"/>
        <v>461.35077692036231</v>
      </c>
      <c r="CC131" s="59">
        <f t="shared" si="65"/>
        <v>750.29269694805146</v>
      </c>
      <c r="CD131" s="59">
        <f ca="1">AVERAGE(OFFSET($CC$3,0,0,'Données projet'!$E$12+1,1))-AVERAGE(OFFSET($H$3,0,0,'Données projet'!$E$12+1,1))</f>
        <v>309.86296291630748</v>
      </c>
      <c r="CE131" s="59">
        <f t="shared" si="94"/>
        <v>301.17633325088661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16.769350871721169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16.769350871721169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404.00000000000017</v>
      </c>
      <c r="CU131" s="17">
        <f>CT131*VLOOKUP('Données projet'!$B$13,Paramètres!$A$1:$I$89,3,0)*VLOOKUP('Données projet'!$B$13,Paramètres!$A$1:$I$89,5,0)</f>
        <v>346.63200000000018</v>
      </c>
      <c r="CV131" s="13">
        <f t="shared" si="95"/>
        <v>80.868615263336864</v>
      </c>
      <c r="CW131" s="20">
        <f t="shared" si="67"/>
        <v>744.56357158364528</v>
      </c>
      <c r="CX131" s="59">
        <f t="shared" si="68"/>
        <v>1033.5054916113345</v>
      </c>
      <c r="CY131" s="59">
        <f ca="1">AVERAGE(OFFSET($CX$3,0,0,'Données projet'!$E$13+1,1))-AVERAGE(OFFSET($H$3,0,0,'Données projet'!$E$13+1,1))</f>
        <v>462.66388549889928</v>
      </c>
      <c r="CZ131" s="59">
        <f t="shared" si="96"/>
        <v>265.3725203415089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85.310163022877035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85.310163022877035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210.25641030000014</v>
      </c>
      <c r="DP131" s="17">
        <f>DO131*VLOOKUP('Données projet'!$B$14,Paramètres!$A$1:$I$89,3,0)*VLOOKUP('Données projet'!$B$14,Paramètres!$A$1:$I$89,5,0)</f>
        <v>164.00000003400012</v>
      </c>
      <c r="DQ131" s="13">
        <f t="shared" si="97"/>
        <v>41.743425916009095</v>
      </c>
      <c r="DR131" s="20">
        <f t="shared" si="70"/>
        <v>358.3364668629327</v>
      </c>
      <c r="DS131" s="59">
        <f t="shared" si="71"/>
        <v>647.27838689062185</v>
      </c>
      <c r="DT131" s="59">
        <f ca="1">AVERAGE(OFFSET($DS$3,0,0,'Données projet'!$E$14+1,1))-AVERAGE(OFFSET($H$3,0,0,'Données projet'!$E$14+1,1))</f>
        <v>206.5241977687125</v>
      </c>
      <c r="DU131" s="59">
        <f t="shared" si="98"/>
        <v>205.25001043771269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10.038867046611475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10.038867046611475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155.99999999999991</v>
      </c>
      <c r="EK131" s="17">
        <f>EJ131*VLOOKUP('Données projet'!$B$15,Paramètres!$A$1:$I$89,3,0)*VLOOKUP('Données projet'!$B$15,Paramètres!$A$1:$I$89,5,0)</f>
        <v>136.28159999999994</v>
      </c>
      <c r="EL131" s="13">
        <f t="shared" si="99"/>
        <v>35.443842312892279</v>
      </c>
      <c r="EM131" s="20">
        <f t="shared" si="73"/>
        <v>299.08847869495395</v>
      </c>
      <c r="EN131" s="59">
        <f t="shared" si="74"/>
        <v>588.0303987226431</v>
      </c>
      <c r="EO131" s="59">
        <f ca="1">AVERAGE(OFFSET($EN$3,0,0,'Données projet'!$E$15+1,1))-AVERAGE(OFFSET($H$3,0,0,'Données projet'!$E$15+1,1))</f>
        <v>205.83135724908942</v>
      </c>
      <c r="EP131" s="59">
        <f t="shared" si="100"/>
        <v>193.60053377311405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9.9971296556627056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9.9971296556627056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204.00000000000017</v>
      </c>
      <c r="FF131" s="17">
        <f>FE131*VLOOKUP('Données projet'!$B$16,Paramètres!$A$1:$I$89,3,0)*VLOOKUP('Données projet'!$B$16,Paramètres!$A$1:$I$89,5,0)</f>
        <v>133.66080000000011</v>
      </c>
      <c r="FG131" s="13">
        <f t="shared" si="101"/>
        <v>34.840890682716783</v>
      </c>
      <c r="FH131" s="20">
        <f t="shared" si="76"/>
        <v>293.4737779390652</v>
      </c>
      <c r="FI131" s="59">
        <f t="shared" si="77"/>
        <v>582.41569796675435</v>
      </c>
      <c r="FJ131" s="59">
        <f ca="1">AVERAGE(OFFSET($FI$3,0,0,'Données projet'!$E$16+1,1))-AVERAGE(OFFSET($H$3,0,0,'Données projet'!$E$16+1,1))</f>
        <v>242.76791261317206</v>
      </c>
      <c r="FK131" s="59">
        <f t="shared" si="102"/>
        <v>244.28580264867682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18.569714079490893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18.569714079490893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7.0766666666666636</v>
      </c>
      <c r="FZ131" s="12">
        <f>IF('Données projet'!$A$244&gt;35,FZ130+FY131-GH130,IF(A131&lt;'Données projet'!$A$244,$FW$205^A131,IF(A131='Données projet'!$A$244,'Données projet'!$B$244,FZ130+FY131-GH130)))</f>
        <v>364.34000000000009</v>
      </c>
      <c r="GA131" s="17">
        <f>FZ131*VLOOKUP('Données projet'!$B$17,Paramètres!$A$1:$I$89,3,0)*VLOOKUP('Données projet'!$B$17,Paramètres!$A$1:$I$89,5,0)</f>
        <v>346.7059440000001</v>
      </c>
      <c r="GB131" s="13">
        <f t="shared" si="103"/>
        <v>80.883858058355727</v>
      </c>
      <c r="GC131" s="20">
        <f t="shared" si="79"/>
        <v>744.71890525163633</v>
      </c>
      <c r="GD131" s="59">
        <f t="shared" si="80"/>
        <v>1033.6608252793255</v>
      </c>
      <c r="GE131" s="59">
        <f ca="1">AVERAGE(OFFSET($GD$3,0,0,'Données projet'!$E$17+1,1))-AVERAGE(OFFSET($H$3,0,0,'Données projet'!$E$17+1,1))</f>
        <v>512.71941256120977</v>
      </c>
      <c r="GF131" s="59">
        <f t="shared" si="104"/>
        <v>230.65031527019354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99.248506292744779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99.248506292744779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68.802341825733407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-5.6843418860808015E-14</v>
      </c>
      <c r="GV131" s="17">
        <f>GU131*VLOOKUP('Données projet'!$B$18,Paramètres!$A$1:$I$89,3,0)*VLOOKUP('Données projet'!$B$18,Paramètres!$A$1:$I$89,5,0)</f>
        <v>-2.5006556825246661E-14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180.68917161146683</v>
      </c>
      <c r="HA131" s="59">
        <f t="shared" si="106"/>
        <v>344.42126252322419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9.1816147985493313</v>
      </c>
      <c r="HH131" s="21">
        <f>EXP(-LN(2)/25)*HH130+(1-EXP(-LN(2)/25))/(LN(2)/25)*Calculateur!HC131*Calculateur!HE131*VLOOKUP('Données projet'!$B$18,Paramètres!$A$1:$I$89,3,0)*0.475*44/12</f>
        <v>1.0943056160076878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10.275920414557019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2.25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8.25</v>
      </c>
      <c r="H132" s="66">
        <f t="shared" ref="H132:H195" si="110">(B132+E132+F132)*44/12+(C132+D132)*0.475*44/12</f>
        <v>223.66666666666666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7.0766666666666636</v>
      </c>
      <c r="N132" s="13">
        <f>IF('Données projet'!$A$36&gt;35,N131+M132-V131,IF(A132&lt;'Données projet'!$A$36,$K$205^A132,IF(A132='Données projet'!$A$36,'Données projet'!$B$36,N131+M132-V131)))</f>
        <v>371.41666666666674</v>
      </c>
      <c r="O132" s="13">
        <f>N132*VLOOKUP('Données projet'!$B$9,Paramètres!$A$1:$I$89,3,0)*VLOOKUP('Données projet'!$B$9,Paramètres!$A$1:$I$89,5,0)</f>
        <v>336.0578000000001</v>
      </c>
      <c r="P132" s="13">
        <f t="shared" si="87"/>
        <v>78.684910933070185</v>
      </c>
      <c r="Q132" s="20">
        <f t="shared" si="108"/>
        <v>722.34355487509731</v>
      </c>
      <c r="R132" s="59">
        <f t="shared" si="109"/>
        <v>1011.36165610591</v>
      </c>
      <c r="S132" s="59">
        <f ca="1">AVERAGE(OFFSET($R$3,0,0,'Données projet'!$E$9+1,1))-AVERAGE(OFFSET($H$3,0,0,'Données projet'!$E$9+1,1))</f>
        <v>490.57849401500789</v>
      </c>
      <c r="T132" s="59">
        <f t="shared" si="88"/>
        <v>221.7570623669753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92.51694442553142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92.51694442553142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6.6930000000000005</v>
      </c>
      <c r="AI132" s="13">
        <f>IF('Données projet'!$A$62&gt;35,AI131+AH132-AQ131,IF(A132&lt;'Données projet'!$A$62,$AF$205^A132,IF(A132='Données projet'!$A$62,'Données projet'!$B$62,AI131+AH132-AQ131)))</f>
        <v>320.49099999999993</v>
      </c>
      <c r="AJ132" s="13">
        <f>AI132*VLOOKUP('Données projet'!$B$10,Paramètres!$A$1:$I$89,3,0)*VLOOKUP('Données projet'!$B$10,Paramètres!$A$1:$I$89,5,0)</f>
        <v>214.98536279999996</v>
      </c>
      <c r="AK132" s="13">
        <f t="shared" si="89"/>
        <v>53.023520817578436</v>
      </c>
      <c r="AL132" s="20">
        <f t="shared" ref="AL132:AL153" si="112">(AJ132+AK132)*0.475*44/12</f>
        <v>466.78213896728238</v>
      </c>
      <c r="AM132" s="59">
        <f t="shared" ref="AM132:AM195" si="113">AL132+(AD132+AE132)*44/12</f>
        <v>755.80024019809514</v>
      </c>
      <c r="AN132" s="59">
        <f ca="1">AVERAGE(OFFSET($AM$3,0,0,'Données projet'!$E$10+1,1))-AVERAGE(OFFSET($H$3,0,0,'Données projet'!$E$10+1,1))</f>
        <v>377.00534440335832</v>
      </c>
      <c r="AO132" s="59">
        <f t="shared" si="90"/>
        <v>131.56029120000656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63.382082574437511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63.382082574437511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212.00000000000009</v>
      </c>
      <c r="BE132" s="13">
        <f>BD132*VLOOKUP('Données projet'!$B$11,Paramètres!$A$1:$I$89,3,0)*VLOOKUP('Données projet'!$B$11,Paramètres!$A$1:$I$89,5,0)</f>
        <v>185.20320000000009</v>
      </c>
      <c r="BF132" s="13">
        <f t="shared" si="91"/>
        <v>46.477875402099386</v>
      </c>
      <c r="BG132" s="20">
        <f t="shared" ref="BG132:BG153" si="115">(BE132+BF132)*0.475*44/12</f>
        <v>403.5112063253232</v>
      </c>
      <c r="BH132" s="59">
        <f t="shared" ref="BH132:BH195" si="116">BG132+(AY132+AZ132)*44/12</f>
        <v>692.52930755613602</v>
      </c>
      <c r="BI132" s="59">
        <f ca="1">AVERAGE(OFFSET($BH$3,0,0,'Données projet'!$E$11+1,1))-AVERAGE(OFFSET($H$3,0,0,'Données projet'!$E$11+1,1))</f>
        <v>314.1123649635374</v>
      </c>
      <c r="BJ132" s="59">
        <f t="shared" si="92"/>
        <v>274.92342227914889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24.658859608157037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24.658859608157037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212.42519999999985</v>
      </c>
      <c r="CA132" s="13">
        <f t="shared" si="93"/>
        <v>52.465198231787184</v>
      </c>
      <c r="CB132" s="20">
        <f t="shared" ref="CB132:CB153" si="118">(BZ132+CA132)*0.475*44/12</f>
        <v>461.35077692036231</v>
      </c>
      <c r="CC132" s="59">
        <f t="shared" ref="CC132:CC195" si="119">CB132+(BT132+BU132)*44/12</f>
        <v>750.36887815117507</v>
      </c>
      <c r="CD132" s="59">
        <f ca="1">AVERAGE(OFFSET($CC$3,0,0,'Données projet'!$E$12+1,1))-AVERAGE(OFFSET($H$3,0,0,'Données projet'!$E$12+1,1))</f>
        <v>309.86296291630748</v>
      </c>
      <c r="CE132" s="59">
        <f t="shared" si="94"/>
        <v>301.17633325088661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16.440514129420787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16.440514129420787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404.00000000000017</v>
      </c>
      <c r="CU132" s="17">
        <f>CT132*VLOOKUP('Données projet'!$B$13,Paramètres!$A$1:$I$89,3,0)*VLOOKUP('Données projet'!$B$13,Paramètres!$A$1:$I$89,5,0)</f>
        <v>346.63200000000018</v>
      </c>
      <c r="CV132" s="13">
        <f t="shared" si="95"/>
        <v>80.868615263336864</v>
      </c>
      <c r="CW132" s="20">
        <f t="shared" ref="CW132:CW153" si="121">(CU132+CV132)*0.475*44/12</f>
        <v>744.56357158364528</v>
      </c>
      <c r="CX132" s="59">
        <f t="shared" ref="CX132:CX195" si="122">CW132+(CO132+CP132)*44/12</f>
        <v>1033.581672814458</v>
      </c>
      <c r="CY132" s="59">
        <f ca="1">AVERAGE(OFFSET($CX$3,0,0,'Données projet'!$E$13+1,1))-AVERAGE(OFFSET($H$3,0,0,'Données projet'!$E$13+1,1))</f>
        <v>462.66388549889928</v>
      </c>
      <c r="CZ132" s="59">
        <f t="shared" si="96"/>
        <v>265.3725203415089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83.637282760059918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83.637282760059918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210.25641030000014</v>
      </c>
      <c r="DP132" s="17">
        <f>DO132*VLOOKUP('Données projet'!$B$14,Paramètres!$A$1:$I$89,3,0)*VLOOKUP('Données projet'!$B$14,Paramètres!$A$1:$I$89,5,0)</f>
        <v>164.00000003400012</v>
      </c>
      <c r="DQ132" s="13">
        <f t="shared" si="97"/>
        <v>41.743425916009095</v>
      </c>
      <c r="DR132" s="20">
        <f t="shared" ref="DR132:DR153" si="124">(DP132+DQ132)*0.475*44/12</f>
        <v>358.3364668629327</v>
      </c>
      <c r="DS132" s="59">
        <f t="shared" ref="DS132:DS195" si="125">DR132+(DJ132+DK132)*44/12</f>
        <v>647.35456809374546</v>
      </c>
      <c r="DT132" s="59">
        <f ca="1">AVERAGE(OFFSET($DS$3,0,0,'Données projet'!$E$14+1,1))-AVERAGE(OFFSET($H$3,0,0,'Données projet'!$E$14+1,1))</f>
        <v>206.5241977687125</v>
      </c>
      <c r="DU132" s="59">
        <f t="shared" si="98"/>
        <v>205.25001043771269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9.8420109869317169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9.8420109869317169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155.99999999999991</v>
      </c>
      <c r="EK132" s="17">
        <f>EJ132*VLOOKUP('Données projet'!$B$15,Paramètres!$A$1:$I$89,3,0)*VLOOKUP('Données projet'!$B$15,Paramètres!$A$1:$I$89,5,0)</f>
        <v>136.28159999999994</v>
      </c>
      <c r="EL132" s="13">
        <f t="shared" si="99"/>
        <v>35.443842312892279</v>
      </c>
      <c r="EM132" s="20">
        <f t="shared" ref="EM132:EM153" si="127">(EK132+EL132)*0.475*44/12</f>
        <v>299.08847869495395</v>
      </c>
      <c r="EN132" s="59">
        <f t="shared" ref="EN132:EN195" si="128">EM132+(EE132+EF132)*44/12</f>
        <v>588.10657992576671</v>
      </c>
      <c r="EO132" s="59">
        <f ca="1">AVERAGE(OFFSET($EN$3,0,0,'Données projet'!$E$15+1,1))-AVERAGE(OFFSET($H$3,0,0,'Données projet'!$E$15+1,1))</f>
        <v>205.83135724908942</v>
      </c>
      <c r="EP132" s="59">
        <f t="shared" si="100"/>
        <v>193.60053377311405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9.8010920407621569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9.8010920407621569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204.00000000000017</v>
      </c>
      <c r="FF132" s="17">
        <f>FE132*VLOOKUP('Données projet'!$B$16,Paramètres!$A$1:$I$89,3,0)*VLOOKUP('Données projet'!$B$16,Paramètres!$A$1:$I$89,5,0)</f>
        <v>133.66080000000011</v>
      </c>
      <c r="FG132" s="13">
        <f t="shared" si="101"/>
        <v>34.840890682716783</v>
      </c>
      <c r="FH132" s="20">
        <f t="shared" ref="FH132:FH153" si="130">(FF132+FG132)*0.475*44/12</f>
        <v>293.4737779390652</v>
      </c>
      <c r="FI132" s="59">
        <f t="shared" ref="FI132:FI195" si="131">FH132+(EZ132+FA132)*44/12</f>
        <v>582.49187916987796</v>
      </c>
      <c r="FJ132" s="59">
        <f ca="1">AVERAGE(OFFSET($FI$3,0,0,'Données projet'!$E$16+1,1))-AVERAGE(OFFSET($H$3,0,0,'Données projet'!$E$16+1,1))</f>
        <v>242.76791261317206</v>
      </c>
      <c r="FK132" s="59">
        <f t="shared" si="102"/>
        <v>244.28580264867682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18.205573312799274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18.205573312799274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7.0766666666666636</v>
      </c>
      <c r="FZ132" s="12">
        <f>IF('Données projet'!$A$244&gt;35,FZ131+FY132-GH131,IF(A132&lt;'Données projet'!$A$244,$FW$205^A132,IF(A132='Données projet'!$A$244,'Données projet'!$B$244,FZ131+FY132-GH131)))</f>
        <v>371.41666666666674</v>
      </c>
      <c r="GA132" s="17">
        <f>FZ132*VLOOKUP('Données projet'!$B$17,Paramètres!$A$1:$I$89,3,0)*VLOOKUP('Données projet'!$B$17,Paramètres!$A$1:$I$89,5,0)</f>
        <v>353.44010000000009</v>
      </c>
      <c r="GB132" s="13">
        <f t="shared" si="103"/>
        <v>82.270459824204167</v>
      </c>
      <c r="GC132" s="20">
        <f t="shared" ref="GC132:GC153" si="133">(GA132+GB132)*0.475*44/12</f>
        <v>758.86255836048906</v>
      </c>
      <c r="GD132" s="59">
        <f t="shared" ref="GD132:GD195" si="134">GC132+(FU132+FV132)*44/12</f>
        <v>1047.8806595913018</v>
      </c>
      <c r="GE132" s="59">
        <f ca="1">AVERAGE(OFFSET($GD$3,0,0,'Données projet'!$E$17+1,1))-AVERAGE(OFFSET($H$3,0,0,'Données projet'!$E$17+1,1))</f>
        <v>512.71941256120977</v>
      </c>
      <c r="GF132" s="59">
        <f t="shared" si="104"/>
        <v>230.65031527019354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97.302303619955495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97.302303619955495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68.823118517494379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-5.6843418860808015E-14</v>
      </c>
      <c r="GV132" s="17">
        <f>GU132*VLOOKUP('Données projet'!$B$18,Paramètres!$A$1:$I$89,3,0)*VLOOKUP('Données projet'!$B$18,Paramètres!$A$1:$I$89,5,0)</f>
        <v>-2.5006556825246661E-14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180.68917161146683</v>
      </c>
      <c r="HA132" s="59">
        <f t="shared" si="106"/>
        <v>344.42126252322419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9.0015689325818293</v>
      </c>
      <c r="HH132" s="21">
        <f>EXP(-LN(2)/25)*HH131+(1-EXP(-LN(2)/25))/(LN(2)/25)*Calculateur!HC132*Calculateur!HE132*VLOOKUP('Données projet'!$B$18,Paramètres!$A$1:$I$89,3,0)*0.475*44/12</f>
        <v>1.0643817713909263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10.065950703972756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2.25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8.25</v>
      </c>
      <c r="H133" s="66">
        <f t="shared" si="110"/>
        <v>223.66666666666666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7.0766666666666636</v>
      </c>
      <c r="N133" s="13">
        <f>IF('Données projet'!$A$36&gt;35,N132+M133-V132,IF(A133&lt;'Données projet'!$A$36,$K$205^A133,IF(A133='Données projet'!$A$36,'Données projet'!$B$36,N132+M133-V132)))</f>
        <v>378.4933333333334</v>
      </c>
      <c r="O133" s="13">
        <f>N133*VLOOKUP('Données projet'!$B$9,Paramètres!$A$1:$I$89,3,0)*VLOOKUP('Données projet'!$B$9,Paramètres!$A$1:$I$89,5,0)</f>
        <v>342.46076800000003</v>
      </c>
      <c r="P133" s="13">
        <f t="shared" ref="P133:P196" si="141">EXP(-1.0587+0.8836*LN(O133)+0.284)</f>
        <v>80.008143089764673</v>
      </c>
      <c r="Q133" s="20">
        <f t="shared" si="108"/>
        <v>735.80002014800675</v>
      </c>
      <c r="R133" s="59">
        <f t="shared" si="109"/>
        <v>1024.8929810083846</v>
      </c>
      <c r="S133" s="59">
        <f ca="1">AVERAGE(OFFSET($R$3,0,0,'Données projet'!$E$9+1,1))-AVERAGE(OFFSET($H$3,0,0,'Données projet'!$E$9+1,1))</f>
        <v>490.57849401500789</v>
      </c>
      <c r="T133" s="59">
        <f t="shared" ref="T133:T196" si="142">$T$3</f>
        <v>221.7570623669753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90.702743575110873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90.702743575110873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6.6930000000000005</v>
      </c>
      <c r="AI133" s="13">
        <f>IF('Données projet'!$A$62&gt;35,AI132+AH133-AQ132,IF(A133&lt;'Données projet'!$A$62,$AF$205^A133,IF(A133='Données projet'!$A$62,'Données projet'!$B$62,AI132+AH133-AQ132)))</f>
        <v>327.18399999999991</v>
      </c>
      <c r="AJ133" s="13">
        <f>AI133*VLOOKUP('Données projet'!$B$10,Paramètres!$A$1:$I$89,3,0)*VLOOKUP('Données projet'!$B$10,Paramètres!$A$1:$I$89,5,0)</f>
        <v>219.47502719999997</v>
      </c>
      <c r="AK133" s="13">
        <f t="shared" ref="AK133:AK153" si="143">EXP(-1.0587+0.8836*LN(AJ133)+0.284)</f>
        <v>54.000769616068503</v>
      </c>
      <c r="AL133" s="20">
        <f t="shared" si="112"/>
        <v>476.30367945465258</v>
      </c>
      <c r="AM133" s="59">
        <f t="shared" si="113"/>
        <v>765.39664031503037</v>
      </c>
      <c r="AN133" s="59">
        <f ca="1">AVERAGE(OFFSET($AM$3,0,0,'Données projet'!$E$10+1,1))-AVERAGE(OFFSET($H$3,0,0,'Données projet'!$E$10+1,1))</f>
        <v>377.00534440335832</v>
      </c>
      <c r="AO133" s="59">
        <f t="shared" ref="AO133:AO196" si="144">$AO$3</f>
        <v>131.56029120000656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62.139198594405876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62.139198594405876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212.00000000000009</v>
      </c>
      <c r="BE133" s="13">
        <f>BD133*VLOOKUP('Données projet'!$B$11,Paramètres!$A$1:$I$89,3,0)*VLOOKUP('Données projet'!$B$11,Paramètres!$A$1:$I$89,5,0)</f>
        <v>185.20320000000009</v>
      </c>
      <c r="BF133" s="13">
        <f t="shared" ref="BF133:BF153" si="145">EXP(-1.0587+0.8836*LN(BE133)+0.284)</f>
        <v>46.477875402099386</v>
      </c>
      <c r="BG133" s="20">
        <f t="shared" si="115"/>
        <v>403.5112063253232</v>
      </c>
      <c r="BH133" s="59">
        <f t="shared" si="116"/>
        <v>692.60416718570104</v>
      </c>
      <c r="BI133" s="59">
        <f ca="1">AVERAGE(OFFSET($BH$3,0,0,'Données projet'!$E$11+1,1))-AVERAGE(OFFSET($H$3,0,0,'Données projet'!$E$11+1,1))</f>
        <v>314.1123649635374</v>
      </c>
      <c r="BJ133" s="59">
        <f t="shared" ref="BJ133:BJ196" si="146">$BJ$3</f>
        <v>274.92342227914889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24.17531441166032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24.17531441166032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212.42519999999985</v>
      </c>
      <c r="CA133" s="13">
        <f t="shared" ref="CA133:CA153" si="147">EXP(-1.0587+0.8836*LN(BZ133)+0.284)</f>
        <v>52.465198231787184</v>
      </c>
      <c r="CB133" s="20">
        <f t="shared" si="118"/>
        <v>461.35077692036231</v>
      </c>
      <c r="CC133" s="59">
        <f t="shared" si="119"/>
        <v>750.44373778074009</v>
      </c>
      <c r="CD133" s="59">
        <f ca="1">AVERAGE(OFFSET($CC$3,0,0,'Données projet'!$E$12+1,1))-AVERAGE(OFFSET($H$3,0,0,'Données projet'!$E$12+1,1))</f>
        <v>309.86296291630748</v>
      </c>
      <c r="CE133" s="59">
        <f t="shared" ref="CE133:CE196" si="148">$CE$3</f>
        <v>301.17633325088661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16.11812567506631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16.11812567506631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404.00000000000017</v>
      </c>
      <c r="CU133" s="17">
        <f>CT133*VLOOKUP('Données projet'!$B$13,Paramètres!$A$1:$I$89,3,0)*VLOOKUP('Données projet'!$B$13,Paramètres!$A$1:$I$89,5,0)</f>
        <v>346.63200000000018</v>
      </c>
      <c r="CV133" s="13">
        <f t="shared" ref="CV133:CV153" si="149">EXP(-1.0587+0.8836*LN(CU133)+0.284)</f>
        <v>80.868615263336864</v>
      </c>
      <c r="CW133" s="20">
        <f t="shared" si="121"/>
        <v>744.56357158364528</v>
      </c>
      <c r="CX133" s="59">
        <f t="shared" si="122"/>
        <v>1033.656532444023</v>
      </c>
      <c r="CY133" s="59">
        <f ca="1">AVERAGE(OFFSET($CX$3,0,0,'Données projet'!$E$13+1,1))-AVERAGE(OFFSET($H$3,0,0,'Données projet'!$E$13+1,1))</f>
        <v>462.66388549889928</v>
      </c>
      <c r="CZ133" s="59">
        <f t="shared" ref="CZ133:CZ196" si="150">$CZ$3</f>
        <v>265.3725203415089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81.99720665884044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81.99720665884044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210.25641030000014</v>
      </c>
      <c r="DP133" s="17">
        <f>DO133*VLOOKUP('Données projet'!$B$14,Paramètres!$A$1:$I$89,3,0)*VLOOKUP('Données projet'!$B$14,Paramètres!$A$1:$I$89,5,0)</f>
        <v>164.00000003400012</v>
      </c>
      <c r="DQ133" s="13">
        <f t="shared" ref="DQ133:DQ153" si="151">EXP(-1.0587+0.8836*LN(DP133)+0.284)</f>
        <v>41.743425916009095</v>
      </c>
      <c r="DR133" s="20">
        <f t="shared" si="124"/>
        <v>358.3364668629327</v>
      </c>
      <c r="DS133" s="59">
        <f t="shared" si="125"/>
        <v>647.42942772331048</v>
      </c>
      <c r="DT133" s="59">
        <f ca="1">AVERAGE(OFFSET($DS$3,0,0,'Données projet'!$E$14+1,1))-AVERAGE(OFFSET($H$3,0,0,'Données projet'!$E$14+1,1))</f>
        <v>206.5241977687125</v>
      </c>
      <c r="DU133" s="59">
        <f t="shared" ref="DU133:DU196" si="152">$DU$3</f>
        <v>205.25001043771269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9.6490151545119378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9.6490151545119378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155.99999999999991</v>
      </c>
      <c r="EK133" s="17">
        <f>EJ133*VLOOKUP('Données projet'!$B$15,Paramètres!$A$1:$I$89,3,0)*VLOOKUP('Données projet'!$B$15,Paramètres!$A$1:$I$89,5,0)</f>
        <v>136.28159999999994</v>
      </c>
      <c r="EL133" s="13">
        <f t="shared" ref="EL133:EL153" si="153">EXP(-1.0587+0.8836*LN(EK133)+0.284)</f>
        <v>35.443842312892279</v>
      </c>
      <c r="EM133" s="20">
        <f t="shared" si="127"/>
        <v>299.08847869495395</v>
      </c>
      <c r="EN133" s="59">
        <f t="shared" si="128"/>
        <v>588.18143955533174</v>
      </c>
      <c r="EO133" s="59">
        <f ca="1">AVERAGE(OFFSET($EN$3,0,0,'Données projet'!$E$15+1,1))-AVERAGE(OFFSET($H$3,0,0,'Données projet'!$E$15+1,1))</f>
        <v>205.83135724908942</v>
      </c>
      <c r="EP133" s="59">
        <f t="shared" ref="EP133:EP196" si="154">$EP$3</f>
        <v>193.60053377311405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9.6088986039186697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9.6088986039186697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204.00000000000017</v>
      </c>
      <c r="FF133" s="17">
        <f>FE133*VLOOKUP('Données projet'!$B$16,Paramètres!$A$1:$I$89,3,0)*VLOOKUP('Données projet'!$B$16,Paramètres!$A$1:$I$89,5,0)</f>
        <v>133.66080000000011</v>
      </c>
      <c r="FG133" s="13">
        <f t="shared" ref="FG133:FG153" si="155">EXP(-1.0587+0.8836*LN(FF133)+0.284)</f>
        <v>34.840890682716783</v>
      </c>
      <c r="FH133" s="20">
        <f t="shared" si="130"/>
        <v>293.4737779390652</v>
      </c>
      <c r="FI133" s="59">
        <f t="shared" si="131"/>
        <v>582.56673879944299</v>
      </c>
      <c r="FJ133" s="59">
        <f ca="1">AVERAGE(OFFSET($FI$3,0,0,'Données projet'!$E$16+1,1))-AVERAGE(OFFSET($H$3,0,0,'Données projet'!$E$16+1,1))</f>
        <v>242.76791261317206</v>
      </c>
      <c r="FK133" s="59">
        <f t="shared" ref="FK133:FK196" si="156">$FK$3</f>
        <v>244.28580264867682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17.848573124438541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17.848573124438541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7.0766666666666636</v>
      </c>
      <c r="FZ133" s="12">
        <f>IF('Données projet'!$A$244&gt;35,FZ132+FY133-GH132,IF(A133&lt;'Données projet'!$A$244,$FW$205^A133,IF(A133='Données projet'!$A$244,'Données projet'!$B$244,FZ132+FY133-GH132)))</f>
        <v>378.4933333333334</v>
      </c>
      <c r="GA133" s="17">
        <f>FZ133*VLOOKUP('Données projet'!$B$17,Paramètres!$A$1:$I$89,3,0)*VLOOKUP('Données projet'!$B$17,Paramètres!$A$1:$I$89,5,0)</f>
        <v>360.17425600000007</v>
      </c>
      <c r="GB133" s="13">
        <f t="shared" ref="GB133:GB153" si="157">EXP(-1.0587+0.8836*LN(GA133)+0.284)</f>
        <v>83.653989610214026</v>
      </c>
      <c r="GC133" s="20">
        <f t="shared" si="133"/>
        <v>773.00086110445602</v>
      </c>
      <c r="GD133" s="59">
        <f t="shared" si="134"/>
        <v>1062.0938219648338</v>
      </c>
      <c r="GE133" s="59">
        <f ca="1">AVERAGE(OFFSET($GD$3,0,0,'Données projet'!$E$17+1,1))-AVERAGE(OFFSET($H$3,0,0,'Données projet'!$E$17+1,1))</f>
        <v>512.71941256120977</v>
      </c>
      <c r="GF133" s="59">
        <f t="shared" ref="GF133:GF196" si="158">$GF$3</f>
        <v>230.65031527019354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95.394264794513191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95.394264794513191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68.843534780103028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-5.6843418860808015E-14</v>
      </c>
      <c r="GV133" s="17">
        <f>GU133*VLOOKUP('Données projet'!$B$18,Paramètres!$A$1:$I$89,3,0)*VLOOKUP('Données projet'!$B$18,Paramètres!$A$1:$I$89,5,0)</f>
        <v>-2.5006556825246661E-14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180.68917161146683</v>
      </c>
      <c r="HA133" s="59">
        <f t="shared" ref="HA133:HA196" si="160">$HA$3</f>
        <v>344.42126252322419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8.8250536562288158</v>
      </c>
      <c r="HH133" s="21">
        <f>EXP(-LN(2)/25)*HH132+(1-EXP(-LN(2)/25))/(LN(2)/25)*Calculateur!HC133*Calculateur!HE133*VLOOKUP('Données projet'!$B$18,Paramètres!$A$1:$I$89,3,0)*0.475*44/12</f>
        <v>1.0352761958788368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9.8603298521076521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2.25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8.25</v>
      </c>
      <c r="H134" s="66">
        <f t="shared" si="110"/>
        <v>223.66666666666666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7.0766666666666636</v>
      </c>
      <c r="N134" s="13">
        <f>IF('Données projet'!$A$36&gt;35,N133+M134-V133,IF(A134&lt;'Données projet'!$A$36,$K$205^A134,IF(A134='Données projet'!$A$36,'Données projet'!$B$36,N133+M134-V133)))</f>
        <v>385.57000000000005</v>
      </c>
      <c r="O134" s="13">
        <f>N134*VLOOKUP('Données projet'!$B$9,Paramètres!$A$1:$I$89,3,0)*VLOOKUP('Données projet'!$B$9,Paramètres!$A$1:$I$89,5,0)</f>
        <v>348.86373600000002</v>
      </c>
      <c r="P134" s="13">
        <f t="shared" si="141"/>
        <v>81.328498419204394</v>
      </c>
      <c r="Q134" s="20">
        <f t="shared" si="108"/>
        <v>749.25147494678095</v>
      </c>
      <c r="R134" s="59">
        <f t="shared" si="109"/>
        <v>1038.4179967895118</v>
      </c>
      <c r="S134" s="59">
        <f ca="1">AVERAGE(OFFSET($R$3,0,0,'Données projet'!$E$9+1,1))-AVERAGE(OFFSET($H$3,0,0,'Données projet'!$E$9+1,1))</f>
        <v>490.57849401500789</v>
      </c>
      <c r="T134" s="59">
        <f t="shared" si="142"/>
        <v>221.7570623669753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88.924118096813814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88.924118096813814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6.6930000000000005</v>
      </c>
      <c r="AI134" s="13">
        <f>IF('Données projet'!$A$62&gt;35,AI133+AH134-AQ133,IF(A134&lt;'Données projet'!$A$62,$AF$205^A134,IF(A134='Données projet'!$A$62,'Données projet'!$B$62,AI133+AH134-AQ133)))</f>
        <v>333.8769999999999</v>
      </c>
      <c r="AJ134" s="13">
        <f>AI134*VLOOKUP('Données projet'!$B$10,Paramètres!$A$1:$I$89,3,0)*VLOOKUP('Données projet'!$B$10,Paramètres!$A$1:$I$89,5,0)</f>
        <v>223.96469159999995</v>
      </c>
      <c r="AK134" s="13">
        <f t="shared" si="143"/>
        <v>54.975694062229302</v>
      </c>
      <c r="AL134" s="20">
        <f t="shared" si="112"/>
        <v>485.82117169504915</v>
      </c>
      <c r="AM134" s="59">
        <f t="shared" si="113"/>
        <v>774.98769353778005</v>
      </c>
      <c r="AN134" s="59">
        <f ca="1">AVERAGE(OFFSET($AM$3,0,0,'Données projet'!$E$10+1,1))-AVERAGE(OFFSET($H$3,0,0,'Données projet'!$E$10+1,1))</f>
        <v>377.00534440335832</v>
      </c>
      <c r="AO134" s="59">
        <f t="shared" si="144"/>
        <v>131.56029120000656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60.920686811138289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60.920686811138289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212.00000000000009</v>
      </c>
      <c r="BE134" s="13">
        <f>BD134*VLOOKUP('Données projet'!$B$11,Paramètres!$A$1:$I$89,3,0)*VLOOKUP('Données projet'!$B$11,Paramètres!$A$1:$I$89,5,0)</f>
        <v>185.20320000000009</v>
      </c>
      <c r="BF134" s="13">
        <f t="shared" si="145"/>
        <v>46.477875402099386</v>
      </c>
      <c r="BG134" s="20">
        <f t="shared" si="115"/>
        <v>403.5112063253232</v>
      </c>
      <c r="BH134" s="59">
        <f t="shared" si="116"/>
        <v>692.67772816805405</v>
      </c>
      <c r="BI134" s="59">
        <f ca="1">AVERAGE(OFFSET($BH$3,0,0,'Données projet'!$E$11+1,1))-AVERAGE(OFFSET($H$3,0,0,'Données projet'!$E$11+1,1))</f>
        <v>314.1123649635374</v>
      </c>
      <c r="BJ134" s="59">
        <f t="shared" si="146"/>
        <v>274.92342227914889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23.701251241533456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23.701251241533456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212.42519999999985</v>
      </c>
      <c r="CA134" s="13">
        <f t="shared" si="147"/>
        <v>52.465198231787184</v>
      </c>
      <c r="CB134" s="20">
        <f t="shared" si="118"/>
        <v>461.35077692036231</v>
      </c>
      <c r="CC134" s="59">
        <f t="shared" si="119"/>
        <v>750.51729876309321</v>
      </c>
      <c r="CD134" s="59">
        <f ca="1">AVERAGE(OFFSET($CC$3,0,0,'Données projet'!$E$12+1,1))-AVERAGE(OFFSET($H$3,0,0,'Données projet'!$E$12+1,1))</f>
        <v>309.86296291630748</v>
      </c>
      <c r="CE134" s="59">
        <f t="shared" si="148"/>
        <v>301.17633325088661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15.802059061664181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15.802059061664181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404.00000000000017</v>
      </c>
      <c r="CU134" s="17">
        <f>CT134*VLOOKUP('Données projet'!$B$13,Paramètres!$A$1:$I$89,3,0)*VLOOKUP('Données projet'!$B$13,Paramètres!$A$1:$I$89,5,0)</f>
        <v>346.63200000000018</v>
      </c>
      <c r="CV134" s="13">
        <f t="shared" si="149"/>
        <v>80.868615263336864</v>
      </c>
      <c r="CW134" s="20">
        <f t="shared" si="121"/>
        <v>744.56357158364528</v>
      </c>
      <c r="CX134" s="59">
        <f t="shared" si="122"/>
        <v>1033.7300934263762</v>
      </c>
      <c r="CY134" s="59">
        <f ca="1">AVERAGE(OFFSET($CX$3,0,0,'Données projet'!$E$13+1,1))-AVERAGE(OFFSET($H$3,0,0,'Données projet'!$E$13+1,1))</f>
        <v>462.66388549889928</v>
      </c>
      <c r="CZ134" s="59">
        <f t="shared" si="150"/>
        <v>265.3725203415089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80.389291449618227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80.389291449618227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210.25641030000014</v>
      </c>
      <c r="DP134" s="17">
        <f>DO134*VLOOKUP('Données projet'!$B$14,Paramètres!$A$1:$I$89,3,0)*VLOOKUP('Données projet'!$B$14,Paramètres!$A$1:$I$89,5,0)</f>
        <v>164.00000003400012</v>
      </c>
      <c r="DQ134" s="13">
        <f t="shared" si="151"/>
        <v>41.743425916009095</v>
      </c>
      <c r="DR134" s="20">
        <f t="shared" si="124"/>
        <v>358.3364668629327</v>
      </c>
      <c r="DS134" s="59">
        <f t="shared" si="125"/>
        <v>647.5029887056636</v>
      </c>
      <c r="DT134" s="59">
        <f ca="1">AVERAGE(OFFSET($DS$3,0,0,'Données projet'!$E$14+1,1))-AVERAGE(OFFSET($H$3,0,0,'Données projet'!$E$14+1,1))</f>
        <v>206.5241977687125</v>
      </c>
      <c r="DU134" s="59">
        <f t="shared" si="152"/>
        <v>205.25001043771269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9.4598038526500758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9.4598038526500758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155.99999999999991</v>
      </c>
      <c r="EK134" s="17">
        <f>EJ134*VLOOKUP('Données projet'!$B$15,Paramètres!$A$1:$I$89,3,0)*VLOOKUP('Données projet'!$B$15,Paramètres!$A$1:$I$89,5,0)</f>
        <v>136.28159999999994</v>
      </c>
      <c r="EL134" s="13">
        <f t="shared" si="153"/>
        <v>35.443842312892279</v>
      </c>
      <c r="EM134" s="20">
        <f t="shared" si="127"/>
        <v>299.08847869495395</v>
      </c>
      <c r="EN134" s="59">
        <f t="shared" si="128"/>
        <v>588.25500053768485</v>
      </c>
      <c r="EO134" s="59">
        <f ca="1">AVERAGE(OFFSET($EN$3,0,0,'Données projet'!$E$15+1,1))-AVERAGE(OFFSET($H$3,0,0,'Données projet'!$E$15+1,1))</f>
        <v>205.83135724908942</v>
      </c>
      <c r="EP134" s="59">
        <f t="shared" si="154"/>
        <v>193.60053377311405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9.4204739631452625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9.4204739631452625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204.00000000000017</v>
      </c>
      <c r="FF134" s="17">
        <f>FE134*VLOOKUP('Données projet'!$B$16,Paramètres!$A$1:$I$89,3,0)*VLOOKUP('Données projet'!$B$16,Paramètres!$A$1:$I$89,5,0)</f>
        <v>133.66080000000011</v>
      </c>
      <c r="FG134" s="13">
        <f t="shared" si="155"/>
        <v>34.840890682716783</v>
      </c>
      <c r="FH134" s="20">
        <f t="shared" si="130"/>
        <v>293.4737779390652</v>
      </c>
      <c r="FI134" s="59">
        <f t="shared" si="131"/>
        <v>582.6402997817961</v>
      </c>
      <c r="FJ134" s="59">
        <f ca="1">AVERAGE(OFFSET($FI$3,0,0,'Données projet'!$E$16+1,1))-AVERAGE(OFFSET($H$3,0,0,'Données projet'!$E$16+1,1))</f>
        <v>242.76791261317206</v>
      </c>
      <c r="FK134" s="59">
        <f t="shared" si="156"/>
        <v>244.28580264867682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17.498573492022949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17.498573492022949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7.0766666666666636</v>
      </c>
      <c r="FZ134" s="12">
        <f>IF('Données projet'!$A$244&gt;35,FZ133+FY134-GH133,IF(A134&lt;'Données projet'!$A$244,$FW$205^A134,IF(A134='Données projet'!$A$244,'Données projet'!$B$244,FZ133+FY134-GH133)))</f>
        <v>385.57000000000005</v>
      </c>
      <c r="GA134" s="17">
        <f>FZ134*VLOOKUP('Données projet'!$B$17,Paramètres!$A$1:$I$89,3,0)*VLOOKUP('Données projet'!$B$17,Paramètres!$A$1:$I$89,5,0)</f>
        <v>366.90841200000006</v>
      </c>
      <c r="GB134" s="13">
        <f t="shared" si="157"/>
        <v>85.034511476429799</v>
      </c>
      <c r="GC134" s="20">
        <f t="shared" si="133"/>
        <v>787.13392505478203</v>
      </c>
      <c r="GD134" s="59">
        <f t="shared" si="134"/>
        <v>1076.300446897513</v>
      </c>
      <c r="GE134" s="59">
        <f ca="1">AVERAGE(OFFSET($GD$3,0,0,'Données projet'!$E$17+1,1))-AVERAGE(OFFSET($H$3,0,0,'Données projet'!$E$17+1,1))</f>
        <v>512.71941256120977</v>
      </c>
      <c r="GF134" s="59">
        <f t="shared" si="158"/>
        <v>230.65031527019354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93.523641446649052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93.523641446649052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68.863596866199345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-5.6843418860808015E-14</v>
      </c>
      <c r="GV134" s="17">
        <f>GU134*VLOOKUP('Données projet'!$B$18,Paramètres!$A$1:$I$89,3,0)*VLOOKUP('Données projet'!$B$18,Paramètres!$A$1:$I$89,5,0)</f>
        <v>-2.5006556825246661E-14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180.68917161146683</v>
      </c>
      <c r="HA134" s="59">
        <f t="shared" si="160"/>
        <v>344.42126252322419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8.6519997367813968</v>
      </c>
      <c r="HH134" s="21">
        <f>EXP(-LN(2)/25)*HH133+(1-EXP(-LN(2)/25))/(LN(2)/25)*Calculateur!HC134*Calculateur!HE134*VLOOKUP('Données projet'!$B$18,Paramètres!$A$1:$I$89,3,0)*0.475*44/12</f>
        <v>1.006966513859721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9.658966250641118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2.25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8.25</v>
      </c>
      <c r="H135" s="66">
        <f t="shared" si="110"/>
        <v>223.66666666666666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7.0766666666666636</v>
      </c>
      <c r="N135" s="13">
        <f>IF('Données projet'!$A$36&gt;35,N134+M135-V134,IF(A135&lt;'Données projet'!$A$36,$K$205^A135,IF(A135='Données projet'!$A$36,'Données projet'!$B$36,N134+M135-V134)))</f>
        <v>392.6466666666667</v>
      </c>
      <c r="O135" s="13">
        <f>N135*VLOOKUP('Données projet'!$B$9,Paramètres!$A$1:$I$89,3,0)*VLOOKUP('Données projet'!$B$9,Paramètres!$A$1:$I$89,5,0)</f>
        <v>355.26670400000006</v>
      </c>
      <c r="P135" s="13">
        <f t="shared" si="141"/>
        <v>82.646035811784046</v>
      </c>
      <c r="Q135" s="20">
        <f t="shared" si="108"/>
        <v>762.69802183885724</v>
      </c>
      <c r="R135" s="59">
        <f t="shared" si="109"/>
        <v>1051.9368285453552</v>
      </c>
      <c r="S135" s="59">
        <f ca="1">AVERAGE(OFFSET($R$3,0,0,'Données projet'!$E$9+1,1))-AVERAGE(OFFSET($H$3,0,0,'Données projet'!$E$9+1,1))</f>
        <v>490.57849401500789</v>
      </c>
      <c r="T135" s="59">
        <f t="shared" si="142"/>
        <v>221.7570623669753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87.180370379291745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87.180370379291745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>
        <f>VLOOKUP(A135,'Données projet'!$A$61:$I$81,2,0)</f>
        <v>340.57</v>
      </c>
      <c r="AG135" s="12">
        <f>VLOOKUP(A135,'Données projet'!$A$61:$I$81,9,0)</f>
        <v>6.6930000000000005</v>
      </c>
      <c r="AH135" s="12">
        <f t="array" ref="AH135">INDEX(AG:AG,MIN(IF(ISNUMBER(AG135:AG331),ROW(AG135:AG331),"")))</f>
        <v>6.6930000000000005</v>
      </c>
      <c r="AI135" s="13">
        <f>IF('Données projet'!$A$62&gt;35,AI134+AH135-AQ134,IF(A135&lt;'Données projet'!$A$62,$AF$205^A135,IF(A135='Données projet'!$A$62,'Données projet'!$B$62,AI134+AH135-AQ134)))</f>
        <v>340.56999999999988</v>
      </c>
      <c r="AJ135" s="13">
        <f>AI135*VLOOKUP('Données projet'!$B$10,Paramètres!$A$1:$I$89,3,0)*VLOOKUP('Données projet'!$B$10,Paramètres!$A$1:$I$89,5,0)</f>
        <v>228.4543559999999</v>
      </c>
      <c r="AK135" s="13">
        <f t="shared" si="143"/>
        <v>55.948346120737511</v>
      </c>
      <c r="AL135" s="20">
        <f t="shared" si="112"/>
        <v>495.33470619361771</v>
      </c>
      <c r="AM135" s="59">
        <f t="shared" si="113"/>
        <v>784.5735129001157</v>
      </c>
      <c r="AN135" s="59">
        <f ca="1">AVERAGE(OFFSET($AM$3,0,0,'Données projet'!$E$10+1,1))-AVERAGE(OFFSET($H$3,0,0,'Données projet'!$E$10+1,1))</f>
        <v>377.00534440335832</v>
      </c>
      <c r="AO135" s="59">
        <f t="shared" si="144"/>
        <v>131.56029120000656</v>
      </c>
      <c r="AP135" s="15">
        <f>IF(ISNA(VLOOKUP(A135,'Données projet'!$A$61:$I$81,3,0)),0,VLOOKUP(A135,'Données projet'!$A$61:$I$81,3,0))</f>
        <v>9</v>
      </c>
      <c r="AQ135" s="15">
        <f>IF(ISNA(VLOOKUP(A135,'Données projet'!$A$61:$I$81,4,0)),0,VLOOKUP(A135,'Données projet'!$A$61:$I$81,4,0))</f>
        <v>44.19</v>
      </c>
      <c r="AR135" s="16">
        <f>IF(ISNA(VLOOKUP(A135,'Données projet'!$A$61:$I$81,5,0)),0%,VLOOKUP(A135,'Données projet'!$A$61:$I$81,5,0)*VLOOKUP('Données projet'!$B$10,Paramètres!$A$1:$I$89,7,0))</f>
        <v>0.53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77.093678391827467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77.093678391827467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212.00000000000009</v>
      </c>
      <c r="BE135" s="13">
        <f>BD135*VLOOKUP('Données projet'!$B$11,Paramètres!$A$1:$I$89,3,0)*VLOOKUP('Données projet'!$B$11,Paramètres!$A$1:$I$89,5,0)</f>
        <v>185.20320000000009</v>
      </c>
      <c r="BF135" s="13">
        <f t="shared" si="145"/>
        <v>46.477875402099386</v>
      </c>
      <c r="BG135" s="20">
        <f t="shared" si="115"/>
        <v>403.5112063253232</v>
      </c>
      <c r="BH135" s="59">
        <f t="shared" si="116"/>
        <v>692.75001303182114</v>
      </c>
      <c r="BI135" s="59">
        <f ca="1">AVERAGE(OFFSET($BH$3,0,0,'Données projet'!$E$11+1,1))-AVERAGE(OFFSET($H$3,0,0,'Données projet'!$E$11+1,1))</f>
        <v>314.1123649635374</v>
      </c>
      <c r="BJ135" s="59">
        <f t="shared" si="146"/>
        <v>274.92342227914889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23.236484161022798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23.236484161022798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212.42519999999985</v>
      </c>
      <c r="CA135" s="13">
        <f t="shared" si="147"/>
        <v>52.465198231787184</v>
      </c>
      <c r="CB135" s="20">
        <f t="shared" si="118"/>
        <v>461.35077692036231</v>
      </c>
      <c r="CC135" s="59">
        <f t="shared" si="119"/>
        <v>750.5895836268603</v>
      </c>
      <c r="CD135" s="59">
        <f ca="1">AVERAGE(OFFSET($CC$3,0,0,'Données projet'!$E$12+1,1))-AVERAGE(OFFSET($H$3,0,0,'Données projet'!$E$12+1,1))</f>
        <v>309.86296291630748</v>
      </c>
      <c r="CE135" s="59">
        <f t="shared" si="148"/>
        <v>301.17633325088661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15.492190321769272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15.492190321769272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404.00000000000017</v>
      </c>
      <c r="CU135" s="17">
        <f>CT135*VLOOKUP('Données projet'!$B$13,Paramètres!$A$1:$I$89,3,0)*VLOOKUP('Données projet'!$B$13,Paramètres!$A$1:$I$89,5,0)</f>
        <v>346.63200000000018</v>
      </c>
      <c r="CV135" s="13">
        <f t="shared" si="149"/>
        <v>80.868615263336864</v>
      </c>
      <c r="CW135" s="20">
        <f t="shared" si="121"/>
        <v>744.56357158364528</v>
      </c>
      <c r="CX135" s="59">
        <f t="shared" si="122"/>
        <v>1033.8023782901432</v>
      </c>
      <c r="CY135" s="59">
        <f ca="1">AVERAGE(OFFSET($CX$3,0,0,'Données projet'!$E$13+1,1))-AVERAGE(OFFSET($H$3,0,0,'Données projet'!$E$13+1,1))</f>
        <v>462.66388549889928</v>
      </c>
      <c r="CZ135" s="59">
        <f t="shared" si="150"/>
        <v>265.3725203415089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78.812906476917433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78.812906476917433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210.25641030000014</v>
      </c>
      <c r="DP135" s="17">
        <f>DO135*VLOOKUP('Données projet'!$B$14,Paramètres!$A$1:$I$89,3,0)*VLOOKUP('Données projet'!$B$14,Paramètres!$A$1:$I$89,5,0)</f>
        <v>164.00000003400012</v>
      </c>
      <c r="DQ135" s="13">
        <f t="shared" si="151"/>
        <v>41.743425916009095</v>
      </c>
      <c r="DR135" s="20">
        <f t="shared" si="124"/>
        <v>358.3364668629327</v>
      </c>
      <c r="DS135" s="59">
        <f t="shared" si="125"/>
        <v>647.57527356943069</v>
      </c>
      <c r="DT135" s="59">
        <f ca="1">AVERAGE(OFFSET($DS$3,0,0,'Données projet'!$E$14+1,1))-AVERAGE(OFFSET($H$3,0,0,'Données projet'!$E$14+1,1))</f>
        <v>206.5241977687125</v>
      </c>
      <c r="DU135" s="59">
        <f t="shared" si="152"/>
        <v>205.25001043771269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9.274302869010226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9.274302869010226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155.99999999999991</v>
      </c>
      <c r="EK135" s="17">
        <f>EJ135*VLOOKUP('Données projet'!$B$15,Paramètres!$A$1:$I$89,3,0)*VLOOKUP('Données projet'!$B$15,Paramètres!$A$1:$I$89,5,0)</f>
        <v>136.28159999999994</v>
      </c>
      <c r="EL135" s="13">
        <f t="shared" si="153"/>
        <v>35.443842312892279</v>
      </c>
      <c r="EM135" s="20">
        <f t="shared" si="127"/>
        <v>299.08847869495395</v>
      </c>
      <c r="EN135" s="59">
        <f t="shared" si="128"/>
        <v>588.32728540145195</v>
      </c>
      <c r="EO135" s="59">
        <f ca="1">AVERAGE(OFFSET($EN$3,0,0,'Données projet'!$E$15+1,1))-AVERAGE(OFFSET($H$3,0,0,'Données projet'!$E$15+1,1))</f>
        <v>205.83135724908942</v>
      </c>
      <c r="EP135" s="59">
        <f t="shared" si="154"/>
        <v>193.60053377311405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9.2357442146497384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9.2357442146497384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204.00000000000017</v>
      </c>
      <c r="FF135" s="17">
        <f>FE135*VLOOKUP('Données projet'!$B$16,Paramètres!$A$1:$I$89,3,0)*VLOOKUP('Données projet'!$B$16,Paramètres!$A$1:$I$89,5,0)</f>
        <v>133.66080000000011</v>
      </c>
      <c r="FG135" s="13">
        <f t="shared" si="155"/>
        <v>34.840890682716783</v>
      </c>
      <c r="FH135" s="20">
        <f t="shared" si="130"/>
        <v>293.4737779390652</v>
      </c>
      <c r="FI135" s="59">
        <f t="shared" si="131"/>
        <v>582.71258464556308</v>
      </c>
      <c r="FJ135" s="59">
        <f ca="1">AVERAGE(OFFSET($FI$3,0,0,'Données projet'!$E$16+1,1))-AVERAGE(OFFSET($H$3,0,0,'Données projet'!$E$16+1,1))</f>
        <v>242.76791261317206</v>
      </c>
      <c r="FK135" s="59">
        <f t="shared" si="156"/>
        <v>244.28580264867682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17.15543713892033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17.15543713892033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7.0766666666666636</v>
      </c>
      <c r="FZ135" s="12">
        <f>IF('Données projet'!$A$244&gt;35,FZ134+FY135-GH134,IF(A135&lt;'Données projet'!$A$244,$FW$205^A135,IF(A135='Données projet'!$A$244,'Données projet'!$B$244,FZ134+FY135-GH134)))</f>
        <v>392.6466666666667</v>
      </c>
      <c r="GA135" s="17">
        <f>FZ135*VLOOKUP('Données projet'!$B$17,Paramètres!$A$1:$I$89,3,0)*VLOOKUP('Données projet'!$B$17,Paramètres!$A$1:$I$89,5,0)</f>
        <v>373.64256800000004</v>
      </c>
      <c r="GB135" s="13">
        <f t="shared" si="157"/>
        <v>86.412086996789881</v>
      </c>
      <c r="GC135" s="20">
        <f t="shared" si="133"/>
        <v>801.26185745274233</v>
      </c>
      <c r="GD135" s="59">
        <f t="shared" si="134"/>
        <v>1090.5006641592404</v>
      </c>
      <c r="GE135" s="59">
        <f ca="1">AVERAGE(OFFSET($GD$3,0,0,'Données projet'!$E$17+1,1))-AVERAGE(OFFSET($H$3,0,0,'Données projet'!$E$17+1,1))</f>
        <v>512.71941256120977</v>
      </c>
      <c r="GF135" s="59">
        <f t="shared" si="158"/>
        <v>230.65031527019354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91.689699881668943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91.689699881668943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68.883310919953985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-5.6843418860808015E-14</v>
      </c>
      <c r="GV135" s="17">
        <f>GU135*VLOOKUP('Données projet'!$B$18,Paramètres!$A$1:$I$89,3,0)*VLOOKUP('Données projet'!$B$18,Paramètres!$A$1:$I$89,5,0)</f>
        <v>-2.5006556825246661E-14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180.68917161146683</v>
      </c>
      <c r="HA135" s="59">
        <f t="shared" si="160"/>
        <v>344.42126252322419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8.4823392991418736</v>
      </c>
      <c r="HH135" s="21">
        <f>EXP(-LN(2)/25)*HH134+(1-EXP(-LN(2)/25))/(LN(2)/25)*Calculateur!HC135*Calculateur!HE135*VLOOKUP('Données projet'!$B$18,Paramètres!$A$1:$I$89,3,0)*0.475*44/12</f>
        <v>0.97943096158415943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9.4617702607260323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2.25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8.25</v>
      </c>
      <c r="H136" s="66">
        <f t="shared" si="110"/>
        <v>223.66666666666666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7.0766666666666636</v>
      </c>
      <c r="N136" s="13">
        <f>IF('Données projet'!$A$36&gt;35,N135+M136-V135,IF(A136&lt;'Données projet'!$A$36,$K$205^A136,IF(A136='Données projet'!$A$36,'Données projet'!$B$36,N135+M136-V135)))</f>
        <v>399.72333333333336</v>
      </c>
      <c r="O136" s="13">
        <f>N136*VLOOKUP('Données projet'!$B$9,Paramètres!$A$1:$I$89,3,0)*VLOOKUP('Données projet'!$B$9,Paramètres!$A$1:$I$89,5,0)</f>
        <v>361.66967199999999</v>
      </c>
      <c r="P136" s="13">
        <f t="shared" si="141"/>
        <v>83.960811913582532</v>
      </c>
      <c r="Q136" s="20">
        <f t="shared" si="108"/>
        <v>776.1397594828228</v>
      </c>
      <c r="R136" s="59">
        <f t="shared" si="109"/>
        <v>1065.4495970723062</v>
      </c>
      <c r="S136" s="59">
        <f ca="1">AVERAGE(OFFSET($R$3,0,0,'Données projet'!$E$9+1,1))-AVERAGE(OFFSET($H$3,0,0,'Données projet'!$E$9+1,1))</f>
        <v>490.57849401500789</v>
      </c>
      <c r="T136" s="59">
        <f t="shared" si="142"/>
        <v>221.7570623669753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85.470816490929195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85.470816490929195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6.9616666666666687</v>
      </c>
      <c r="AI136" s="13">
        <f>IF('Données projet'!$A$62&gt;35,AI135+AH136-AQ135,IF(A136&lt;'Données projet'!$A$62,$AF$205^A136,IF(A136='Données projet'!$A$62,'Données projet'!$B$62,AI135+AH136-AQ135)))</f>
        <v>303.34166666666653</v>
      </c>
      <c r="AJ136" s="13">
        <f>AI136*VLOOKUP('Données projet'!$B$10,Paramètres!$A$1:$I$89,3,0)*VLOOKUP('Données projet'!$B$10,Paramètres!$A$1:$I$89,5,0)</f>
        <v>203.4815899999999</v>
      </c>
      <c r="AK136" s="13">
        <f t="shared" si="143"/>
        <v>50.508545602002691</v>
      </c>
      <c r="AL136" s="20">
        <f t="shared" si="112"/>
        <v>442.36615284015448</v>
      </c>
      <c r="AM136" s="59">
        <f t="shared" si="113"/>
        <v>731.67599042963786</v>
      </c>
      <c r="AN136" s="59">
        <f ca="1">AVERAGE(OFFSET($AM$3,0,0,'Données projet'!$E$10+1,1))-AVERAGE(OFFSET($H$3,0,0,'Données projet'!$E$10+1,1))</f>
        <v>377.00534440335832</v>
      </c>
      <c r="AO136" s="59">
        <f t="shared" si="144"/>
        <v>131.56029120000656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75.581918381064469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75.581918381064469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212.00000000000009</v>
      </c>
      <c r="BE136" s="13">
        <f>BD136*VLOOKUP('Données projet'!$B$11,Paramètres!$A$1:$I$89,3,0)*VLOOKUP('Données projet'!$B$11,Paramètres!$A$1:$I$89,5,0)</f>
        <v>185.20320000000009</v>
      </c>
      <c r="BF136" s="13">
        <f t="shared" si="145"/>
        <v>46.477875402099386</v>
      </c>
      <c r="BG136" s="20">
        <f t="shared" si="115"/>
        <v>403.5112063253232</v>
      </c>
      <c r="BH136" s="59">
        <f t="shared" si="116"/>
        <v>692.82104391480652</v>
      </c>
      <c r="BI136" s="59">
        <f ca="1">AVERAGE(OFFSET($BH$3,0,0,'Données projet'!$E$11+1,1))-AVERAGE(OFFSET($H$3,0,0,'Données projet'!$E$11+1,1))</f>
        <v>314.1123649635374</v>
      </c>
      <c r="BJ136" s="59">
        <f t="shared" si="146"/>
        <v>274.92342227914889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22.780830879481027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22.780830879481027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212.42519999999985</v>
      </c>
      <c r="CA136" s="13">
        <f t="shared" si="147"/>
        <v>52.465198231787184</v>
      </c>
      <c r="CB136" s="20">
        <f t="shared" si="118"/>
        <v>461.35077692036231</v>
      </c>
      <c r="CC136" s="59">
        <f t="shared" si="119"/>
        <v>750.66061450984569</v>
      </c>
      <c r="CD136" s="59">
        <f ca="1">AVERAGE(OFFSET($CC$3,0,0,'Données projet'!$E$12+1,1))-AVERAGE(OFFSET($H$3,0,0,'Données projet'!$E$12+1,1))</f>
        <v>309.86296291630748</v>
      </c>
      <c r="CE136" s="59">
        <f t="shared" si="148"/>
        <v>301.17633325088661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15.188397918862432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15.188397918862432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404.00000000000017</v>
      </c>
      <c r="CU136" s="17">
        <f>CT136*VLOOKUP('Données projet'!$B$13,Paramètres!$A$1:$I$89,3,0)*VLOOKUP('Données projet'!$B$13,Paramètres!$A$1:$I$89,5,0)</f>
        <v>346.63200000000018</v>
      </c>
      <c r="CV136" s="13">
        <f t="shared" si="149"/>
        <v>80.868615263336864</v>
      </c>
      <c r="CW136" s="20">
        <f t="shared" si="121"/>
        <v>744.56357158364528</v>
      </c>
      <c r="CX136" s="59">
        <f t="shared" si="122"/>
        <v>1033.8734091731287</v>
      </c>
      <c r="CY136" s="59">
        <f ca="1">AVERAGE(OFFSET($CX$3,0,0,'Données projet'!$E$13+1,1))-AVERAGE(OFFSET($H$3,0,0,'Données projet'!$E$13+1,1))</f>
        <v>462.66388549889928</v>
      </c>
      <c r="CZ136" s="59">
        <f t="shared" si="150"/>
        <v>265.3725203415089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77.267433452031398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77.267433452031398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210.25641030000014</v>
      </c>
      <c r="DP136" s="17">
        <f>DO136*VLOOKUP('Données projet'!$B$14,Paramètres!$A$1:$I$89,3,0)*VLOOKUP('Données projet'!$B$14,Paramètres!$A$1:$I$89,5,0)</f>
        <v>164.00000003400012</v>
      </c>
      <c r="DQ136" s="13">
        <f t="shared" si="151"/>
        <v>41.743425916009095</v>
      </c>
      <c r="DR136" s="20">
        <f t="shared" si="124"/>
        <v>358.3364668629327</v>
      </c>
      <c r="DS136" s="59">
        <f t="shared" si="125"/>
        <v>647.64630445241608</v>
      </c>
      <c r="DT136" s="59">
        <f ca="1">AVERAGE(OFFSET($DS$3,0,0,'Données projet'!$E$14+1,1))-AVERAGE(OFFSET($H$3,0,0,'Données projet'!$E$14+1,1))</f>
        <v>206.5241977687125</v>
      </c>
      <c r="DU136" s="59">
        <f t="shared" si="152"/>
        <v>205.25001043771269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9.0924394465151259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9.0924394465151259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155.99999999999991</v>
      </c>
      <c r="EK136" s="17">
        <f>EJ136*VLOOKUP('Données projet'!$B$15,Paramètres!$A$1:$I$89,3,0)*VLOOKUP('Données projet'!$B$15,Paramètres!$A$1:$I$89,5,0)</f>
        <v>136.28159999999994</v>
      </c>
      <c r="EL136" s="13">
        <f t="shared" si="153"/>
        <v>35.443842312892279</v>
      </c>
      <c r="EM136" s="20">
        <f t="shared" si="127"/>
        <v>299.08847869495395</v>
      </c>
      <c r="EN136" s="59">
        <f t="shared" si="128"/>
        <v>588.39831628443733</v>
      </c>
      <c r="EO136" s="59">
        <f ca="1">AVERAGE(OFFSET($EN$3,0,0,'Données projet'!$E$15+1,1))-AVERAGE(OFFSET($H$3,0,0,'Données projet'!$E$15+1,1))</f>
        <v>205.83135724908942</v>
      </c>
      <c r="EP136" s="59">
        <f t="shared" si="154"/>
        <v>193.60053377311405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9.0546369038481913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9.0546369038481913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204.00000000000017</v>
      </c>
      <c r="FF136" s="17">
        <f>FE136*VLOOKUP('Données projet'!$B$16,Paramètres!$A$1:$I$89,3,0)*VLOOKUP('Données projet'!$B$16,Paramètres!$A$1:$I$89,5,0)</f>
        <v>133.66080000000011</v>
      </c>
      <c r="FG136" s="13">
        <f t="shared" si="155"/>
        <v>34.840890682716783</v>
      </c>
      <c r="FH136" s="20">
        <f t="shared" si="130"/>
        <v>293.4737779390652</v>
      </c>
      <c r="FI136" s="59">
        <f t="shared" si="131"/>
        <v>582.78361552854858</v>
      </c>
      <c r="FJ136" s="59">
        <f ca="1">AVERAGE(OFFSET($FI$3,0,0,'Données projet'!$E$16+1,1))-AVERAGE(OFFSET($H$3,0,0,'Données projet'!$E$16+1,1))</f>
        <v>242.76791261317206</v>
      </c>
      <c r="FK136" s="59">
        <f t="shared" si="156"/>
        <v>244.28580264867682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16.819029480409544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16.819029480409544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7.0766666666666636</v>
      </c>
      <c r="FZ136" s="12">
        <f>IF('Données projet'!$A$244&gt;35,FZ135+FY136-GH135,IF(A136&lt;'Données projet'!$A$244,$FW$205^A136,IF(A136='Données projet'!$A$244,'Données projet'!$B$244,FZ135+FY136-GH135)))</f>
        <v>399.72333333333336</v>
      </c>
      <c r="GA136" s="17">
        <f>FZ136*VLOOKUP('Données projet'!$B$17,Paramètres!$A$1:$I$89,3,0)*VLOOKUP('Données projet'!$B$17,Paramètres!$A$1:$I$89,5,0)</f>
        <v>380.37672400000002</v>
      </c>
      <c r="GB136" s="13">
        <f t="shared" si="157"/>
        <v>87.78677539864681</v>
      </c>
      <c r="GC136" s="20">
        <f t="shared" si="133"/>
        <v>815.38476145264315</v>
      </c>
      <c r="GD136" s="59">
        <f t="shared" si="134"/>
        <v>1104.6945990421266</v>
      </c>
      <c r="GE136" s="59">
        <f ca="1">AVERAGE(OFFSET($GD$3,0,0,'Données projet'!$E$17+1,1))-AVERAGE(OFFSET($H$3,0,0,'Données projet'!$E$17+1,1))</f>
        <v>512.71941256120977</v>
      </c>
      <c r="GF136" s="59">
        <f t="shared" si="158"/>
        <v>230.65031527019354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89.891720792184188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89.891720792184188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68.902682978950011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-5.6843418860808015E-14</v>
      </c>
      <c r="GV136" s="17">
        <f>GU136*VLOOKUP('Données projet'!$B$18,Paramètres!$A$1:$I$89,3,0)*VLOOKUP('Données projet'!$B$18,Paramètres!$A$1:$I$89,5,0)</f>
        <v>-2.5006556825246661E-14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180.68917161146683</v>
      </c>
      <c r="HA136" s="59">
        <f t="shared" si="160"/>
        <v>344.42126252322419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8.316005799201811</v>
      </c>
      <c r="HH136" s="21">
        <f>EXP(-LN(2)/25)*HH135+(1-EXP(-LN(2)/25))/(LN(2)/25)*Calculateur!HC136*Calculateur!HE136*VLOOKUP('Données projet'!$B$18,Paramètres!$A$1:$I$89,3,0)*0.475*44/12</f>
        <v>0.95264837043360484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9.2686541696354166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2.25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8.25</v>
      </c>
      <c r="H137" s="66">
        <f t="shared" si="110"/>
        <v>223.66666666666666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7.0766666666666636</v>
      </c>
      <c r="N137" s="13">
        <f>IF('Données projet'!$A$36&gt;35,N136+M137-V136,IF(A137&lt;'Données projet'!$A$36,$K$205^A137,IF(A137='Données projet'!$A$36,'Données projet'!$B$36,N136+M137-V136)))</f>
        <v>406.8</v>
      </c>
      <c r="O137" s="13">
        <f>N137*VLOOKUP('Données projet'!$B$9,Paramètres!$A$1:$I$89,3,0)*VLOOKUP('Données projet'!$B$9,Paramètres!$A$1:$I$89,5,0)</f>
        <v>368.07263999999998</v>
      </c>
      <c r="P137" s="13">
        <f t="shared" si="141"/>
        <v>85.272881250085916</v>
      </c>
      <c r="Q137" s="20">
        <f t="shared" si="108"/>
        <v>789.57678284389965</v>
      </c>
      <c r="R137" s="59">
        <f t="shared" si="109"/>
        <v>1078.9564190893498</v>
      </c>
      <c r="S137" s="59">
        <f ca="1">AVERAGE(OFFSET($R$3,0,0,'Données projet'!$E$9+1,1))-AVERAGE(OFFSET($H$3,0,0,'Données projet'!$E$9+1,1))</f>
        <v>490.57849401500789</v>
      </c>
      <c r="T137" s="59">
        <f t="shared" si="142"/>
        <v>221.7570623669753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83.794785911592527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83.794785911592527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6.9616666666666687</v>
      </c>
      <c r="AI137" s="13">
        <f>IF('Données projet'!$A$62&gt;35,AI136+AH137-AQ136,IF(A137&lt;'Données projet'!$A$62,$AF$205^A137,IF(A137='Données projet'!$A$62,'Données projet'!$B$62,AI136+AH137-AQ136)))</f>
        <v>310.30333333333317</v>
      </c>
      <c r="AJ137" s="13">
        <f>AI137*VLOOKUP('Données projet'!$B$10,Paramètres!$A$1:$I$89,3,0)*VLOOKUP('Données projet'!$B$10,Paramètres!$A$1:$I$89,5,0)</f>
        <v>208.15147599999992</v>
      </c>
      <c r="AK137" s="13">
        <f t="shared" si="143"/>
        <v>51.53142906986573</v>
      </c>
      <c r="AL137" s="20">
        <f t="shared" si="112"/>
        <v>452.28105966334925</v>
      </c>
      <c r="AM137" s="59">
        <f t="shared" si="113"/>
        <v>741.66069590879943</v>
      </c>
      <c r="AN137" s="59">
        <f ca="1">AVERAGE(OFFSET($AM$3,0,0,'Données projet'!$E$10+1,1))-AVERAGE(OFFSET($H$3,0,0,'Données projet'!$E$10+1,1))</f>
        <v>377.00534440335832</v>
      </c>
      <c r="AO137" s="59">
        <f t="shared" si="144"/>
        <v>131.56029120000656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74.099803062029963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74.099803062029963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212.00000000000009</v>
      </c>
      <c r="BE137" s="13">
        <f>BD137*VLOOKUP('Données projet'!$B$11,Paramètres!$A$1:$I$89,3,0)*VLOOKUP('Données projet'!$B$11,Paramètres!$A$1:$I$89,5,0)</f>
        <v>185.20320000000009</v>
      </c>
      <c r="BF137" s="13">
        <f t="shared" si="145"/>
        <v>46.477875402099386</v>
      </c>
      <c r="BG137" s="20">
        <f t="shared" si="115"/>
        <v>403.5112063253232</v>
      </c>
      <c r="BH137" s="59">
        <f t="shared" si="116"/>
        <v>692.89084257077343</v>
      </c>
      <c r="BI137" s="59">
        <f ca="1">AVERAGE(OFFSET($BH$3,0,0,'Données projet'!$E$11+1,1))-AVERAGE(OFFSET($H$3,0,0,'Données projet'!$E$11+1,1))</f>
        <v>314.1123649635374</v>
      </c>
      <c r="BJ137" s="59">
        <f t="shared" si="146"/>
        <v>274.92342227914889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22.334112680869229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22.334112680869229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212.42519999999985</v>
      </c>
      <c r="CA137" s="13">
        <f t="shared" si="147"/>
        <v>52.465198231787184</v>
      </c>
      <c r="CB137" s="20">
        <f t="shared" si="118"/>
        <v>461.35077692036231</v>
      </c>
      <c r="CC137" s="59">
        <f t="shared" si="119"/>
        <v>750.73041316581248</v>
      </c>
      <c r="CD137" s="59">
        <f ca="1">AVERAGE(OFFSET($CC$3,0,0,'Données projet'!$E$12+1,1))-AVERAGE(OFFSET($H$3,0,0,'Données projet'!$E$12+1,1))</f>
        <v>309.86296291630748</v>
      </c>
      <c r="CE137" s="59">
        <f t="shared" si="148"/>
        <v>301.17633325088661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14.890562699681524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14.890562699681524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404.00000000000017</v>
      </c>
      <c r="CU137" s="17">
        <f>CT137*VLOOKUP('Données projet'!$B$13,Paramètres!$A$1:$I$89,3,0)*VLOOKUP('Données projet'!$B$13,Paramètres!$A$1:$I$89,5,0)</f>
        <v>346.63200000000018</v>
      </c>
      <c r="CV137" s="13">
        <f t="shared" si="149"/>
        <v>80.868615263336864</v>
      </c>
      <c r="CW137" s="20">
        <f t="shared" si="121"/>
        <v>744.56357158364528</v>
      </c>
      <c r="CX137" s="59">
        <f t="shared" si="122"/>
        <v>1033.9432078290956</v>
      </c>
      <c r="CY137" s="59">
        <f ca="1">AVERAGE(OFFSET($CX$3,0,0,'Données projet'!$E$13+1,1))-AVERAGE(OFFSET($H$3,0,0,'Données projet'!$E$13+1,1))</f>
        <v>462.66388549889928</v>
      </c>
      <c r="CZ137" s="59">
        <f t="shared" si="150"/>
        <v>265.3725203415089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75.752266210517917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75.752266210517917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210.25641030000014</v>
      </c>
      <c r="DP137" s="17">
        <f>DO137*VLOOKUP('Données projet'!$B$14,Paramètres!$A$1:$I$89,3,0)*VLOOKUP('Données projet'!$B$14,Paramètres!$A$1:$I$89,5,0)</f>
        <v>164.00000003400012</v>
      </c>
      <c r="DQ137" s="13">
        <f t="shared" si="151"/>
        <v>41.743425916009095</v>
      </c>
      <c r="DR137" s="20">
        <f t="shared" si="124"/>
        <v>358.3364668629327</v>
      </c>
      <c r="DS137" s="59">
        <f t="shared" si="125"/>
        <v>647.71610310838287</v>
      </c>
      <c r="DT137" s="59">
        <f ca="1">AVERAGE(OFFSET($DS$3,0,0,'Données projet'!$E$14+1,1))-AVERAGE(OFFSET($H$3,0,0,'Données projet'!$E$14+1,1))</f>
        <v>206.5241977687125</v>
      </c>
      <c r="DU137" s="59">
        <f t="shared" si="152"/>
        <v>205.25001043771269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8.9141422548094198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8.9141422548094198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155.99999999999991</v>
      </c>
      <c r="EK137" s="17">
        <f>EJ137*VLOOKUP('Données projet'!$B$15,Paramètres!$A$1:$I$89,3,0)*VLOOKUP('Données projet'!$B$15,Paramètres!$A$1:$I$89,5,0)</f>
        <v>136.28159999999994</v>
      </c>
      <c r="EL137" s="13">
        <f t="shared" si="153"/>
        <v>35.443842312892279</v>
      </c>
      <c r="EM137" s="20">
        <f t="shared" si="127"/>
        <v>299.08847869495395</v>
      </c>
      <c r="EN137" s="59">
        <f t="shared" si="128"/>
        <v>588.46811494040412</v>
      </c>
      <c r="EO137" s="59">
        <f ca="1">AVERAGE(OFFSET($EN$3,0,0,'Données projet'!$E$15+1,1))-AVERAGE(OFFSET($H$3,0,0,'Données projet'!$E$15+1,1))</f>
        <v>205.83135724908942</v>
      </c>
      <c r="EP137" s="59">
        <f t="shared" si="154"/>
        <v>193.60053377311405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8.8770809969469102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8.8770809969469102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204.00000000000017</v>
      </c>
      <c r="FF137" s="17">
        <f>FE137*VLOOKUP('Données projet'!$B$16,Paramètres!$A$1:$I$89,3,0)*VLOOKUP('Données projet'!$B$16,Paramètres!$A$1:$I$89,5,0)</f>
        <v>133.66080000000011</v>
      </c>
      <c r="FG137" s="13">
        <f t="shared" si="155"/>
        <v>34.840890682716783</v>
      </c>
      <c r="FH137" s="20">
        <f t="shared" si="130"/>
        <v>293.4737779390652</v>
      </c>
      <c r="FI137" s="59">
        <f t="shared" si="131"/>
        <v>582.85341418451549</v>
      </c>
      <c r="FJ137" s="59">
        <f ca="1">AVERAGE(OFFSET($FI$3,0,0,'Données projet'!$E$16+1,1))-AVERAGE(OFFSET($H$3,0,0,'Données projet'!$E$16+1,1))</f>
        <v>242.76791261317206</v>
      </c>
      <c r="FK137" s="59">
        <f t="shared" si="156"/>
        <v>244.28580264867682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16.489218570893744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16.489218570893744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7.0766666666666636</v>
      </c>
      <c r="FZ137" s="12">
        <f>IF('Données projet'!$A$244&gt;35,FZ136+FY137-GH136,IF(A137&lt;'Données projet'!$A$244,$FW$205^A137,IF(A137='Données projet'!$A$244,'Données projet'!$B$244,FZ136+FY137-GH136)))</f>
        <v>406.8</v>
      </c>
      <c r="GA137" s="17">
        <f>FZ137*VLOOKUP('Données projet'!$B$17,Paramètres!$A$1:$I$89,3,0)*VLOOKUP('Données projet'!$B$17,Paramètres!$A$1:$I$89,5,0)</f>
        <v>387.11088000000001</v>
      </c>
      <c r="GB137" s="13">
        <f t="shared" si="157"/>
        <v>89.158633692128134</v>
      </c>
      <c r="GC137" s="20">
        <f t="shared" si="133"/>
        <v>829.50273634712312</v>
      </c>
      <c r="GD137" s="59">
        <f t="shared" si="134"/>
        <v>1118.8823725925733</v>
      </c>
      <c r="GE137" s="59">
        <f ca="1">AVERAGE(OFFSET($GD$3,0,0,'Données projet'!$E$17+1,1))-AVERAGE(OFFSET($H$3,0,0,'Données projet'!$E$17+1,1))</f>
        <v>512.71941256120977</v>
      </c>
      <c r="GF137" s="59">
        <f t="shared" si="158"/>
        <v>230.65031527019354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88.128998975985269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88.128998975985269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68.921718976031883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-5.6843418860808015E-14</v>
      </c>
      <c r="GV137" s="17">
        <f>GU137*VLOOKUP('Données projet'!$B$18,Paramètres!$A$1:$I$89,3,0)*VLOOKUP('Données projet'!$B$18,Paramètres!$A$1:$I$89,5,0)</f>
        <v>-2.5006556825246661E-14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180.68917161146683</v>
      </c>
      <c r="HA137" s="59">
        <f t="shared" si="160"/>
        <v>344.42126252322419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8.1529339977421564</v>
      </c>
      <c r="HH137" s="21">
        <f>EXP(-LN(2)/25)*HH136+(1-EXP(-LN(2)/25))/(LN(2)/25)*Calculateur!HC137*Calculateur!HE137*VLOOKUP('Données projet'!$B$18,Paramètres!$A$1:$I$89,3,0)*0.475*44/12</f>
        <v>0.92659815064649742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9.0795321483886546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2.25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8.25</v>
      </c>
      <c r="H138" s="66">
        <f t="shared" si="110"/>
        <v>223.66666666666666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7.0766666666666636</v>
      </c>
      <c r="N138" s="13">
        <f>IF('Données projet'!$A$36&gt;35,N137+M138-V137,IF(A138&lt;'Données projet'!$A$36,$K$205^A138,IF(A138='Données projet'!$A$36,'Données projet'!$B$36,N137+M138-V137)))</f>
        <v>413.87666666666667</v>
      </c>
      <c r="O138" s="13">
        <f>N138*VLOOKUP('Données projet'!$B$9,Paramètres!$A$1:$I$89,3,0)*VLOOKUP('Données projet'!$B$9,Paramètres!$A$1:$I$89,5,0)</f>
        <v>374.47560800000002</v>
      </c>
      <c r="P138" s="13">
        <f t="shared" si="141"/>
        <v>86.582296341056804</v>
      </c>
      <c r="Q138" s="20">
        <f t="shared" si="108"/>
        <v>803.00918339400721</v>
      </c>
      <c r="R138" s="59">
        <f t="shared" si="109"/>
        <v>1092.4574074447896</v>
      </c>
      <c r="S138" s="59">
        <f ca="1">AVERAGE(OFFSET($R$3,0,0,'Données projet'!$E$9+1,1))-AVERAGE(OFFSET($H$3,0,0,'Données projet'!$E$9+1,1))</f>
        <v>490.57849401500789</v>
      </c>
      <c r="T138" s="59">
        <f t="shared" si="142"/>
        <v>221.7570623669753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82.151621269638937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82.151621269638937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6.9616666666666687</v>
      </c>
      <c r="AI138" s="13">
        <f>IF('Données projet'!$A$62&gt;35,AI137+AH138-AQ137,IF(A138&lt;'Données projet'!$A$62,$AF$205^A138,IF(A138='Données projet'!$A$62,'Données projet'!$B$62,AI137+AH138-AQ137)))</f>
        <v>317.26499999999982</v>
      </c>
      <c r="AJ138" s="13">
        <f>AI138*VLOOKUP('Données projet'!$B$10,Paramètres!$A$1:$I$89,3,0)*VLOOKUP('Données projet'!$B$10,Paramètres!$A$1:$I$89,5,0)</f>
        <v>212.82136199999985</v>
      </c>
      <c r="AK138" s="13">
        <f t="shared" si="143"/>
        <v>52.551644588938231</v>
      </c>
      <c r="AL138" s="20">
        <f t="shared" si="112"/>
        <v>462.19131980906712</v>
      </c>
      <c r="AM138" s="59">
        <f t="shared" si="113"/>
        <v>751.63954385984971</v>
      </c>
      <c r="AN138" s="59">
        <f ca="1">AVERAGE(OFFSET($AM$3,0,0,'Données projet'!$E$10+1,1))-AVERAGE(OFFSET($H$3,0,0,'Données projet'!$E$10+1,1))</f>
        <v>377.00534440335832</v>
      </c>
      <c r="AO138" s="59">
        <f t="shared" si="144"/>
        <v>131.56029120000656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72.646751120400651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72.646751120400651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212.00000000000009</v>
      </c>
      <c r="BE138" s="13">
        <f>BD138*VLOOKUP('Données projet'!$B$11,Paramètres!$A$1:$I$89,3,0)*VLOOKUP('Données projet'!$B$11,Paramètres!$A$1:$I$89,5,0)</f>
        <v>185.20320000000009</v>
      </c>
      <c r="BF138" s="13">
        <f t="shared" si="145"/>
        <v>46.477875402099386</v>
      </c>
      <c r="BG138" s="20">
        <f t="shared" si="115"/>
        <v>403.5112063253232</v>
      </c>
      <c r="BH138" s="59">
        <f t="shared" si="116"/>
        <v>692.95943037610573</v>
      </c>
      <c r="BI138" s="59">
        <f ca="1">AVERAGE(OFFSET($BH$3,0,0,'Données projet'!$E$11+1,1))-AVERAGE(OFFSET($H$3,0,0,'Données projet'!$E$11+1,1))</f>
        <v>314.1123649635374</v>
      </c>
      <c r="BJ138" s="59">
        <f t="shared" si="146"/>
        <v>274.92342227914889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21.896154353661011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21.896154353661011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212.42519999999985</v>
      </c>
      <c r="CA138" s="13">
        <f t="shared" si="147"/>
        <v>52.465198231787184</v>
      </c>
      <c r="CB138" s="20">
        <f t="shared" si="118"/>
        <v>461.35077692036231</v>
      </c>
      <c r="CC138" s="59">
        <f t="shared" si="119"/>
        <v>750.79900097114478</v>
      </c>
      <c r="CD138" s="59">
        <f ca="1">AVERAGE(OFFSET($CC$3,0,0,'Données projet'!$E$12+1,1))-AVERAGE(OFFSET($H$3,0,0,'Données projet'!$E$12+1,1))</f>
        <v>309.86296291630748</v>
      </c>
      <c r="CE138" s="59">
        <f t="shared" si="148"/>
        <v>301.17633325088661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14.598567847487208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14.598567847487208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404.00000000000017</v>
      </c>
      <c r="CU138" s="17">
        <f>CT138*VLOOKUP('Données projet'!$B$13,Paramètres!$A$1:$I$89,3,0)*VLOOKUP('Données projet'!$B$13,Paramètres!$A$1:$I$89,5,0)</f>
        <v>346.63200000000018</v>
      </c>
      <c r="CV138" s="13">
        <f t="shared" si="149"/>
        <v>80.868615263336864</v>
      </c>
      <c r="CW138" s="20">
        <f t="shared" si="121"/>
        <v>744.56357158364528</v>
      </c>
      <c r="CX138" s="59">
        <f t="shared" si="122"/>
        <v>1034.0117956344279</v>
      </c>
      <c r="CY138" s="59">
        <f ca="1">AVERAGE(OFFSET($CX$3,0,0,'Données projet'!$E$13+1,1))-AVERAGE(OFFSET($H$3,0,0,'Données projet'!$E$13+1,1))</f>
        <v>462.66388549889928</v>
      </c>
      <c r="CZ138" s="59">
        <f t="shared" si="150"/>
        <v>265.3725203415089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74.266810474449755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74.266810474449755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210.25641030000014</v>
      </c>
      <c r="DP138" s="17">
        <f>DO138*VLOOKUP('Données projet'!$B$14,Paramètres!$A$1:$I$89,3,0)*VLOOKUP('Données projet'!$B$14,Paramètres!$A$1:$I$89,5,0)</f>
        <v>164.00000003400012</v>
      </c>
      <c r="DQ138" s="13">
        <f t="shared" si="151"/>
        <v>41.743425916009095</v>
      </c>
      <c r="DR138" s="20">
        <f t="shared" si="124"/>
        <v>358.3364668629327</v>
      </c>
      <c r="DS138" s="59">
        <f t="shared" si="125"/>
        <v>647.78469091371517</v>
      </c>
      <c r="DT138" s="59">
        <f ca="1">AVERAGE(OFFSET($DS$3,0,0,'Données projet'!$E$14+1,1))-AVERAGE(OFFSET($H$3,0,0,'Données projet'!$E$14+1,1))</f>
        <v>206.5241977687125</v>
      </c>
      <c r="DU138" s="59">
        <f t="shared" si="152"/>
        <v>205.25001043771269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8.7393413622825147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8.7393413622825147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155.99999999999991</v>
      </c>
      <c r="EK138" s="17">
        <f>EJ138*VLOOKUP('Données projet'!$B$15,Paramètres!$A$1:$I$89,3,0)*VLOOKUP('Données projet'!$B$15,Paramètres!$A$1:$I$89,5,0)</f>
        <v>136.28159999999994</v>
      </c>
      <c r="EL138" s="13">
        <f t="shared" si="153"/>
        <v>35.443842312892279</v>
      </c>
      <c r="EM138" s="20">
        <f t="shared" si="127"/>
        <v>299.08847869495395</v>
      </c>
      <c r="EN138" s="59">
        <f t="shared" si="128"/>
        <v>588.53670274573642</v>
      </c>
      <c r="EO138" s="59">
        <f ca="1">AVERAGE(OFFSET($EN$3,0,0,'Données projet'!$E$15+1,1))-AVERAGE(OFFSET($H$3,0,0,'Données projet'!$E$15+1,1))</f>
        <v>205.83135724908942</v>
      </c>
      <c r="EP138" s="59">
        <f t="shared" si="154"/>
        <v>193.60053377311405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8.7030068530815541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8.7030068530815541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204.00000000000017</v>
      </c>
      <c r="FF138" s="17">
        <f>FE138*VLOOKUP('Données projet'!$B$16,Paramètres!$A$1:$I$89,3,0)*VLOOKUP('Données projet'!$B$16,Paramètres!$A$1:$I$89,5,0)</f>
        <v>133.66080000000011</v>
      </c>
      <c r="FG138" s="13">
        <f t="shared" si="155"/>
        <v>34.840890682716783</v>
      </c>
      <c r="FH138" s="20">
        <f t="shared" si="130"/>
        <v>293.4737779390652</v>
      </c>
      <c r="FI138" s="59">
        <f t="shared" si="131"/>
        <v>582.92200198984779</v>
      </c>
      <c r="FJ138" s="59">
        <f ca="1">AVERAGE(OFFSET($FI$3,0,0,'Données projet'!$E$16+1,1))-AVERAGE(OFFSET($H$3,0,0,'Données projet'!$E$16+1,1))</f>
        <v>242.76791261317206</v>
      </c>
      <c r="FK138" s="59">
        <f t="shared" si="156"/>
        <v>244.28580264867682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16.165875052148756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16.165875052148756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7.0766666666666636</v>
      </c>
      <c r="FZ138" s="12">
        <f>IF('Données projet'!$A$244&gt;35,FZ137+FY138-GH137,IF(A138&lt;'Données projet'!$A$244,$FW$205^A138,IF(A138='Données projet'!$A$244,'Données projet'!$B$244,FZ137+FY138-GH137)))</f>
        <v>413.87666666666667</v>
      </c>
      <c r="GA138" s="17">
        <f>FZ138*VLOOKUP('Données projet'!$B$17,Paramètres!$A$1:$I$89,3,0)*VLOOKUP('Données projet'!$B$17,Paramètres!$A$1:$I$89,5,0)</f>
        <v>393.84503599999999</v>
      </c>
      <c r="GB138" s="13">
        <f t="shared" si="157"/>
        <v>90.527716790240305</v>
      </c>
      <c r="GC138" s="20">
        <f t="shared" si="133"/>
        <v>843.61587777633497</v>
      </c>
      <c r="GD138" s="59">
        <f t="shared" si="134"/>
        <v>1133.0641018271176</v>
      </c>
      <c r="GE138" s="59">
        <f ca="1">AVERAGE(OFFSET($GD$3,0,0,'Données projet'!$E$17+1,1))-AVERAGE(OFFSET($H$3,0,0,'Données projet'!$E$17+1,1))</f>
        <v>512.71941256120977</v>
      </c>
      <c r="GF138" s="59">
        <f t="shared" si="158"/>
        <v>230.65031527019354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86.400843059447865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86.400843059447865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68.940424741122513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-5.6843418860808015E-14</v>
      </c>
      <c r="GV138" s="17">
        <f>GU138*VLOOKUP('Données projet'!$B$18,Paramètres!$A$1:$I$89,3,0)*VLOOKUP('Données projet'!$B$18,Paramètres!$A$1:$I$89,5,0)</f>
        <v>-2.5006556825246661E-14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180.68917161146683</v>
      </c>
      <c r="HA138" s="59">
        <f t="shared" si="160"/>
        <v>344.42126252322419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7.9930599348451485</v>
      </c>
      <c r="HH138" s="21">
        <f>EXP(-LN(2)/25)*HH137+(1-EXP(-LN(2)/25))/(LN(2)/25)*Calculateur!HC138*Calculateur!HE138*VLOOKUP('Données projet'!$B$18,Paramètres!$A$1:$I$89,3,0)*0.475*44/12</f>
        <v>0.90126027548939003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8.8943202103345378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2.25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8.25</v>
      </c>
      <c r="H139" s="66">
        <f t="shared" si="110"/>
        <v>223.66666666666666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7.0766666666666636</v>
      </c>
      <c r="N139" s="13">
        <f>IF('Données projet'!$A$36&gt;35,N138+M139-V138,IF(A139&lt;'Données projet'!$A$36,$K$205^A139,IF(A139='Données projet'!$A$36,'Données projet'!$B$36,N138+M139-V138)))</f>
        <v>420.95333333333332</v>
      </c>
      <c r="O139" s="13">
        <f>N139*VLOOKUP('Données projet'!$B$9,Paramètres!$A$1:$I$89,3,0)*VLOOKUP('Données projet'!$B$9,Paramètres!$A$1:$I$89,5,0)</f>
        <v>380.87857599999995</v>
      </c>
      <c r="P139" s="13">
        <f t="shared" si="141"/>
        <v>87.889107807325459</v>
      </c>
      <c r="Q139" s="20">
        <f t="shared" si="108"/>
        <v>816.43704929775834</v>
      </c>
      <c r="R139" s="59">
        <f t="shared" si="109"/>
        <v>1105.9526713087901</v>
      </c>
      <c r="S139" s="59">
        <f ca="1">AVERAGE(OFFSET($R$3,0,0,'Données projet'!$E$9+1,1))-AVERAGE(OFFSET($H$3,0,0,'Données projet'!$E$9+1,1))</f>
        <v>490.57849401500789</v>
      </c>
      <c r="T139" s="59">
        <f t="shared" si="142"/>
        <v>221.7570623669753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80.540678084082586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80.540678084082586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6.9616666666666687</v>
      </c>
      <c r="AI139" s="13">
        <f>IF('Données projet'!$A$62&gt;35,AI138+AH139-AQ138,IF(A139&lt;'Données projet'!$A$62,$AF$205^A139,IF(A139='Données projet'!$A$62,'Données projet'!$B$62,AI138+AH139-AQ138)))</f>
        <v>324.22666666666646</v>
      </c>
      <c r="AJ139" s="13">
        <f>AI139*VLOOKUP('Données projet'!$B$10,Paramètres!$A$1:$I$89,3,0)*VLOOKUP('Données projet'!$B$10,Paramètres!$A$1:$I$89,5,0)</f>
        <v>217.49124799999987</v>
      </c>
      <c r="AK139" s="13">
        <f t="shared" si="143"/>
        <v>53.569257442848098</v>
      </c>
      <c r="AL139" s="20">
        <f t="shared" si="112"/>
        <v>472.09704697962684</v>
      </c>
      <c r="AM139" s="59">
        <f t="shared" si="113"/>
        <v>761.61266899065845</v>
      </c>
      <c r="AN139" s="59">
        <f ca="1">AVERAGE(OFFSET($AM$3,0,0,'Données projet'!$E$10+1,1))-AVERAGE(OFFSET($H$3,0,0,'Données projet'!$E$10+1,1))</f>
        <v>377.00534440335832</v>
      </c>
      <c r="AO139" s="59">
        <f t="shared" si="144"/>
        <v>131.56029120000656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71.22219264107251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71.22219264107251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212.00000000000009</v>
      </c>
      <c r="BE139" s="13">
        <f>BD139*VLOOKUP('Données projet'!$B$11,Paramètres!$A$1:$I$89,3,0)*VLOOKUP('Données projet'!$B$11,Paramètres!$A$1:$I$89,5,0)</f>
        <v>185.20320000000009</v>
      </c>
      <c r="BF139" s="13">
        <f t="shared" si="145"/>
        <v>46.477875402099386</v>
      </c>
      <c r="BG139" s="20">
        <f t="shared" si="115"/>
        <v>403.5112063253232</v>
      </c>
      <c r="BH139" s="59">
        <f t="shared" si="116"/>
        <v>693.02682833635481</v>
      </c>
      <c r="BI139" s="59">
        <f ca="1">AVERAGE(OFFSET($BH$3,0,0,'Données projet'!$E$11+1,1))-AVERAGE(OFFSET($H$3,0,0,'Données projet'!$E$11+1,1))</f>
        <v>314.1123649635374</v>
      </c>
      <c r="BJ139" s="59">
        <f t="shared" si="146"/>
        <v>274.92342227914889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21.466784122121144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21.466784122121144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212.42519999999985</v>
      </c>
      <c r="CA139" s="13">
        <f t="shared" si="147"/>
        <v>52.465198231787184</v>
      </c>
      <c r="CB139" s="20">
        <f t="shared" si="118"/>
        <v>461.35077692036231</v>
      </c>
      <c r="CC139" s="59">
        <f t="shared" si="119"/>
        <v>750.86639893139397</v>
      </c>
      <c r="CD139" s="59">
        <f ca="1">AVERAGE(OFFSET($CC$3,0,0,'Données projet'!$E$12+1,1))-AVERAGE(OFFSET($H$3,0,0,'Données projet'!$E$12+1,1))</f>
        <v>309.86296291630748</v>
      </c>
      <c r="CE139" s="59">
        <f t="shared" si="148"/>
        <v>301.17633325088661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14.31229883624515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14.31229883624515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404.00000000000017</v>
      </c>
      <c r="CU139" s="17">
        <f>CT139*VLOOKUP('Données projet'!$B$13,Paramètres!$A$1:$I$89,3,0)*VLOOKUP('Données projet'!$B$13,Paramètres!$A$1:$I$89,5,0)</f>
        <v>346.63200000000018</v>
      </c>
      <c r="CV139" s="13">
        <f t="shared" si="149"/>
        <v>80.868615263336864</v>
      </c>
      <c r="CW139" s="20">
        <f t="shared" si="121"/>
        <v>744.56357158364528</v>
      </c>
      <c r="CX139" s="59">
        <f t="shared" si="122"/>
        <v>1034.079193594677</v>
      </c>
      <c r="CY139" s="59">
        <f ca="1">AVERAGE(OFFSET($CX$3,0,0,'Données projet'!$E$13+1,1))-AVERAGE(OFFSET($H$3,0,0,'Données projet'!$E$13+1,1))</f>
        <v>462.66388549889928</v>
      </c>
      <c r="CZ139" s="59">
        <f t="shared" si="150"/>
        <v>265.3725203415089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72.810483619327357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72.810483619327357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210.25641030000014</v>
      </c>
      <c r="DP139" s="17">
        <f>DO139*VLOOKUP('Données projet'!$B$14,Paramètres!$A$1:$I$89,3,0)*VLOOKUP('Données projet'!$B$14,Paramètres!$A$1:$I$89,5,0)</f>
        <v>164.00000003400012</v>
      </c>
      <c r="DQ139" s="13">
        <f t="shared" si="151"/>
        <v>41.743425916009095</v>
      </c>
      <c r="DR139" s="20">
        <f t="shared" si="124"/>
        <v>358.3364668629327</v>
      </c>
      <c r="DS139" s="59">
        <f t="shared" si="125"/>
        <v>647.85208887396436</v>
      </c>
      <c r="DT139" s="59">
        <f ca="1">AVERAGE(OFFSET($DS$3,0,0,'Données projet'!$E$14+1,1))-AVERAGE(OFFSET($H$3,0,0,'Données projet'!$E$14+1,1))</f>
        <v>206.5241977687125</v>
      </c>
      <c r="DU139" s="59">
        <f t="shared" si="152"/>
        <v>205.25001043771269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8.5679682086400444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8.5679682086400444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155.99999999999991</v>
      </c>
      <c r="EK139" s="17">
        <f>EJ139*VLOOKUP('Données projet'!$B$15,Paramètres!$A$1:$I$89,3,0)*VLOOKUP('Données projet'!$B$15,Paramètres!$A$1:$I$89,5,0)</f>
        <v>136.28159999999994</v>
      </c>
      <c r="EL139" s="13">
        <f t="shared" si="153"/>
        <v>35.443842312892279</v>
      </c>
      <c r="EM139" s="20">
        <f t="shared" si="127"/>
        <v>299.08847869495395</v>
      </c>
      <c r="EN139" s="59">
        <f t="shared" si="128"/>
        <v>588.60410070598562</v>
      </c>
      <c r="EO139" s="59">
        <f ca="1">AVERAGE(OFFSET($EN$3,0,0,'Données projet'!$E$15+1,1))-AVERAGE(OFFSET($H$3,0,0,'Données projet'!$E$15+1,1))</f>
        <v>205.83135724908942</v>
      </c>
      <c r="EP139" s="59">
        <f t="shared" si="154"/>
        <v>193.60053377311405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8.5323461970026528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8.5323461970026528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204.00000000000017</v>
      </c>
      <c r="FF139" s="17">
        <f>FE139*VLOOKUP('Données projet'!$B$16,Paramètres!$A$1:$I$89,3,0)*VLOOKUP('Données projet'!$B$16,Paramètres!$A$1:$I$89,5,0)</f>
        <v>133.66080000000011</v>
      </c>
      <c r="FG139" s="13">
        <f t="shared" si="155"/>
        <v>34.840890682716783</v>
      </c>
      <c r="FH139" s="20">
        <f t="shared" si="130"/>
        <v>293.4737779390652</v>
      </c>
      <c r="FI139" s="59">
        <f t="shared" si="131"/>
        <v>582.98939995009687</v>
      </c>
      <c r="FJ139" s="59">
        <f ca="1">AVERAGE(OFFSET($FI$3,0,0,'Données projet'!$E$16+1,1))-AVERAGE(OFFSET($H$3,0,0,'Données projet'!$E$16+1,1))</f>
        <v>242.76791261317206</v>
      </c>
      <c r="FK139" s="59">
        <f t="shared" si="156"/>
        <v>244.28580264867682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15.848872102586286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15.848872102586286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7.0766666666666636</v>
      </c>
      <c r="FZ139" s="12">
        <f>IF('Données projet'!$A$244&gt;35,FZ138+FY139-GH138,IF(A139&lt;'Données projet'!$A$244,$FW$205^A139,IF(A139='Données projet'!$A$244,'Données projet'!$B$244,FZ138+FY139-GH138)))</f>
        <v>420.95333333333332</v>
      </c>
      <c r="GA139" s="17">
        <f>FZ139*VLOOKUP('Données projet'!$B$17,Paramètres!$A$1:$I$89,3,0)*VLOOKUP('Données projet'!$B$17,Paramètres!$A$1:$I$89,5,0)</f>
        <v>400.57919199999998</v>
      </c>
      <c r="GB139" s="13">
        <f t="shared" si="157"/>
        <v>91.894077620525977</v>
      </c>
      <c r="GC139" s="20">
        <f t="shared" si="133"/>
        <v>857.72427792241604</v>
      </c>
      <c r="GD139" s="59">
        <f t="shared" si="134"/>
        <v>1147.2398999334478</v>
      </c>
      <c r="GE139" s="59">
        <f ca="1">AVERAGE(OFFSET($GD$3,0,0,'Données projet'!$E$17+1,1))-AVERAGE(OFFSET($H$3,0,0,'Données projet'!$E$17+1,1))</f>
        <v>512.71941256120977</v>
      </c>
      <c r="GF139" s="59">
        <f t="shared" si="158"/>
        <v>230.65031527019354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84.70657522636273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84.70657522636273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68.958806003008647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-5.6843418860808015E-14</v>
      </c>
      <c r="GV139" s="17">
        <f>GU139*VLOOKUP('Données projet'!$B$18,Paramètres!$A$1:$I$89,3,0)*VLOOKUP('Données projet'!$B$18,Paramètres!$A$1:$I$89,5,0)</f>
        <v>-2.5006556825246661E-14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180.68917161146683</v>
      </c>
      <c r="HA139" s="59">
        <f t="shared" si="160"/>
        <v>344.42126252322419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7.8363209048080007</v>
      </c>
      <c r="HH139" s="21">
        <f>EXP(-LN(2)/25)*HH138+(1-EXP(-LN(2)/25))/(LN(2)/25)*Calculateur!HC139*Calculateur!HE139*VLOOKUP('Données projet'!$B$18,Paramètres!$A$1:$I$89,3,0)*0.475*44/12</f>
        <v>0.87661526586091465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8.7129361706689146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2.25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8.25</v>
      </c>
      <c r="H140" s="66">
        <f t="shared" si="110"/>
        <v>223.66666666666666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428.03</v>
      </c>
      <c r="L140" s="12">
        <f>VLOOKUP(A140,'Données projet'!$A$35:$I$55,9,0)</f>
        <v>7.0766666666666636</v>
      </c>
      <c r="M140" s="12">
        <f t="array" ref="M140">INDEX(L:L,MIN(IF(ISNUMBER(L140:L336),ROW(L140:L336),"")))</f>
        <v>7.0766666666666636</v>
      </c>
      <c r="N140" s="13">
        <f>IF('Données projet'!$A$36&gt;35,N139+M140-V139,IF(A140&lt;'Données projet'!$A$36,$K$205^A140,IF(A140='Données projet'!$A$36,'Données projet'!$B$36,N139+M140-V139)))</f>
        <v>428.03</v>
      </c>
      <c r="O140" s="13">
        <f>N140*VLOOKUP('Données projet'!$B$9,Paramètres!$A$1:$I$89,3,0)*VLOOKUP('Données projet'!$B$9,Paramètres!$A$1:$I$89,5,0)</f>
        <v>387.28154399999994</v>
      </c>
      <c r="P140" s="13">
        <f t="shared" si="141"/>
        <v>89.193364470196286</v>
      </c>
      <c r="Q140" s="20">
        <f t="shared" si="108"/>
        <v>829.86046558559167</v>
      </c>
      <c r="R140" s="59">
        <f t="shared" si="109"/>
        <v>1119.4423163529414</v>
      </c>
      <c r="S140" s="59">
        <f ca="1">AVERAGE(OFFSET($R$3,0,0,'Données projet'!$E$9+1,1))-AVERAGE(OFFSET($H$3,0,0,'Données projet'!$E$9+1,1))</f>
        <v>490.57849401500789</v>
      </c>
      <c r="T140" s="59">
        <f t="shared" si="142"/>
        <v>221.7570623669753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65.53</v>
      </c>
      <c r="W140" s="16">
        <f>IF(ISNA(VLOOKUP(A140,'Données projet'!$A$35:$I$55,5,0)),0%,VLOOKUP(A140,'Données projet'!$A$35:$I$55,5,0)*VLOOKUP('Données projet'!$B$9,Paramètres!$A$1:$I$89,7,0))</f>
        <v>0.43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107.14569414078976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107.14569414078976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6.9616666666666687</v>
      </c>
      <c r="AI140" s="13">
        <f>IF('Données projet'!$A$62&gt;35,AI139+AH140-AQ139,IF(A140&lt;'Données projet'!$A$62,$AF$205^A140,IF(A140='Données projet'!$A$62,'Données projet'!$B$62,AI139+AH140-AQ139)))</f>
        <v>331.18833333333311</v>
      </c>
      <c r="AJ140" s="13">
        <f>AI140*VLOOKUP('Données projet'!$B$10,Paramètres!$A$1:$I$89,3,0)*VLOOKUP('Données projet'!$B$10,Paramètres!$A$1:$I$89,5,0)</f>
        <v>222.16113399999986</v>
      </c>
      <c r="AK140" s="13">
        <f t="shared" si="143"/>
        <v>54.584329951591656</v>
      </c>
      <c r="AL140" s="20">
        <f t="shared" si="112"/>
        <v>481.99834971568862</v>
      </c>
      <c r="AM140" s="59">
        <f t="shared" si="113"/>
        <v>771.58020048303842</v>
      </c>
      <c r="AN140" s="59">
        <f ca="1">AVERAGE(OFFSET($AM$3,0,0,'Données projet'!$E$10+1,1))-AVERAGE(OFFSET($H$3,0,0,'Données projet'!$E$10+1,1))</f>
        <v>377.00534440335832</v>
      </c>
      <c r="AO140" s="59">
        <f t="shared" si="144"/>
        <v>131.56029120000656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69.825568884629121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69.825568884629121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212.00000000000009</v>
      </c>
      <c r="BE140" s="13">
        <f>BD140*VLOOKUP('Données projet'!$B$11,Paramètres!$A$1:$I$89,3,0)*VLOOKUP('Données projet'!$B$11,Paramètres!$A$1:$I$89,5,0)</f>
        <v>185.20320000000009</v>
      </c>
      <c r="BF140" s="13">
        <f t="shared" si="145"/>
        <v>46.477875402099386</v>
      </c>
      <c r="BG140" s="20">
        <f t="shared" si="115"/>
        <v>403.5112063253232</v>
      </c>
      <c r="BH140" s="59">
        <f t="shared" si="116"/>
        <v>693.09305709267301</v>
      </c>
      <c r="BI140" s="59">
        <f ca="1">AVERAGE(OFFSET($BH$3,0,0,'Données projet'!$E$11+1,1))-AVERAGE(OFFSET($H$3,0,0,'Données projet'!$E$11+1,1))</f>
        <v>314.1123649635374</v>
      </c>
      <c r="BJ140" s="59">
        <f t="shared" si="146"/>
        <v>274.92342227914889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21.045833578931791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21.045833578931791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212.42519999999985</v>
      </c>
      <c r="CA140" s="13">
        <f t="shared" si="147"/>
        <v>52.465198231787184</v>
      </c>
      <c r="CB140" s="20">
        <f t="shared" si="118"/>
        <v>461.35077692036231</v>
      </c>
      <c r="CC140" s="59">
        <f t="shared" si="119"/>
        <v>750.93262768771206</v>
      </c>
      <c r="CD140" s="59">
        <f ca="1">AVERAGE(OFFSET($CC$3,0,0,'Données projet'!$E$12+1,1))-AVERAGE(OFFSET($H$3,0,0,'Données projet'!$E$12+1,1))</f>
        <v>309.86296291630748</v>
      </c>
      <c r="CE140" s="59">
        <f t="shared" si="148"/>
        <v>301.17633325088661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14.031643385706692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14.031643385706692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404.00000000000017</v>
      </c>
      <c r="CU140" s="17">
        <f>CT140*VLOOKUP('Données projet'!$B$13,Paramètres!$A$1:$I$89,3,0)*VLOOKUP('Données projet'!$B$13,Paramètres!$A$1:$I$89,5,0)</f>
        <v>346.63200000000018</v>
      </c>
      <c r="CV140" s="13">
        <f t="shared" si="149"/>
        <v>80.868615263336864</v>
      </c>
      <c r="CW140" s="20">
        <f t="shared" si="121"/>
        <v>744.56357158364528</v>
      </c>
      <c r="CX140" s="59">
        <f t="shared" si="122"/>
        <v>1034.145422350995</v>
      </c>
      <c r="CY140" s="59">
        <f ca="1">AVERAGE(OFFSET($CX$3,0,0,'Données projet'!$E$13+1,1))-AVERAGE(OFFSET($H$3,0,0,'Données projet'!$E$13+1,1))</f>
        <v>462.66388549889928</v>
      </c>
      <c r="CZ140" s="59">
        <f t="shared" si="150"/>
        <v>265.3725203415089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71.382714445562229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71.382714445562229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210.25641030000014</v>
      </c>
      <c r="DP140" s="17">
        <f>DO140*VLOOKUP('Données projet'!$B$14,Paramètres!$A$1:$I$89,3,0)*VLOOKUP('Données projet'!$B$14,Paramètres!$A$1:$I$89,5,0)</f>
        <v>164.00000003400012</v>
      </c>
      <c r="DQ140" s="13">
        <f t="shared" si="151"/>
        <v>41.743425916009095</v>
      </c>
      <c r="DR140" s="20">
        <f t="shared" si="124"/>
        <v>358.3364668629327</v>
      </c>
      <c r="DS140" s="59">
        <f t="shared" si="125"/>
        <v>647.91831763028244</v>
      </c>
      <c r="DT140" s="59">
        <f ca="1">AVERAGE(OFFSET($DS$3,0,0,'Données projet'!$E$14+1,1))-AVERAGE(OFFSET($H$3,0,0,'Données projet'!$E$14+1,1))</f>
        <v>206.5241977687125</v>
      </c>
      <c r="DU140" s="59">
        <f t="shared" si="152"/>
        <v>205.25001043771269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8.399955578013202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8.399955578013202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155.99999999999991</v>
      </c>
      <c r="EK140" s="17">
        <f>EJ140*VLOOKUP('Données projet'!$B$15,Paramètres!$A$1:$I$89,3,0)*VLOOKUP('Données projet'!$B$15,Paramètres!$A$1:$I$89,5,0)</f>
        <v>136.28159999999994</v>
      </c>
      <c r="EL140" s="13">
        <f t="shared" si="153"/>
        <v>35.443842312892279</v>
      </c>
      <c r="EM140" s="20">
        <f t="shared" si="127"/>
        <v>299.08847869495395</v>
      </c>
      <c r="EN140" s="59">
        <f t="shared" si="128"/>
        <v>588.6703294623037</v>
      </c>
      <c r="EO140" s="59">
        <f ca="1">AVERAGE(OFFSET($EN$3,0,0,'Données projet'!$E$15+1,1))-AVERAGE(OFFSET($H$3,0,0,'Données projet'!$E$15+1,1))</f>
        <v>205.83135724908942</v>
      </c>
      <c r="EP140" s="59">
        <f t="shared" si="154"/>
        <v>193.60053377311405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8.3650320922967367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8.3650320922967367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204.00000000000017</v>
      </c>
      <c r="FF140" s="17">
        <f>FE140*VLOOKUP('Données projet'!$B$16,Paramètres!$A$1:$I$89,3,0)*VLOOKUP('Données projet'!$B$16,Paramètres!$A$1:$I$89,5,0)</f>
        <v>133.66080000000011</v>
      </c>
      <c r="FG140" s="13">
        <f t="shared" si="155"/>
        <v>34.840890682716783</v>
      </c>
      <c r="FH140" s="20">
        <f t="shared" si="130"/>
        <v>293.4737779390652</v>
      </c>
      <c r="FI140" s="59">
        <f t="shared" si="131"/>
        <v>583.05562870641495</v>
      </c>
      <c r="FJ140" s="59">
        <f ca="1">AVERAGE(OFFSET($FI$3,0,0,'Données projet'!$E$16+1,1))-AVERAGE(OFFSET($H$3,0,0,'Données projet'!$E$16+1,1))</f>
        <v>242.76791261317206</v>
      </c>
      <c r="FK140" s="59">
        <f t="shared" si="156"/>
        <v>244.28580264867682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15.538085387512028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15.538085387512028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>
        <f>VLOOKUP(A140,'Données projet'!$A$243:$I$263,2,0)</f>
        <v>428.03</v>
      </c>
      <c r="FX140" s="12">
        <f>VLOOKUP(A140,'Données projet'!$A$243:$I$263,9,0)</f>
        <v>7.0766666666666636</v>
      </c>
      <c r="FY140" s="12">
        <f t="array" ref="FY140">INDEX(FX:FX,MIN(IF(ISNUMBER(FX140:FX336),ROW(FX140:FX336),"")))</f>
        <v>7.0766666666666636</v>
      </c>
      <c r="FZ140" s="12">
        <f>IF('Données projet'!$A$244&gt;35,FZ139+FY140-GH139,IF(A140&lt;'Données projet'!$A$244,$FW$205^A140,IF(A140='Données projet'!$A$244,'Données projet'!$B$244,FZ139+FY140-GH139)))</f>
        <v>428.03</v>
      </c>
      <c r="GA140" s="17">
        <f>FZ140*VLOOKUP('Données projet'!$B$17,Paramètres!$A$1:$I$89,3,0)*VLOOKUP('Données projet'!$B$17,Paramètres!$A$1:$I$89,5,0)</f>
        <v>407.31334800000002</v>
      </c>
      <c r="GB140" s="13">
        <f t="shared" si="157"/>
        <v>93.257767229000436</v>
      </c>
      <c r="GC140" s="20">
        <f t="shared" si="133"/>
        <v>871.82802569050909</v>
      </c>
      <c r="GD140" s="59">
        <f t="shared" si="134"/>
        <v>1161.4098764578589</v>
      </c>
      <c r="GE140" s="59">
        <f ca="1">AVERAGE(OFFSET($GD$3,0,0,'Données projet'!$E$17+1,1))-AVERAGE(OFFSET($H$3,0,0,'Données projet'!$E$17+1,1))</f>
        <v>512.71941256120977</v>
      </c>
      <c r="GF140" s="59">
        <f t="shared" si="158"/>
        <v>230.65031527019354</v>
      </c>
      <c r="GG140" s="15">
        <f>IF(ISNA(VLOOKUP(A140,'Données projet'!$A$243:$I$263,3,0)),0,VLOOKUP(A140,'Données projet'!$A$243:$I$263,3,0))</f>
        <v>11</v>
      </c>
      <c r="GH140" s="15">
        <f>IF(ISNA(VLOOKUP(A140,'Données projet'!$A$243:$I$263,4,0)),0,VLOOKUP(A140,'Données projet'!$A$243:$I$263,4,0))</f>
        <v>65.53</v>
      </c>
      <c r="GI140" s="16">
        <f>IF(ISNA(VLOOKUP(A140,'Données projet'!$A$243:$I$263,5,0)),0%,VLOOKUP(A140,'Données projet'!$A$243:$I$263,5,0)*VLOOKUP('Données projet'!$B$17,Paramètres!$A$1:$I$89,7,0))</f>
        <v>0.43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112.68771280324441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112.68771280324441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68.97686839109538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-5.6843418860808015E-14</v>
      </c>
      <c r="GV140" s="17">
        <f>GU140*VLOOKUP('Données projet'!$B$18,Paramètres!$A$1:$I$89,3,0)*VLOOKUP('Données projet'!$B$18,Paramètres!$A$1:$I$89,5,0)</f>
        <v>-2.5006556825246661E-14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180.68917161146683</v>
      </c>
      <c r="HA140" s="59">
        <f t="shared" si="160"/>
        <v>344.42126252322419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7.6826554315485129</v>
      </c>
      <c r="HH140" s="21">
        <f>EXP(-LN(2)/25)*HH139+(1-EXP(-LN(2)/25))/(LN(2)/25)*Calculateur!HC140*Calculateur!HE140*VLOOKUP('Données projet'!$B$18,Paramètres!$A$1:$I$89,3,0)*0.475*44/12</f>
        <v>0.85264417531675463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8.5352996068652676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2.25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8.25</v>
      </c>
      <c r="H141" s="66">
        <f t="shared" si="110"/>
        <v>223.66666666666666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6.8383333333333338</v>
      </c>
      <c r="N141" s="13">
        <f>IF('Données projet'!$A$36&gt;35,N140+M141-V140,IF(A141&lt;'Données projet'!$A$36,$K$205^A141,IF(A141='Données projet'!$A$36,'Données projet'!$B$36,N140+M141-V140)))</f>
        <v>369.33833333333325</v>
      </c>
      <c r="O141" s="13">
        <f>N141*VLOOKUP('Données projet'!$B$9,Paramètres!$A$1:$I$89,3,0)*VLOOKUP('Données projet'!$B$9,Paramètres!$A$1:$I$89,5,0)</f>
        <v>334.17732399999989</v>
      </c>
      <c r="P141" s="13">
        <f t="shared" si="141"/>
        <v>78.295737945390471</v>
      </c>
      <c r="Q141" s="20">
        <f t="shared" si="108"/>
        <v>718.3905828882215</v>
      </c>
      <c r="R141" s="59">
        <f t="shared" si="109"/>
        <v>1008.0375134910325</v>
      </c>
      <c r="S141" s="59">
        <f ca="1">AVERAGE(OFFSET($R$3,0,0,'Données projet'!$E$9+1,1))-AVERAGE(OFFSET($H$3,0,0,'Données projet'!$E$9+1,1))</f>
        <v>490.57849401500789</v>
      </c>
      <c r="T141" s="59">
        <f t="shared" si="142"/>
        <v>221.7570623669753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105.04463243110928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105.04463243110928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6.9616666666666687</v>
      </c>
      <c r="AI141" s="13">
        <f>IF('Données projet'!$A$62&gt;35,AI140+AH141-AQ140,IF(A141&lt;'Données projet'!$A$62,$AF$205^A141,IF(A141='Données projet'!$A$62,'Données projet'!$B$62,AI140+AH141-AQ140)))</f>
        <v>338.14999999999975</v>
      </c>
      <c r="AJ141" s="13">
        <f>AI141*VLOOKUP('Données projet'!$B$10,Paramètres!$A$1:$I$89,3,0)*VLOOKUP('Données projet'!$B$10,Paramètres!$A$1:$I$89,5,0)</f>
        <v>226.83101999999985</v>
      </c>
      <c r="AK141" s="13">
        <f t="shared" si="143"/>
        <v>55.596921665494229</v>
      </c>
      <c r="AL141" s="20">
        <f t="shared" si="112"/>
        <v>491.89533173406886</v>
      </c>
      <c r="AM141" s="59">
        <f t="shared" si="113"/>
        <v>781.54226233687984</v>
      </c>
      <c r="AN141" s="59">
        <f ca="1">AVERAGE(OFFSET($AM$3,0,0,'Données projet'!$E$10+1,1))-AVERAGE(OFFSET($H$3,0,0,'Données projet'!$E$10+1,1))</f>
        <v>377.00534440335832</v>
      </c>
      <c r="AO141" s="59">
        <f t="shared" si="144"/>
        <v>131.56029120000656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68.456332068193205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68.456332068193205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212.00000000000009</v>
      </c>
      <c r="BE141" s="13">
        <f>BD141*VLOOKUP('Données projet'!$B$11,Paramètres!$A$1:$I$89,3,0)*VLOOKUP('Données projet'!$B$11,Paramètres!$A$1:$I$89,5,0)</f>
        <v>185.20320000000009</v>
      </c>
      <c r="BF141" s="13">
        <f t="shared" si="145"/>
        <v>46.477875402099386</v>
      </c>
      <c r="BG141" s="20">
        <f t="shared" si="115"/>
        <v>403.5112063253232</v>
      </c>
      <c r="BH141" s="59">
        <f t="shared" si="116"/>
        <v>693.15813692813413</v>
      </c>
      <c r="BI141" s="59">
        <f ca="1">AVERAGE(OFFSET($BH$3,0,0,'Données projet'!$E$11+1,1))-AVERAGE(OFFSET($H$3,0,0,'Données projet'!$E$11+1,1))</f>
        <v>314.1123649635374</v>
      </c>
      <c r="BJ141" s="59">
        <f t="shared" si="146"/>
        <v>274.92342227914889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20.633137619139905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20.633137619139905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212.42519999999985</v>
      </c>
      <c r="CA141" s="13">
        <f t="shared" si="147"/>
        <v>52.465198231787184</v>
      </c>
      <c r="CB141" s="20">
        <f t="shared" si="118"/>
        <v>461.35077692036231</v>
      </c>
      <c r="CC141" s="59">
        <f t="shared" si="119"/>
        <v>750.99770752317329</v>
      </c>
      <c r="CD141" s="59">
        <f ca="1">AVERAGE(OFFSET($CC$3,0,0,'Données projet'!$E$12+1,1))-AVERAGE(OFFSET($H$3,0,0,'Données projet'!$E$12+1,1))</f>
        <v>309.86296291630748</v>
      </c>
      <c r="CE141" s="59">
        <f t="shared" si="148"/>
        <v>301.17633325088661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13.756491417370372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13.756491417370372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404.00000000000017</v>
      </c>
      <c r="CU141" s="17">
        <f>CT141*VLOOKUP('Données projet'!$B$13,Paramètres!$A$1:$I$89,3,0)*VLOOKUP('Données projet'!$B$13,Paramètres!$A$1:$I$89,5,0)</f>
        <v>346.63200000000018</v>
      </c>
      <c r="CV141" s="13">
        <f t="shared" si="149"/>
        <v>80.868615263336864</v>
      </c>
      <c r="CW141" s="20">
        <f t="shared" si="121"/>
        <v>744.56357158364528</v>
      </c>
      <c r="CX141" s="59">
        <f t="shared" si="122"/>
        <v>1034.2105021864563</v>
      </c>
      <c r="CY141" s="59">
        <f ca="1">AVERAGE(OFFSET($CX$3,0,0,'Données projet'!$E$13+1,1))-AVERAGE(OFFSET($H$3,0,0,'Données projet'!$E$13+1,1))</f>
        <v>462.66388549889928</v>
      </c>
      <c r="CZ141" s="59">
        <f t="shared" si="150"/>
        <v>265.3725203415089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69.982942954441427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69.982942954441427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210.25641030000014</v>
      </c>
      <c r="DP141" s="17">
        <f>DO141*VLOOKUP('Données projet'!$B$14,Paramètres!$A$1:$I$89,3,0)*VLOOKUP('Données projet'!$B$14,Paramètres!$A$1:$I$89,5,0)</f>
        <v>164.00000003400012</v>
      </c>
      <c r="DQ141" s="13">
        <f t="shared" si="151"/>
        <v>41.743425916009095</v>
      </c>
      <c r="DR141" s="20">
        <f t="shared" si="124"/>
        <v>358.3364668629327</v>
      </c>
      <c r="DS141" s="59">
        <f t="shared" si="125"/>
        <v>647.98339746574368</v>
      </c>
      <c r="DT141" s="59">
        <f ca="1">AVERAGE(OFFSET($DS$3,0,0,'Données projet'!$E$14+1,1))-AVERAGE(OFFSET($H$3,0,0,'Données projet'!$E$14+1,1))</f>
        <v>206.5241977687125</v>
      </c>
      <c r="DU141" s="59">
        <f t="shared" si="152"/>
        <v>205.25001043771269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8.2352375725953646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8.2352375725953646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155.99999999999991</v>
      </c>
      <c r="EK141" s="17">
        <f>EJ141*VLOOKUP('Données projet'!$B$15,Paramètres!$A$1:$I$89,3,0)*VLOOKUP('Données projet'!$B$15,Paramètres!$A$1:$I$89,5,0)</f>
        <v>136.28159999999994</v>
      </c>
      <c r="EL141" s="13">
        <f t="shared" si="153"/>
        <v>35.443842312892279</v>
      </c>
      <c r="EM141" s="20">
        <f t="shared" si="127"/>
        <v>299.08847869495395</v>
      </c>
      <c r="EN141" s="59">
        <f t="shared" si="128"/>
        <v>588.73540929776493</v>
      </c>
      <c r="EO141" s="59">
        <f ca="1">AVERAGE(OFFSET($EN$3,0,0,'Données projet'!$E$15+1,1))-AVERAGE(OFFSET($H$3,0,0,'Données projet'!$E$15+1,1))</f>
        <v>205.83135724908942</v>
      </c>
      <c r="EP141" s="59">
        <f t="shared" si="154"/>
        <v>193.60053377311405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8.2009989151325762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8.2009989151325762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204.00000000000017</v>
      </c>
      <c r="FF141" s="17">
        <f>FE141*VLOOKUP('Données projet'!$B$16,Paramètres!$A$1:$I$89,3,0)*VLOOKUP('Données projet'!$B$16,Paramètres!$A$1:$I$89,5,0)</f>
        <v>133.66080000000011</v>
      </c>
      <c r="FG141" s="13">
        <f t="shared" si="155"/>
        <v>34.840890682716783</v>
      </c>
      <c r="FH141" s="20">
        <f t="shared" si="130"/>
        <v>293.4737779390652</v>
      </c>
      <c r="FI141" s="59">
        <f t="shared" si="131"/>
        <v>583.12070854187618</v>
      </c>
      <c r="FJ141" s="59">
        <f ca="1">AVERAGE(OFFSET($FI$3,0,0,'Données projet'!$E$16+1,1))-AVERAGE(OFFSET($H$3,0,0,'Données projet'!$E$16+1,1))</f>
        <v>242.76791261317206</v>
      </c>
      <c r="FK141" s="59">
        <f t="shared" si="156"/>
        <v>244.28580264867682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15.233393010359199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15.233393010359199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6.8383333333333338</v>
      </c>
      <c r="FZ141" s="12">
        <f>IF('Données projet'!$A$244&gt;35,FZ140+FY141-GH140,IF(A141&lt;'Données projet'!$A$244,$FW$205^A141,IF(A141='Données projet'!$A$244,'Données projet'!$B$244,FZ140+FY141-GH140)))</f>
        <v>369.33833333333325</v>
      </c>
      <c r="GA141" s="17">
        <f>FZ141*VLOOKUP('Données projet'!$B$17,Paramètres!$A$1:$I$89,3,0)*VLOOKUP('Données projet'!$B$17,Paramètres!$A$1:$I$89,5,0)</f>
        <v>351.46235799999988</v>
      </c>
      <c r="GB141" s="13">
        <f t="shared" si="157"/>
        <v>81.863552829357445</v>
      </c>
      <c r="GC141" s="20">
        <f t="shared" si="133"/>
        <v>754.70929469446401</v>
      </c>
      <c r="GD141" s="59">
        <f t="shared" si="134"/>
        <v>1044.3562252972749</v>
      </c>
      <c r="GE141" s="59">
        <f ca="1">AVERAGE(OFFSET($GD$3,0,0,'Données projet'!$E$17+1,1))-AVERAGE(OFFSET($H$3,0,0,'Données projet'!$E$17+1,1))</f>
        <v>512.71941256120977</v>
      </c>
      <c r="GF141" s="59">
        <f t="shared" si="158"/>
        <v>230.65031527019354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110.4779754878908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110.4779754878908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68.994617437130273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-5.6843418860808015E-14</v>
      </c>
      <c r="GV141" s="17">
        <f>GU141*VLOOKUP('Données projet'!$B$18,Paramètres!$A$1:$I$89,3,0)*VLOOKUP('Données projet'!$B$18,Paramètres!$A$1:$I$89,5,0)</f>
        <v>-2.5006556825246661E-14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180.68917161146683</v>
      </c>
      <c r="HA141" s="59">
        <f t="shared" si="160"/>
        <v>344.42126252322419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7.5320032444929597</v>
      </c>
      <c r="HH141" s="21">
        <f>EXP(-LN(2)/25)*HH140+(1-EXP(-LN(2)/25))/(LN(2)/25)*Calculateur!HC141*Calculateur!HE141*VLOOKUP('Données projet'!$B$18,Paramètres!$A$1:$I$89,3,0)*0.475*44/12</f>
        <v>0.82932857550410954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8.3613318199970692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2.25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8.25</v>
      </c>
      <c r="H142" s="66">
        <f t="shared" si="110"/>
        <v>223.66666666666666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6.8383333333333338</v>
      </c>
      <c r="N142" s="13">
        <f>IF('Données projet'!$A$36&gt;35,N141+M142-V141,IF(A142&lt;'Données projet'!$A$36,$K$205^A142,IF(A142='Données projet'!$A$36,'Données projet'!$B$36,N141+M142-V141)))</f>
        <v>376.17666666666656</v>
      </c>
      <c r="O142" s="13">
        <f>N142*VLOOKUP('Données projet'!$B$9,Paramètres!$A$1:$I$89,3,0)*VLOOKUP('Données projet'!$B$9,Paramètres!$A$1:$I$89,5,0)</f>
        <v>340.36464799999987</v>
      </c>
      <c r="P142" s="13">
        <f t="shared" si="141"/>
        <v>79.575280306613536</v>
      </c>
      <c r="Q142" s="20">
        <f t="shared" si="108"/>
        <v>731.39537513401831</v>
      </c>
      <c r="R142" s="59">
        <f t="shared" si="109"/>
        <v>1021.1062565826421</v>
      </c>
      <c r="S142" s="59">
        <f ca="1">AVERAGE(OFFSET($R$3,0,0,'Données projet'!$E$9+1,1))-AVERAGE(OFFSET($H$3,0,0,'Données projet'!$E$9+1,1))</f>
        <v>490.57849401500789</v>
      </c>
      <c r="T142" s="59">
        <f t="shared" si="142"/>
        <v>221.7570623669753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102.98477126003453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102.98477126003453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6.9616666666666687</v>
      </c>
      <c r="AI142" s="13">
        <f>IF('Données projet'!$A$62&gt;35,AI141+AH142-AQ141,IF(A142&lt;'Données projet'!$A$62,$AF$205^A142,IF(A142='Données projet'!$A$62,'Données projet'!$B$62,AI141+AH142-AQ141)))</f>
        <v>345.11166666666639</v>
      </c>
      <c r="AJ142" s="13">
        <f>AI142*VLOOKUP('Données projet'!$B$10,Paramètres!$A$1:$I$89,3,0)*VLOOKUP('Données projet'!$B$10,Paramètres!$A$1:$I$89,5,0)</f>
        <v>231.50090599999982</v>
      </c>
      <c r="AK142" s="13">
        <f t="shared" si="143"/>
        <v>56.60708954274665</v>
      </c>
      <c r="AL142" s="20">
        <f t="shared" si="112"/>
        <v>501.78809223695015</v>
      </c>
      <c r="AM142" s="59">
        <f t="shared" si="113"/>
        <v>791.4989736855739</v>
      </c>
      <c r="AN142" s="59">
        <f ca="1">AVERAGE(OFFSET($AM$3,0,0,'Données projet'!$E$10+1,1))-AVERAGE(OFFSET($H$3,0,0,'Données projet'!$E$10+1,1))</f>
        <v>377.00534440335832</v>
      </c>
      <c r="AO142" s="59">
        <f t="shared" si="144"/>
        <v>131.56029120000656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67.113945150575603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67.113945150575603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212.00000000000009</v>
      </c>
      <c r="BE142" s="13">
        <f>BD142*VLOOKUP('Données projet'!$B$11,Paramètres!$A$1:$I$89,3,0)*VLOOKUP('Données projet'!$B$11,Paramètres!$A$1:$I$89,5,0)</f>
        <v>185.20320000000009</v>
      </c>
      <c r="BF142" s="13">
        <f t="shared" si="145"/>
        <v>46.477875402099386</v>
      </c>
      <c r="BG142" s="20">
        <f t="shared" si="115"/>
        <v>403.5112063253232</v>
      </c>
      <c r="BH142" s="59">
        <f t="shared" si="116"/>
        <v>693.2220877739469</v>
      </c>
      <c r="BI142" s="59">
        <f ca="1">AVERAGE(OFFSET($BH$3,0,0,'Données projet'!$E$11+1,1))-AVERAGE(OFFSET($H$3,0,0,'Données projet'!$E$11+1,1))</f>
        <v>314.1123649635374</v>
      </c>
      <c r="BJ142" s="59">
        <f t="shared" si="146"/>
        <v>274.92342227914889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20.228534375399857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20.228534375399857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212.42519999999985</v>
      </c>
      <c r="CA142" s="13">
        <f t="shared" si="147"/>
        <v>52.465198231787184</v>
      </c>
      <c r="CB142" s="20">
        <f t="shared" si="118"/>
        <v>461.35077692036231</v>
      </c>
      <c r="CC142" s="59">
        <f t="shared" si="119"/>
        <v>751.06165836898606</v>
      </c>
      <c r="CD142" s="59">
        <f ca="1">AVERAGE(OFFSET($CC$3,0,0,'Données projet'!$E$12+1,1))-AVERAGE(OFFSET($H$3,0,0,'Données projet'!$E$12+1,1))</f>
        <v>309.86296291630748</v>
      </c>
      <c r="CE142" s="59">
        <f t="shared" si="148"/>
        <v>301.17633325088661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13.486735011306997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13.486735011306997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404.00000000000017</v>
      </c>
      <c r="CU142" s="17">
        <f>CT142*VLOOKUP('Données projet'!$B$13,Paramètres!$A$1:$I$89,3,0)*VLOOKUP('Données projet'!$B$13,Paramètres!$A$1:$I$89,5,0)</f>
        <v>346.63200000000018</v>
      </c>
      <c r="CV142" s="13">
        <f t="shared" si="149"/>
        <v>80.868615263336864</v>
      </c>
      <c r="CW142" s="20">
        <f t="shared" si="121"/>
        <v>744.56357158364528</v>
      </c>
      <c r="CX142" s="59">
        <f t="shared" si="122"/>
        <v>1034.2744530322691</v>
      </c>
      <c r="CY142" s="59">
        <f ca="1">AVERAGE(OFFSET($CX$3,0,0,'Données projet'!$E$13+1,1))-AVERAGE(OFFSET($H$3,0,0,'Données projet'!$E$13+1,1))</f>
        <v>462.66388549889928</v>
      </c>
      <c r="CZ142" s="59">
        <f t="shared" si="150"/>
        <v>265.3725203415089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68.610620128485195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68.610620128485195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210.25641030000014</v>
      </c>
      <c r="DP142" s="17">
        <f>DO142*VLOOKUP('Données projet'!$B$14,Paramètres!$A$1:$I$89,3,0)*VLOOKUP('Données projet'!$B$14,Paramètres!$A$1:$I$89,5,0)</f>
        <v>164.00000003400012</v>
      </c>
      <c r="DQ142" s="13">
        <f t="shared" si="151"/>
        <v>41.743425916009095</v>
      </c>
      <c r="DR142" s="20">
        <f t="shared" si="124"/>
        <v>358.3364668629327</v>
      </c>
      <c r="DS142" s="59">
        <f t="shared" si="125"/>
        <v>648.04734831155645</v>
      </c>
      <c r="DT142" s="59">
        <f ca="1">AVERAGE(OFFSET($DS$3,0,0,'Données projet'!$E$14+1,1))-AVERAGE(OFFSET($H$3,0,0,'Données projet'!$E$14+1,1))</f>
        <v>206.5241977687125</v>
      </c>
      <c r="DU142" s="59">
        <f t="shared" si="152"/>
        <v>205.25001043771269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8.0737495867957083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8.0737495867957083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155.99999999999991</v>
      </c>
      <c r="EK142" s="17">
        <f>EJ142*VLOOKUP('Données projet'!$B$15,Paramètres!$A$1:$I$89,3,0)*VLOOKUP('Données projet'!$B$15,Paramètres!$A$1:$I$89,5,0)</f>
        <v>136.28159999999994</v>
      </c>
      <c r="EL142" s="13">
        <f t="shared" si="153"/>
        <v>35.443842312892279</v>
      </c>
      <c r="EM142" s="20">
        <f t="shared" si="127"/>
        <v>299.08847869495395</v>
      </c>
      <c r="EN142" s="59">
        <f t="shared" si="128"/>
        <v>588.7993601435777</v>
      </c>
      <c r="EO142" s="59">
        <f ca="1">AVERAGE(OFFSET($EN$3,0,0,'Données projet'!$E$15+1,1))-AVERAGE(OFFSET($H$3,0,0,'Données projet'!$E$15+1,1))</f>
        <v>205.83135724908942</v>
      </c>
      <c r="EP142" s="59">
        <f t="shared" si="154"/>
        <v>193.60053377311405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8.0401823285222473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8.0401823285222473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204.00000000000017</v>
      </c>
      <c r="FF142" s="17">
        <f>FE142*VLOOKUP('Données projet'!$B$16,Paramètres!$A$1:$I$89,3,0)*VLOOKUP('Données projet'!$B$16,Paramètres!$A$1:$I$89,5,0)</f>
        <v>133.66080000000011</v>
      </c>
      <c r="FG142" s="13">
        <f t="shared" si="155"/>
        <v>34.840890682716783</v>
      </c>
      <c r="FH142" s="20">
        <f t="shared" si="130"/>
        <v>293.4737779390652</v>
      </c>
      <c r="FI142" s="59">
        <f t="shared" si="131"/>
        <v>583.18465938768895</v>
      </c>
      <c r="FJ142" s="59">
        <f ca="1">AVERAGE(OFFSET($FI$3,0,0,'Données projet'!$E$16+1,1))-AVERAGE(OFFSET($H$3,0,0,'Données projet'!$E$16+1,1))</f>
        <v>242.76791261317206</v>
      </c>
      <c r="FK142" s="59">
        <f t="shared" si="156"/>
        <v>244.28580264867682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14.934675464878337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14.934675464878337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6.8383333333333338</v>
      </c>
      <c r="FZ142" s="12">
        <f>IF('Données projet'!$A$244&gt;35,FZ141+FY142-GH141,IF(A142&lt;'Données projet'!$A$244,$FW$205^A142,IF(A142='Données projet'!$A$244,'Données projet'!$B$244,FZ141+FY142-GH141)))</f>
        <v>376.17666666666656</v>
      </c>
      <c r="GA142" s="17">
        <f>FZ142*VLOOKUP('Données projet'!$B$17,Paramètres!$A$1:$I$89,3,0)*VLOOKUP('Données projet'!$B$17,Paramètres!$A$1:$I$89,5,0)</f>
        <v>357.96971599999989</v>
      </c>
      <c r="GB142" s="13">
        <f t="shared" si="157"/>
        <v>83.201401943934272</v>
      </c>
      <c r="GC142" s="20">
        <f t="shared" si="133"/>
        <v>768.37303041901862</v>
      </c>
      <c r="GD142" s="59">
        <f t="shared" si="134"/>
        <v>1058.0839118676424</v>
      </c>
      <c r="GE142" s="59">
        <f ca="1">AVERAGE(OFFSET($GD$3,0,0,'Données projet'!$E$17+1,1))-AVERAGE(OFFSET($H$3,0,0,'Données projet'!$E$17+1,1))</f>
        <v>512.71941256120977</v>
      </c>
      <c r="GF142" s="59">
        <f t="shared" si="158"/>
        <v>230.65031527019354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108.31156977348461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108.31156977348461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69.012058576897388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-5.6843418860808015E-14</v>
      </c>
      <c r="GV142" s="17">
        <f>GU142*VLOOKUP('Données projet'!$B$18,Paramètres!$A$1:$I$89,3,0)*VLOOKUP('Données projet'!$B$18,Paramètres!$A$1:$I$89,5,0)</f>
        <v>-2.5006556825246661E-14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180.68917161146683</v>
      </c>
      <c r="HA142" s="59">
        <f t="shared" si="160"/>
        <v>344.42126252322419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7.3843052549368053</v>
      </c>
      <c r="HH142" s="21">
        <f>EXP(-LN(2)/25)*HH141+(1-EXP(-LN(2)/25))/(LN(2)/25)*Calculateur!HC142*Calculateur!HE142*VLOOKUP('Données projet'!$B$18,Paramètres!$A$1:$I$89,3,0)*0.475*44/12</f>
        <v>0.80665054199445529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8.1909557969312612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2.25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8.25</v>
      </c>
      <c r="H143" s="66">
        <f t="shared" si="110"/>
        <v>223.66666666666666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6.8383333333333338</v>
      </c>
      <c r="N143" s="13">
        <f>IF('Données projet'!$A$36&gt;35,N142+M143-V142,IF(A143&lt;'Données projet'!$A$36,$K$205^A143,IF(A143='Données projet'!$A$36,'Données projet'!$B$36,N142+M143-V142)))</f>
        <v>383.01499999999987</v>
      </c>
      <c r="O143" s="13">
        <f>N143*VLOOKUP('Données projet'!$B$9,Paramètres!$A$1:$I$89,3,0)*VLOOKUP('Données projet'!$B$9,Paramètres!$A$1:$I$89,5,0)</f>
        <v>346.55197199999986</v>
      </c>
      <c r="P143" s="13">
        <f t="shared" si="141"/>
        <v>80.852117887808276</v>
      </c>
      <c r="Q143" s="20">
        <f t="shared" si="108"/>
        <v>744.39545655459915</v>
      </c>
      <c r="R143" s="59">
        <f t="shared" si="109"/>
        <v>1034.1691794448334</v>
      </c>
      <c r="S143" s="59">
        <f ca="1">AVERAGE(OFFSET($R$3,0,0,'Données projet'!$E$9+1,1))-AVERAGE(OFFSET($H$3,0,0,'Données projet'!$E$9+1,1))</f>
        <v>490.57849401500789</v>
      </c>
      <c r="T143" s="59">
        <f t="shared" si="142"/>
        <v>221.7570623669753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100.96530271013332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100.96530271013332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6.9616666666666687</v>
      </c>
      <c r="AI143" s="13">
        <f>IF('Données projet'!$A$62&gt;35,AI142+AH143-AQ142,IF(A143&lt;'Données projet'!$A$62,$AF$205^A143,IF(A143='Données projet'!$A$62,'Données projet'!$B$62,AI142+AH143-AQ142)))</f>
        <v>352.07333333333304</v>
      </c>
      <c r="AJ143" s="13">
        <f>AI143*VLOOKUP('Données projet'!$B$10,Paramètres!$A$1:$I$89,3,0)*VLOOKUP('Données projet'!$B$10,Paramètres!$A$1:$I$89,5,0)</f>
        <v>236.17079199999981</v>
      </c>
      <c r="AK143" s="13">
        <f t="shared" si="143"/>
        <v>57.614888112211723</v>
      </c>
      <c r="AL143" s="20">
        <f t="shared" si="112"/>
        <v>511.67672619543504</v>
      </c>
      <c r="AM143" s="59">
        <f t="shared" si="113"/>
        <v>801.45044908566933</v>
      </c>
      <c r="AN143" s="59">
        <f ca="1">AVERAGE(OFFSET($AM$3,0,0,'Données projet'!$E$10+1,1))-AVERAGE(OFFSET($H$3,0,0,'Données projet'!$E$10+1,1))</f>
        <v>377.00534440335832</v>
      </c>
      <c r="AO143" s="59">
        <f t="shared" si="144"/>
        <v>131.56029120000656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65.797881621637316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65.797881621637316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212.00000000000009</v>
      </c>
      <c r="BE143" s="13">
        <f>BD143*VLOOKUP('Données projet'!$B$11,Paramètres!$A$1:$I$89,3,0)*VLOOKUP('Données projet'!$B$11,Paramètres!$A$1:$I$89,5,0)</f>
        <v>185.20320000000009</v>
      </c>
      <c r="BF143" s="13">
        <f t="shared" si="145"/>
        <v>46.477875402099386</v>
      </c>
      <c r="BG143" s="20">
        <f t="shared" si="115"/>
        <v>403.5112063253232</v>
      </c>
      <c r="BH143" s="59">
        <f t="shared" si="116"/>
        <v>693.28492921555744</v>
      </c>
      <c r="BI143" s="59">
        <f ca="1">AVERAGE(OFFSET($BH$3,0,0,'Données projet'!$E$11+1,1))-AVERAGE(OFFSET($H$3,0,0,'Données projet'!$E$11+1,1))</f>
        <v>314.1123649635374</v>
      </c>
      <c r="BJ143" s="59">
        <f t="shared" si="146"/>
        <v>274.92342227914889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19.831865154485939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19.831865154485939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212.42519999999985</v>
      </c>
      <c r="CA143" s="13">
        <f t="shared" si="147"/>
        <v>52.465198231787184</v>
      </c>
      <c r="CB143" s="20">
        <f t="shared" si="118"/>
        <v>461.35077692036231</v>
      </c>
      <c r="CC143" s="59">
        <f t="shared" si="119"/>
        <v>751.1244998105966</v>
      </c>
      <c r="CD143" s="59">
        <f ca="1">AVERAGE(OFFSET($CC$3,0,0,'Données projet'!$E$12+1,1))-AVERAGE(OFFSET($H$3,0,0,'Données projet'!$E$12+1,1))</f>
        <v>309.86296291630748</v>
      </c>
      <c r="CE143" s="59">
        <f t="shared" si="148"/>
        <v>301.17633325088661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13.222268363831365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13.222268363831365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404.00000000000017</v>
      </c>
      <c r="CU143" s="17">
        <f>CT143*VLOOKUP('Données projet'!$B$13,Paramètres!$A$1:$I$89,3,0)*VLOOKUP('Données projet'!$B$13,Paramètres!$A$1:$I$89,5,0)</f>
        <v>346.63200000000018</v>
      </c>
      <c r="CV143" s="13">
        <f t="shared" si="149"/>
        <v>80.868615263336864</v>
      </c>
      <c r="CW143" s="20">
        <f t="shared" si="121"/>
        <v>744.56357158364528</v>
      </c>
      <c r="CX143" s="59">
        <f t="shared" si="122"/>
        <v>1034.3372944738796</v>
      </c>
      <c r="CY143" s="59">
        <f ca="1">AVERAGE(OFFSET($CX$3,0,0,'Données projet'!$E$13+1,1))-AVERAGE(OFFSET($H$3,0,0,'Données projet'!$E$13+1,1))</f>
        <v>462.66388549889928</v>
      </c>
      <c r="CZ143" s="59">
        <f t="shared" si="150"/>
        <v>265.3725203415089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67.265207716111703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67.265207716111703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210.25641030000014</v>
      </c>
      <c r="DP143" s="17">
        <f>DO143*VLOOKUP('Données projet'!$B$14,Paramètres!$A$1:$I$89,3,0)*VLOOKUP('Données projet'!$B$14,Paramètres!$A$1:$I$89,5,0)</f>
        <v>164.00000003400012</v>
      </c>
      <c r="DQ143" s="13">
        <f t="shared" si="151"/>
        <v>41.743425916009095</v>
      </c>
      <c r="DR143" s="20">
        <f t="shared" si="124"/>
        <v>358.3364668629327</v>
      </c>
      <c r="DS143" s="59">
        <f t="shared" si="125"/>
        <v>648.11018975316699</v>
      </c>
      <c r="DT143" s="59">
        <f ca="1">AVERAGE(OFFSET($DS$3,0,0,'Données projet'!$E$14+1,1))-AVERAGE(OFFSET($H$3,0,0,'Données projet'!$E$14+1,1))</f>
        <v>206.5241977687125</v>
      </c>
      <c r="DU143" s="59">
        <f t="shared" si="152"/>
        <v>205.25001043771269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7.9154282818996382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7.9154282818996382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155.99999999999991</v>
      </c>
      <c r="EK143" s="17">
        <f>EJ143*VLOOKUP('Données projet'!$B$15,Paramètres!$A$1:$I$89,3,0)*VLOOKUP('Données projet'!$B$15,Paramètres!$A$1:$I$89,5,0)</f>
        <v>136.28159999999994</v>
      </c>
      <c r="EL143" s="13">
        <f t="shared" si="153"/>
        <v>35.443842312892279</v>
      </c>
      <c r="EM143" s="20">
        <f t="shared" si="127"/>
        <v>299.08847869495395</v>
      </c>
      <c r="EN143" s="59">
        <f t="shared" si="128"/>
        <v>588.86220158518825</v>
      </c>
      <c r="EO143" s="59">
        <f ca="1">AVERAGE(OFFSET($EN$3,0,0,'Données projet'!$E$15+1,1))-AVERAGE(OFFSET($H$3,0,0,'Données projet'!$E$15+1,1))</f>
        <v>205.83135724908942</v>
      </c>
      <c r="EP143" s="59">
        <f t="shared" si="154"/>
        <v>193.60053377311405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7.8825192570869138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7.8825192570869138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204.00000000000017</v>
      </c>
      <c r="FF143" s="17">
        <f>FE143*VLOOKUP('Données projet'!$B$16,Paramètres!$A$1:$I$89,3,0)*VLOOKUP('Données projet'!$B$16,Paramètres!$A$1:$I$89,5,0)</f>
        <v>133.66080000000011</v>
      </c>
      <c r="FG143" s="13">
        <f t="shared" si="155"/>
        <v>34.840890682716783</v>
      </c>
      <c r="FH143" s="20">
        <f t="shared" si="130"/>
        <v>293.4737779390652</v>
      </c>
      <c r="FI143" s="59">
        <f t="shared" si="131"/>
        <v>583.2475008292995</v>
      </c>
      <c r="FJ143" s="59">
        <f ca="1">AVERAGE(OFFSET($FI$3,0,0,'Données projet'!$E$16+1,1))-AVERAGE(OFFSET($H$3,0,0,'Données projet'!$E$16+1,1))</f>
        <v>242.76791261317206</v>
      </c>
      <c r="FK143" s="59">
        <f t="shared" si="156"/>
        <v>244.28580264867682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14.641815588264642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14.641815588264642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6.8383333333333338</v>
      </c>
      <c r="FZ143" s="12">
        <f>IF('Données projet'!$A$244&gt;35,FZ142+FY143-GH142,IF(A143&lt;'Données projet'!$A$244,$FW$205^A143,IF(A143='Données projet'!$A$244,'Données projet'!$B$244,FZ142+FY143-GH142)))</f>
        <v>383.01499999999987</v>
      </c>
      <c r="GA143" s="17">
        <f>FZ143*VLOOKUP('Données projet'!$B$17,Paramètres!$A$1:$I$89,3,0)*VLOOKUP('Données projet'!$B$17,Paramètres!$A$1:$I$89,5,0)</f>
        <v>364.4770739999999</v>
      </c>
      <c r="GB143" s="13">
        <f t="shared" si="157"/>
        <v>84.536423025867862</v>
      </c>
      <c r="GC143" s="20">
        <f t="shared" si="133"/>
        <v>782.03184065338644</v>
      </c>
      <c r="GD143" s="59">
        <f t="shared" si="134"/>
        <v>1071.8055635436208</v>
      </c>
      <c r="GE143" s="59">
        <f ca="1">AVERAGE(OFFSET($GD$3,0,0,'Données projet'!$E$17+1,1))-AVERAGE(OFFSET($H$3,0,0,'Données projet'!$E$17+1,1))</f>
        <v>512.71941256120977</v>
      </c>
      <c r="GF143" s="59">
        <f t="shared" si="158"/>
        <v>230.65031527019354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106.18764595376091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106.18764595376091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69.029197151882087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-5.6843418860808015E-14</v>
      </c>
      <c r="GV143" s="17">
        <f>GU143*VLOOKUP('Données projet'!$B$18,Paramètres!$A$1:$I$89,3,0)*VLOOKUP('Données projet'!$B$18,Paramètres!$A$1:$I$89,5,0)</f>
        <v>-2.5006556825246661E-14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180.68917161146683</v>
      </c>
      <c r="HA143" s="59">
        <f t="shared" si="160"/>
        <v>344.42126252322419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7.2395035328689685</v>
      </c>
      <c r="HH143" s="21">
        <f>EXP(-LN(2)/25)*HH142+(1-EXP(-LN(2)/25))/(LN(2)/25)*Calculateur!HC143*Calculateur!HE143*VLOOKUP('Données projet'!$B$18,Paramètres!$A$1:$I$89,3,0)*0.475*44/12</f>
        <v>0.78459264050370858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8.0240961733726763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2.25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8.25</v>
      </c>
      <c r="H144" s="66">
        <f t="shared" si="110"/>
        <v>223.66666666666666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6.8383333333333338</v>
      </c>
      <c r="N144" s="13">
        <f>IF('Données projet'!$A$36&gt;35,N143+M144-V143,IF(A144&lt;'Données projet'!$A$36,$K$205^A144,IF(A144='Données projet'!$A$36,'Données projet'!$B$36,N143+M144-V143)))</f>
        <v>389.85333333333318</v>
      </c>
      <c r="O144" s="13">
        <f>N144*VLOOKUP('Données projet'!$B$9,Paramètres!$A$1:$I$89,3,0)*VLOOKUP('Données projet'!$B$9,Paramètres!$A$1:$I$89,5,0)</f>
        <v>352.73929599999985</v>
      </c>
      <c r="P144" s="13">
        <f t="shared" si="141"/>
        <v>82.126304550864788</v>
      </c>
      <c r="Q144" s="20">
        <f t="shared" si="108"/>
        <v>757.39092095942249</v>
      </c>
      <c r="R144" s="59">
        <f t="shared" si="109"/>
        <v>1047.2263951327477</v>
      </c>
      <c r="S144" s="59">
        <f ca="1">AVERAGE(OFFSET($R$3,0,0,'Données projet'!$E$9+1,1))-AVERAGE(OFFSET($H$3,0,0,'Données projet'!$E$9+1,1))</f>
        <v>490.57849401500789</v>
      </c>
      <c r="T144" s="59">
        <f t="shared" si="142"/>
        <v>221.7570623669753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98.985434706741458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98.985434706741458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6.9616666666666687</v>
      </c>
      <c r="AI144" s="13">
        <f>IF('Données projet'!$A$62&gt;35,AI143+AH144-AQ143,IF(A144&lt;'Données projet'!$A$62,$AF$205^A144,IF(A144='Données projet'!$A$62,'Données projet'!$B$62,AI143+AH144-AQ143)))</f>
        <v>359.03499999999968</v>
      </c>
      <c r="AJ144" s="13">
        <f>AI144*VLOOKUP('Données projet'!$B$10,Paramètres!$A$1:$I$89,3,0)*VLOOKUP('Données projet'!$B$10,Paramètres!$A$1:$I$89,5,0)</f>
        <v>240.8406779999998</v>
      </c>
      <c r="AK144" s="13">
        <f t="shared" si="143"/>
        <v>58.620369622990637</v>
      </c>
      <c r="AL144" s="20">
        <f t="shared" si="112"/>
        <v>521.56132461004165</v>
      </c>
      <c r="AM144" s="59">
        <f t="shared" si="113"/>
        <v>811.39679878336688</v>
      </c>
      <c r="AN144" s="59">
        <f ca="1">AVERAGE(OFFSET($AM$3,0,0,'Données projet'!$E$10+1,1))-AVERAGE(OFFSET($H$3,0,0,'Données projet'!$E$10+1,1))</f>
        <v>377.00534440335832</v>
      </c>
      <c r="AO144" s="59">
        <f t="shared" si="144"/>
        <v>131.56029120000656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64.50762529578202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64.50762529578202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212.00000000000009</v>
      </c>
      <c r="BE144" s="13">
        <f>BD144*VLOOKUP('Données projet'!$B$11,Paramètres!$A$1:$I$89,3,0)*VLOOKUP('Données projet'!$B$11,Paramètres!$A$1:$I$89,5,0)</f>
        <v>185.20320000000009</v>
      </c>
      <c r="BF144" s="13">
        <f t="shared" si="145"/>
        <v>46.477875402099386</v>
      </c>
      <c r="BG144" s="20">
        <f t="shared" si="115"/>
        <v>403.5112063253232</v>
      </c>
      <c r="BH144" s="59">
        <f t="shared" si="116"/>
        <v>693.34668049864854</v>
      </c>
      <c r="BI144" s="59">
        <f ca="1">AVERAGE(OFFSET($BH$3,0,0,'Données projet'!$E$11+1,1))-AVERAGE(OFFSET($H$3,0,0,'Données projet'!$E$11+1,1))</f>
        <v>314.1123649635374</v>
      </c>
      <c r="BJ144" s="59">
        <f t="shared" si="146"/>
        <v>274.92342227914889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19.442974375049808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19.442974375049808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212.42519999999985</v>
      </c>
      <c r="CA144" s="13">
        <f t="shared" si="147"/>
        <v>52.465198231787184</v>
      </c>
      <c r="CB144" s="20">
        <f t="shared" si="118"/>
        <v>461.35077692036231</v>
      </c>
      <c r="CC144" s="59">
        <f t="shared" si="119"/>
        <v>751.18625109368759</v>
      </c>
      <c r="CD144" s="59">
        <f ca="1">AVERAGE(OFFSET($CC$3,0,0,'Données projet'!$E$12+1,1))-AVERAGE(OFFSET($H$3,0,0,'Données projet'!$E$12+1,1))</f>
        <v>309.86296291630748</v>
      </c>
      <c r="CE144" s="59">
        <f t="shared" si="148"/>
        <v>301.17633325088661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12.962987746004002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12.962987746004002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404.00000000000017</v>
      </c>
      <c r="CU144" s="17">
        <f>CT144*VLOOKUP('Données projet'!$B$13,Paramètres!$A$1:$I$89,3,0)*VLOOKUP('Données projet'!$B$13,Paramètres!$A$1:$I$89,5,0)</f>
        <v>346.63200000000018</v>
      </c>
      <c r="CV144" s="13">
        <f t="shared" si="149"/>
        <v>80.868615263336864</v>
      </c>
      <c r="CW144" s="20">
        <f t="shared" si="121"/>
        <v>744.56357158364528</v>
      </c>
      <c r="CX144" s="59">
        <f t="shared" si="122"/>
        <v>1034.3990457569705</v>
      </c>
      <c r="CY144" s="59">
        <f ca="1">AVERAGE(OFFSET($CX$3,0,0,'Données projet'!$E$13+1,1))-AVERAGE(OFFSET($H$3,0,0,'Données projet'!$E$13+1,1))</f>
        <v>462.66388549889928</v>
      </c>
      <c r="CZ144" s="59">
        <f t="shared" si="150"/>
        <v>265.3725203415089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65.946178020524314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65.946178020524314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210.25641030000014</v>
      </c>
      <c r="DP144" s="17">
        <f>DO144*VLOOKUP('Données projet'!$B$14,Paramètres!$A$1:$I$89,3,0)*VLOOKUP('Données projet'!$B$14,Paramètres!$A$1:$I$89,5,0)</f>
        <v>164.00000003400012</v>
      </c>
      <c r="DQ144" s="13">
        <f t="shared" si="151"/>
        <v>41.743425916009095</v>
      </c>
      <c r="DR144" s="20">
        <f t="shared" si="124"/>
        <v>358.3364668629327</v>
      </c>
      <c r="DS144" s="59">
        <f t="shared" si="125"/>
        <v>648.17194103625798</v>
      </c>
      <c r="DT144" s="59">
        <f ca="1">AVERAGE(OFFSET($DS$3,0,0,'Données projet'!$E$14+1,1))-AVERAGE(OFFSET($H$3,0,0,'Données projet'!$E$14+1,1))</f>
        <v>206.5241977687125</v>
      </c>
      <c r="DU144" s="59">
        <f t="shared" si="152"/>
        <v>205.25001043771269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7.7602115612261189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7.7602115612261189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155.99999999999991</v>
      </c>
      <c r="EK144" s="17">
        <f>EJ144*VLOOKUP('Données projet'!$B$15,Paramètres!$A$1:$I$89,3,0)*VLOOKUP('Données projet'!$B$15,Paramètres!$A$1:$I$89,5,0)</f>
        <v>136.28159999999994</v>
      </c>
      <c r="EL144" s="13">
        <f t="shared" si="153"/>
        <v>35.443842312892279</v>
      </c>
      <c r="EM144" s="20">
        <f t="shared" si="127"/>
        <v>299.08847869495395</v>
      </c>
      <c r="EN144" s="59">
        <f t="shared" si="128"/>
        <v>588.92395286827923</v>
      </c>
      <c r="EO144" s="59">
        <f ca="1">AVERAGE(OFFSET($EN$3,0,0,'Données projet'!$E$15+1,1))-AVERAGE(OFFSET($H$3,0,0,'Données projet'!$E$15+1,1))</f>
        <v>205.83135724908942</v>
      </c>
      <c r="EP144" s="59">
        <f t="shared" si="154"/>
        <v>193.60053377311405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7.7279478623174489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7.7279478623174489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204.00000000000017</v>
      </c>
      <c r="FF144" s="17">
        <f>FE144*VLOOKUP('Données projet'!$B$16,Paramètres!$A$1:$I$89,3,0)*VLOOKUP('Données projet'!$B$16,Paramètres!$A$1:$I$89,5,0)</f>
        <v>133.66080000000011</v>
      </c>
      <c r="FG144" s="13">
        <f t="shared" si="155"/>
        <v>34.840890682716783</v>
      </c>
      <c r="FH144" s="20">
        <f t="shared" si="130"/>
        <v>293.4737779390652</v>
      </c>
      <c r="FI144" s="59">
        <f t="shared" si="131"/>
        <v>583.30925211239048</v>
      </c>
      <c r="FJ144" s="59">
        <f ca="1">AVERAGE(OFFSET($FI$3,0,0,'Données projet'!$E$16+1,1))-AVERAGE(OFFSET($H$3,0,0,'Données projet'!$E$16+1,1))</f>
        <v>242.76791261317206</v>
      </c>
      <c r="FK144" s="59">
        <f t="shared" si="156"/>
        <v>244.28580264867682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14.354698515204454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14.354698515204454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6.8383333333333338</v>
      </c>
      <c r="FZ144" s="12">
        <f>IF('Données projet'!$A$244&gt;35,FZ143+FY144-GH143,IF(A144&lt;'Données projet'!$A$244,$FW$205^A144,IF(A144='Données projet'!$A$244,'Données projet'!$B$244,FZ143+FY144-GH143)))</f>
        <v>389.85333333333318</v>
      </c>
      <c r="GA144" s="17">
        <f>FZ144*VLOOKUP('Données projet'!$B$17,Paramètres!$A$1:$I$89,3,0)*VLOOKUP('Données projet'!$B$17,Paramètres!$A$1:$I$89,5,0)</f>
        <v>370.98443199999986</v>
      </c>
      <c r="GB144" s="13">
        <f t="shared" si="157"/>
        <v>85.868672391450659</v>
      </c>
      <c r="GC144" s="20">
        <f t="shared" si="133"/>
        <v>795.68582348177642</v>
      </c>
      <c r="GD144" s="59">
        <f t="shared" si="134"/>
        <v>1085.5212976551018</v>
      </c>
      <c r="GE144" s="59">
        <f ca="1">AVERAGE(OFFSET($GD$3,0,0,'Données projet'!$E$17+1,1))-AVERAGE(OFFSET($H$3,0,0,'Données projet'!$E$17+1,1))</f>
        <v>512.71941256120977</v>
      </c>
      <c r="GF144" s="59">
        <f t="shared" si="158"/>
        <v>230.65031527019354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104.10537098467637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104.10537098467637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69.046038410906903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-5.6843418860808015E-14</v>
      </c>
      <c r="GV144" s="17">
        <f>GU144*VLOOKUP('Données projet'!$B$18,Paramètres!$A$1:$I$89,3,0)*VLOOKUP('Données projet'!$B$18,Paramètres!$A$1:$I$89,5,0)</f>
        <v>-2.5006556825246661E-14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180.68917161146683</v>
      </c>
      <c r="HA144" s="59">
        <f t="shared" si="160"/>
        <v>344.42126252322419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7.0975412842505525</v>
      </c>
      <c r="HH144" s="21">
        <f>EXP(-LN(2)/25)*HH143+(1-EXP(-LN(2)/25))/(LN(2)/25)*Calculateur!HC144*Calculateur!HE144*VLOOKUP('Données projet'!$B$18,Paramètres!$A$1:$I$89,3,0)*0.475*44/12</f>
        <v>0.7631379134892009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7.8606791977397537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2.25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8.25</v>
      </c>
      <c r="H145" s="66">
        <f t="shared" si="110"/>
        <v>223.66666666666666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6.8383333333333338</v>
      </c>
      <c r="N145" s="13">
        <f>IF('Données projet'!$A$36&gt;35,N144+M145-V144,IF(A145&lt;'Données projet'!$A$36,$K$205^A145,IF(A145='Données projet'!$A$36,'Données projet'!$B$36,N144+M145-V144)))</f>
        <v>396.69166666666649</v>
      </c>
      <c r="O145" s="13">
        <f>N145*VLOOKUP('Données projet'!$B$9,Paramètres!$A$1:$I$89,3,0)*VLOOKUP('Données projet'!$B$9,Paramètres!$A$1:$I$89,5,0)</f>
        <v>358.92661999999984</v>
      </c>
      <c r="P145" s="13">
        <f t="shared" si="141"/>
        <v>83.397892159874218</v>
      </c>
      <c r="Q145" s="20">
        <f t="shared" si="108"/>
        <v>770.38185867844732</v>
      </c>
      <c r="R145" s="59">
        <f t="shared" si="109"/>
        <v>1060.2780128881573</v>
      </c>
      <c r="S145" s="59">
        <f ca="1">AVERAGE(OFFSET($R$3,0,0,'Données projet'!$E$9+1,1))-AVERAGE(OFFSET($H$3,0,0,'Données projet'!$E$9+1,1))</f>
        <v>490.57849401500789</v>
      </c>
      <c r="T145" s="59">
        <f t="shared" si="142"/>
        <v>221.7570623669753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97.044390707295875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97.044390707295875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6.9616666666666687</v>
      </c>
      <c r="AI145" s="13">
        <f>IF('Données projet'!$A$62&gt;35,AI144+AH145-AQ144,IF(A145&lt;'Données projet'!$A$62,$AF$205^A145,IF(A145='Données projet'!$A$62,'Données projet'!$B$62,AI144+AH145-AQ144)))</f>
        <v>365.99666666666633</v>
      </c>
      <c r="AJ145" s="13">
        <f>AI145*VLOOKUP('Données projet'!$B$10,Paramètres!$A$1:$I$89,3,0)*VLOOKUP('Données projet'!$B$10,Paramètres!$A$1:$I$89,5,0)</f>
        <v>245.51056399999979</v>
      </c>
      <c r="AK145" s="13">
        <f t="shared" si="143"/>
        <v>59.623584182060625</v>
      </c>
      <c r="AL145" s="20">
        <f t="shared" si="112"/>
        <v>531.44197475042176</v>
      </c>
      <c r="AM145" s="59">
        <f t="shared" si="113"/>
        <v>821.3381289601316</v>
      </c>
      <c r="AN145" s="59">
        <f ca="1">AVERAGE(OFFSET($AM$3,0,0,'Données projet'!$E$10+1,1))-AVERAGE(OFFSET($H$3,0,0,'Données projet'!$E$10+1,1))</f>
        <v>377.00534440335832</v>
      </c>
      <c r="AO145" s="59">
        <f t="shared" si="144"/>
        <v>131.56029120000656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63.242670109498093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63.242670109498093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212.00000000000009</v>
      </c>
      <c r="BE145" s="13">
        <f>BD145*VLOOKUP('Données projet'!$B$11,Paramètres!$A$1:$I$89,3,0)*VLOOKUP('Données projet'!$B$11,Paramètres!$A$1:$I$89,5,0)</f>
        <v>185.20320000000009</v>
      </c>
      <c r="BF145" s="13">
        <f t="shared" si="145"/>
        <v>46.477875402099386</v>
      </c>
      <c r="BG145" s="20">
        <f t="shared" si="115"/>
        <v>403.5112063253232</v>
      </c>
      <c r="BH145" s="59">
        <f t="shared" si="116"/>
        <v>693.40736053503315</v>
      </c>
      <c r="BI145" s="59">
        <f ca="1">AVERAGE(OFFSET($BH$3,0,0,'Données projet'!$E$11+1,1))-AVERAGE(OFFSET($H$3,0,0,'Données projet'!$E$11+1,1))</f>
        <v>314.1123649635374</v>
      </c>
      <c r="BJ145" s="59">
        <f t="shared" si="146"/>
        <v>274.92342227914889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19.061709506598465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19.061709506598465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212.42519999999985</v>
      </c>
      <c r="CA145" s="13">
        <f t="shared" si="147"/>
        <v>52.465198231787184</v>
      </c>
      <c r="CB145" s="20">
        <f t="shared" si="118"/>
        <v>461.35077692036231</v>
      </c>
      <c r="CC145" s="59">
        <f t="shared" si="119"/>
        <v>751.2469311300722</v>
      </c>
      <c r="CD145" s="59">
        <f ca="1">AVERAGE(OFFSET($CC$3,0,0,'Données projet'!$E$12+1,1))-AVERAGE(OFFSET($H$3,0,0,'Données projet'!$E$12+1,1))</f>
        <v>309.86296291630748</v>
      </c>
      <c r="CE145" s="59">
        <f t="shared" si="148"/>
        <v>301.17633325088661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12.708791462946673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12.708791462946673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404.00000000000017</v>
      </c>
      <c r="CU145" s="17">
        <f>CT145*VLOOKUP('Données projet'!$B$13,Paramètres!$A$1:$I$89,3,0)*VLOOKUP('Données projet'!$B$13,Paramètres!$A$1:$I$89,5,0)</f>
        <v>346.63200000000018</v>
      </c>
      <c r="CV145" s="13">
        <f t="shared" si="149"/>
        <v>80.868615263336864</v>
      </c>
      <c r="CW145" s="20">
        <f t="shared" si="121"/>
        <v>744.56357158364528</v>
      </c>
      <c r="CX145" s="59">
        <f t="shared" si="122"/>
        <v>1034.4597257933551</v>
      </c>
      <c r="CY145" s="59">
        <f ca="1">AVERAGE(OFFSET($CX$3,0,0,'Données projet'!$E$13+1,1))-AVERAGE(OFFSET($H$3,0,0,'Données projet'!$E$13+1,1))</f>
        <v>462.66388549889928</v>
      </c>
      <c r="CZ145" s="59">
        <f t="shared" si="150"/>
        <v>265.3725203415089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64.65301369273871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64.65301369273871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210.25641030000014</v>
      </c>
      <c r="DP145" s="17">
        <f>DO145*VLOOKUP('Données projet'!$B$14,Paramètres!$A$1:$I$89,3,0)*VLOOKUP('Données projet'!$B$14,Paramètres!$A$1:$I$89,5,0)</f>
        <v>164.00000003400012</v>
      </c>
      <c r="DQ145" s="13">
        <f t="shared" si="151"/>
        <v>41.743425916009095</v>
      </c>
      <c r="DR145" s="20">
        <f t="shared" si="124"/>
        <v>358.3364668629327</v>
      </c>
      <c r="DS145" s="59">
        <f t="shared" si="125"/>
        <v>648.23262107264259</v>
      </c>
      <c r="DT145" s="59">
        <f ca="1">AVERAGE(OFFSET($DS$3,0,0,'Données projet'!$E$14+1,1))-AVERAGE(OFFSET($H$3,0,0,'Données projet'!$E$14+1,1))</f>
        <v>206.5241977687125</v>
      </c>
      <c r="DU145" s="59">
        <f t="shared" si="152"/>
        <v>205.25001043771269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7.608038545772156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7.608038545772156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155.99999999999991</v>
      </c>
      <c r="EK145" s="17">
        <f>EJ145*VLOOKUP('Données projet'!$B$15,Paramètres!$A$1:$I$89,3,0)*VLOOKUP('Données projet'!$B$15,Paramètres!$A$1:$I$89,5,0)</f>
        <v>136.28159999999994</v>
      </c>
      <c r="EL145" s="13">
        <f t="shared" si="153"/>
        <v>35.443842312892279</v>
      </c>
      <c r="EM145" s="20">
        <f t="shared" si="127"/>
        <v>299.08847869495395</v>
      </c>
      <c r="EN145" s="59">
        <f t="shared" si="128"/>
        <v>588.98463290466384</v>
      </c>
      <c r="EO145" s="59">
        <f ca="1">AVERAGE(OFFSET($EN$3,0,0,'Données projet'!$E$15+1,1))-AVERAGE(OFFSET($H$3,0,0,'Données projet'!$E$15+1,1))</f>
        <v>205.83135724908942</v>
      </c>
      <c r="EP145" s="59">
        <f t="shared" si="154"/>
        <v>193.60053377311405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7.5764075183201722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7.5764075183201722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204.00000000000017</v>
      </c>
      <c r="FF145" s="17">
        <f>FE145*VLOOKUP('Données projet'!$B$16,Paramètres!$A$1:$I$89,3,0)*VLOOKUP('Données projet'!$B$16,Paramètres!$A$1:$I$89,5,0)</f>
        <v>133.66080000000011</v>
      </c>
      <c r="FG145" s="13">
        <f t="shared" si="155"/>
        <v>34.840890682716783</v>
      </c>
      <c r="FH145" s="20">
        <f t="shared" si="130"/>
        <v>293.4737779390652</v>
      </c>
      <c r="FI145" s="59">
        <f t="shared" si="131"/>
        <v>583.36993214877509</v>
      </c>
      <c r="FJ145" s="59">
        <f ca="1">AVERAGE(OFFSET($FI$3,0,0,'Données projet'!$E$16+1,1))-AVERAGE(OFFSET($H$3,0,0,'Données projet'!$E$16+1,1))</f>
        <v>242.76791261317206</v>
      </c>
      <c r="FK145" s="59">
        <f t="shared" si="156"/>
        <v>244.28580264867682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14.073211632822854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14.073211632822854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6.8383333333333338</v>
      </c>
      <c r="FZ145" s="12">
        <f>IF('Données projet'!$A$244&gt;35,FZ144+FY145-GH144,IF(A145&lt;'Données projet'!$A$244,$FW$205^A145,IF(A145='Données projet'!$A$244,'Données projet'!$B$244,FZ144+FY145-GH144)))</f>
        <v>396.69166666666649</v>
      </c>
      <c r="GA145" s="17">
        <f>FZ145*VLOOKUP('Données projet'!$B$17,Paramètres!$A$1:$I$89,3,0)*VLOOKUP('Données projet'!$B$17,Paramètres!$A$1:$I$89,5,0)</f>
        <v>377.49178999999987</v>
      </c>
      <c r="GB145" s="13">
        <f t="shared" si="157"/>
        <v>87.198204268140003</v>
      </c>
      <c r="GC145" s="20">
        <f t="shared" si="133"/>
        <v>809.33507335034358</v>
      </c>
      <c r="GD145" s="59">
        <f t="shared" si="134"/>
        <v>1099.2312275600534</v>
      </c>
      <c r="GE145" s="59">
        <f ca="1">AVERAGE(OFFSET($GD$3,0,0,'Données projet'!$E$17+1,1))-AVERAGE(OFFSET($H$3,0,0,'Données projet'!$E$17+1,1))</f>
        <v>512.71941256120977</v>
      </c>
      <c r="GF145" s="59">
        <f t="shared" si="158"/>
        <v>230.65031527019354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102.06392815767326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102.06392815767326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69.062587511739068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-5.6843418860808015E-14</v>
      </c>
      <c r="GV145" s="17">
        <f>GU145*VLOOKUP('Données projet'!$B$18,Paramètres!$A$1:$I$89,3,0)*VLOOKUP('Données projet'!$B$18,Paramètres!$A$1:$I$89,5,0)</f>
        <v>-2.5006556825246661E-14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180.68917161146683</v>
      </c>
      <c r="HA145" s="59">
        <f t="shared" si="160"/>
        <v>344.42126252322419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6.9583628287391219</v>
      </c>
      <c r="HH145" s="21">
        <f>EXP(-LN(2)/25)*HH144+(1-EXP(-LN(2)/25))/(LN(2)/25)*Calculateur!HC145*Calculateur!HE145*VLOOKUP('Données projet'!$B$18,Paramètres!$A$1:$I$89,3,0)*0.475*44/12</f>
        <v>0.74226986711316001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7.7006326958522822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2.25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8.25</v>
      </c>
      <c r="H146" s="66">
        <f t="shared" si="110"/>
        <v>223.66666666666666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6.8383333333333338</v>
      </c>
      <c r="N146" s="13">
        <f>IF('Données projet'!$A$36&gt;35,N145+M146-V145,IF(A146&lt;'Données projet'!$A$36,$K$205^A146,IF(A146='Données projet'!$A$36,'Données projet'!$B$36,N145+M146-V145)))</f>
        <v>403.5299999999998</v>
      </c>
      <c r="O146" s="13">
        <f>N146*VLOOKUP('Données projet'!$B$9,Paramètres!$A$1:$I$89,3,0)*VLOOKUP('Données projet'!$B$9,Paramètres!$A$1:$I$89,5,0)</f>
        <v>365.11394399999983</v>
      </c>
      <c r="P146" s="13">
        <f t="shared" si="141"/>
        <v>84.666930688368183</v>
      </c>
      <c r="Q146" s="20">
        <f t="shared" si="108"/>
        <v>783.36835674890756</v>
      </c>
      <c r="R146" s="59">
        <f t="shared" si="109"/>
        <v>1073.324138332031</v>
      </c>
      <c r="S146" s="59">
        <f ca="1">AVERAGE(OFFSET($R$3,0,0,'Données projet'!$E$9+1,1))-AVERAGE(OFFSET($H$3,0,0,'Données projet'!$E$9+1,1))</f>
        <v>490.57849401500789</v>
      </c>
      <c r="T146" s="59">
        <f t="shared" si="142"/>
        <v>221.7570623669753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95.141409396759485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95.141409396759485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6.9616666666666687</v>
      </c>
      <c r="AI146" s="13">
        <f>IF('Données projet'!$A$62&gt;35,AI145+AH146-AQ145,IF(A146&lt;'Données projet'!$A$62,$AF$205^A146,IF(A146='Données projet'!$A$62,'Données projet'!$B$62,AI145+AH146-AQ145)))</f>
        <v>372.95833333333297</v>
      </c>
      <c r="AJ146" s="13">
        <f>AI146*VLOOKUP('Données projet'!$B$10,Paramètres!$A$1:$I$89,3,0)*VLOOKUP('Données projet'!$B$10,Paramètres!$A$1:$I$89,5,0)</f>
        <v>250.18044999999975</v>
      </c>
      <c r="AK146" s="13">
        <f t="shared" si="143"/>
        <v>60.624579881144626</v>
      </c>
      <c r="AL146" s="20">
        <f t="shared" si="112"/>
        <v>541.3187603763264</v>
      </c>
      <c r="AM146" s="59">
        <f t="shared" si="113"/>
        <v>831.27454195944983</v>
      </c>
      <c r="AN146" s="59">
        <f ca="1">AVERAGE(OFFSET($AM$3,0,0,'Données projet'!$E$10+1,1))-AVERAGE(OFFSET($H$3,0,0,'Données projet'!$E$10+1,1))</f>
        <v>377.00534440335832</v>
      </c>
      <c r="AO146" s="59">
        <f t="shared" si="144"/>
        <v>131.56029120000656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62.002519922870711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62.002519922870711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212.00000000000009</v>
      </c>
      <c r="BE146" s="13">
        <f>BD146*VLOOKUP('Données projet'!$B$11,Paramètres!$A$1:$I$89,3,0)*VLOOKUP('Données projet'!$B$11,Paramètres!$A$1:$I$89,5,0)</f>
        <v>185.20320000000009</v>
      </c>
      <c r="BF146" s="13">
        <f t="shared" si="145"/>
        <v>46.477875402099386</v>
      </c>
      <c r="BG146" s="20">
        <f t="shared" si="115"/>
        <v>403.5112063253232</v>
      </c>
      <c r="BH146" s="59">
        <f t="shared" si="116"/>
        <v>693.46698790844675</v>
      </c>
      <c r="BI146" s="59">
        <f ca="1">AVERAGE(OFFSET($BH$3,0,0,'Données projet'!$E$11+1,1))-AVERAGE(OFFSET($H$3,0,0,'Données projet'!$E$11+1,1))</f>
        <v>314.1123649635374</v>
      </c>
      <c r="BJ146" s="59">
        <f t="shared" si="146"/>
        <v>274.92342227914889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18.687921009668848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18.687921009668848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212.42519999999985</v>
      </c>
      <c r="CA146" s="13">
        <f t="shared" si="147"/>
        <v>52.465198231787184</v>
      </c>
      <c r="CB146" s="20">
        <f t="shared" si="118"/>
        <v>461.35077692036231</v>
      </c>
      <c r="CC146" s="59">
        <f t="shared" si="119"/>
        <v>751.3065585034858</v>
      </c>
      <c r="CD146" s="59">
        <f ca="1">AVERAGE(OFFSET($CC$3,0,0,'Données projet'!$E$12+1,1))-AVERAGE(OFFSET($H$3,0,0,'Données projet'!$E$12+1,1))</f>
        <v>309.86296291630748</v>
      </c>
      <c r="CE146" s="59">
        <f t="shared" si="148"/>
        <v>301.17633325088661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12.459579813955674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12.459579813955674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404.00000000000017</v>
      </c>
      <c r="CU146" s="17">
        <f>CT146*VLOOKUP('Données projet'!$B$13,Paramètres!$A$1:$I$89,3,0)*VLOOKUP('Données projet'!$B$13,Paramètres!$A$1:$I$89,5,0)</f>
        <v>346.63200000000018</v>
      </c>
      <c r="CV146" s="13">
        <f t="shared" si="149"/>
        <v>80.868615263336864</v>
      </c>
      <c r="CW146" s="20">
        <f t="shared" si="121"/>
        <v>744.56357158364528</v>
      </c>
      <c r="CX146" s="59">
        <f t="shared" si="122"/>
        <v>1034.5193531667687</v>
      </c>
      <c r="CY146" s="59">
        <f ca="1">AVERAGE(OFFSET($CX$3,0,0,'Données projet'!$E$13+1,1))-AVERAGE(OFFSET($H$3,0,0,'Données projet'!$E$13+1,1))</f>
        <v>462.66388549889928</v>
      </c>
      <c r="CZ146" s="59">
        <f t="shared" si="150"/>
        <v>265.3725203415089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63.38520752866863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63.38520752866863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210.25641030000014</v>
      </c>
      <c r="DP146" s="17">
        <f>DO146*VLOOKUP('Données projet'!$B$14,Paramètres!$A$1:$I$89,3,0)*VLOOKUP('Données projet'!$B$14,Paramètres!$A$1:$I$89,5,0)</f>
        <v>164.00000003400012</v>
      </c>
      <c r="DQ146" s="13">
        <f t="shared" si="151"/>
        <v>41.743425916009095</v>
      </c>
      <c r="DR146" s="20">
        <f t="shared" si="124"/>
        <v>358.3364668629327</v>
      </c>
      <c r="DS146" s="59">
        <f t="shared" si="125"/>
        <v>648.29224844605619</v>
      </c>
      <c r="DT146" s="59">
        <f ca="1">AVERAGE(OFFSET($DS$3,0,0,'Données projet'!$E$14+1,1))-AVERAGE(OFFSET($H$3,0,0,'Données projet'!$E$14+1,1))</f>
        <v>206.5241977687125</v>
      </c>
      <c r="DU146" s="59">
        <f t="shared" si="152"/>
        <v>205.25001043771269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7.4588495503348708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7.4588495503348708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155.99999999999991</v>
      </c>
      <c r="EK146" s="17">
        <f>EJ146*VLOOKUP('Données projet'!$B$15,Paramètres!$A$1:$I$89,3,0)*VLOOKUP('Données projet'!$B$15,Paramètres!$A$1:$I$89,5,0)</f>
        <v>136.28159999999994</v>
      </c>
      <c r="EL146" s="13">
        <f t="shared" si="153"/>
        <v>35.443842312892279</v>
      </c>
      <c r="EM146" s="20">
        <f t="shared" si="127"/>
        <v>299.08847869495395</v>
      </c>
      <c r="EN146" s="59">
        <f t="shared" si="128"/>
        <v>589.04426027807745</v>
      </c>
      <c r="EO146" s="59">
        <f ca="1">AVERAGE(OFFSET($EN$3,0,0,'Données projet'!$E$15+1,1))-AVERAGE(OFFSET($H$3,0,0,'Données projet'!$E$15+1,1))</f>
        <v>205.83135724908942</v>
      </c>
      <c r="EP146" s="59">
        <f t="shared" si="154"/>
        <v>193.60053377311405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7.4278387880381986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7.4278387880381986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204.00000000000017</v>
      </c>
      <c r="FF146" s="17">
        <f>FE146*VLOOKUP('Données projet'!$B$16,Paramètres!$A$1:$I$89,3,0)*VLOOKUP('Données projet'!$B$16,Paramètres!$A$1:$I$89,5,0)</f>
        <v>133.66080000000011</v>
      </c>
      <c r="FG146" s="13">
        <f t="shared" si="155"/>
        <v>34.840890682716783</v>
      </c>
      <c r="FH146" s="20">
        <f t="shared" si="130"/>
        <v>293.4737779390652</v>
      </c>
      <c r="FI146" s="59">
        <f t="shared" si="131"/>
        <v>583.4295595221887</v>
      </c>
      <c r="FJ146" s="59">
        <f ca="1">AVERAGE(OFFSET($FI$3,0,0,'Données projet'!$E$16+1,1))-AVERAGE(OFFSET($H$3,0,0,'Données projet'!$E$16+1,1))</f>
        <v>242.76791261317206</v>
      </c>
      <c r="FK146" s="59">
        <f t="shared" si="156"/>
        <v>244.28580264867682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13.797244536514713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13.797244536514713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6.8383333333333338</v>
      </c>
      <c r="FZ146" s="12">
        <f>IF('Données projet'!$A$244&gt;35,FZ145+FY146-GH145,IF(A146&lt;'Données projet'!$A$244,$FW$205^A146,IF(A146='Données projet'!$A$244,'Données projet'!$B$244,FZ145+FY146-GH145)))</f>
        <v>403.5299999999998</v>
      </c>
      <c r="GA146" s="17">
        <f>FZ146*VLOOKUP('Données projet'!$B$17,Paramètres!$A$1:$I$89,3,0)*VLOOKUP('Données projet'!$B$17,Paramètres!$A$1:$I$89,5,0)</f>
        <v>383.99914799999982</v>
      </c>
      <c r="GB146" s="13">
        <f t="shared" si="157"/>
        <v>88.525070906683155</v>
      </c>
      <c r="GC146" s="20">
        <f t="shared" si="133"/>
        <v>822.97968126247281</v>
      </c>
      <c r="GD146" s="59">
        <f t="shared" si="134"/>
        <v>1112.9354628455962</v>
      </c>
      <c r="GE146" s="59">
        <f ca="1">AVERAGE(OFFSET($GD$3,0,0,'Données projet'!$E$17+1,1))-AVERAGE(OFFSET($H$3,0,0,'Données projet'!$E$17+1,1))</f>
        <v>512.71941256120977</v>
      </c>
      <c r="GF146" s="59">
        <f t="shared" si="158"/>
        <v>230.65031527019354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100.0625167793505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100.0625167793505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69.078849522670041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-5.6843418860808015E-14</v>
      </c>
      <c r="GV146" s="17">
        <f>GU146*VLOOKUP('Données projet'!$B$18,Paramètres!$A$1:$I$89,3,0)*VLOOKUP('Données projet'!$B$18,Paramètres!$A$1:$I$89,5,0)</f>
        <v>-2.5006556825246661E-14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180.68917161146683</v>
      </c>
      <c r="HA146" s="59">
        <f t="shared" si="160"/>
        <v>344.42126252322419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6.821913577849795</v>
      </c>
      <c r="HH146" s="21">
        <f>EXP(-LN(2)/25)*HH145+(1-EXP(-LN(2)/25))/(LN(2)/25)*Calculateur!HC146*Calculateur!HE146*VLOOKUP('Données projet'!$B$18,Paramètres!$A$1:$I$89,3,0)*0.475*44/12</f>
        <v>0.72197245856267478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7.54388603641247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2.25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8.25</v>
      </c>
      <c r="H147" s="66">
        <f t="shared" si="110"/>
        <v>223.66666666666666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6.8383333333333338</v>
      </c>
      <c r="N147" s="13">
        <f>IF('Données projet'!$A$36&gt;35,N146+M147-V146,IF(A147&lt;'Données projet'!$A$36,$K$205^A147,IF(A147='Données projet'!$A$36,'Données projet'!$B$36,N146+M147-V146)))</f>
        <v>410.36833333333311</v>
      </c>
      <c r="O147" s="13">
        <f>N147*VLOOKUP('Données projet'!$B$9,Paramètres!$A$1:$I$89,3,0)*VLOOKUP('Données projet'!$B$9,Paramètres!$A$1:$I$89,5,0)</f>
        <v>371.30126799999977</v>
      </c>
      <c r="P147" s="13">
        <f t="shared" si="141"/>
        <v>85.933468319082195</v>
      </c>
      <c r="Q147" s="20">
        <f t="shared" si="108"/>
        <v>796.35049908906774</v>
      </c>
      <c r="R147" s="59">
        <f t="shared" si="109"/>
        <v>1086.3648736439829</v>
      </c>
      <c r="S147" s="59">
        <f ca="1">AVERAGE(OFFSET($R$3,0,0,'Données projet'!$E$9+1,1))-AVERAGE(OFFSET($H$3,0,0,'Données projet'!$E$9+1,1))</f>
        <v>490.57849401500789</v>
      </c>
      <c r="T147" s="59">
        <f t="shared" si="142"/>
        <v>221.7570623669753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93.275744389018726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93.275744389018726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379.92</v>
      </c>
      <c r="AG147" s="12">
        <f>VLOOKUP(A147,'Données projet'!$A$61:$I$81,9,0)</f>
        <v>6.9616666666666687</v>
      </c>
      <c r="AH147" s="12">
        <f t="array" ref="AH147">INDEX(AG:AG,MIN(IF(ISNUMBER(AG147:AG343),ROW(AG147:AG343),"")))</f>
        <v>6.9616666666666687</v>
      </c>
      <c r="AI147" s="13">
        <f>IF('Données projet'!$A$62&gt;35,AI146+AH147-AQ146,IF(A147&lt;'Données projet'!$A$62,$AF$205^A147,IF(A147='Données projet'!$A$62,'Données projet'!$B$62,AI146+AH147-AQ146)))</f>
        <v>379.91999999999962</v>
      </c>
      <c r="AJ147" s="13">
        <f>AI147*VLOOKUP('Données projet'!$B$10,Paramètres!$A$1:$I$89,3,0)*VLOOKUP('Données projet'!$B$10,Paramètres!$A$1:$I$89,5,0)</f>
        <v>254.85033599999974</v>
      </c>
      <c r="AK147" s="13">
        <f t="shared" si="143"/>
        <v>61.623402913840565</v>
      </c>
      <c r="AL147" s="20">
        <f t="shared" si="112"/>
        <v>551.19176194160514</v>
      </c>
      <c r="AM147" s="59">
        <f t="shared" si="113"/>
        <v>841.20613649652023</v>
      </c>
      <c r="AN147" s="59">
        <f ca="1">AVERAGE(OFFSET($AM$3,0,0,'Données projet'!$E$10+1,1))-AVERAGE(OFFSET($H$3,0,0,'Données projet'!$E$10+1,1))</f>
        <v>377.00534440335832</v>
      </c>
      <c r="AO147" s="59">
        <f t="shared" si="144"/>
        <v>131.56029120000656</v>
      </c>
      <c r="AP147" s="15">
        <f>IF(ISNA(VLOOKUP(A147,'Données projet'!$A$61:$I$81,3,0)),0,VLOOKUP(A147,'Données projet'!$A$61:$I$81,3,0))</f>
        <v>10</v>
      </c>
      <c r="AQ147" s="15">
        <f>IF(ISNA(VLOOKUP(A147,'Données projet'!$A$61:$I$81,4,0)),0,VLOOKUP(A147,'Données projet'!$A$61:$I$81,4,0))</f>
        <v>55.05</v>
      </c>
      <c r="AR147" s="16">
        <f>IF(ISNA(VLOOKUP(A147,'Données projet'!$A$61:$I$81,5,0)),0%,VLOOKUP(A147,'Données projet'!$A$61:$I$81,5,0)*VLOOKUP('Données projet'!$B$10,Paramètres!$A$1:$I$89,7,0))</f>
        <v>0.53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82.422508204265824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82.422508204265824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212.00000000000009</v>
      </c>
      <c r="BE147" s="13">
        <f>BD147*VLOOKUP('Données projet'!$B$11,Paramètres!$A$1:$I$89,3,0)*VLOOKUP('Données projet'!$B$11,Paramètres!$A$1:$I$89,5,0)</f>
        <v>185.20320000000009</v>
      </c>
      <c r="BF147" s="13">
        <f t="shared" si="145"/>
        <v>46.477875402099386</v>
      </c>
      <c r="BG147" s="20">
        <f t="shared" si="115"/>
        <v>403.5112063253232</v>
      </c>
      <c r="BH147" s="59">
        <f t="shared" si="116"/>
        <v>693.52558088023829</v>
      </c>
      <c r="BI147" s="59">
        <f ca="1">AVERAGE(OFFSET($BH$3,0,0,'Données projet'!$E$11+1,1))-AVERAGE(OFFSET($H$3,0,0,'Données projet'!$E$11+1,1))</f>
        <v>314.1123649635374</v>
      </c>
      <c r="BJ147" s="59">
        <f t="shared" si="146"/>
        <v>274.92342227914889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18.321462277175549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18.321462277175549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212.42519999999985</v>
      </c>
      <c r="CA147" s="13">
        <f t="shared" si="147"/>
        <v>52.465198231787184</v>
      </c>
      <c r="CB147" s="20">
        <f t="shared" si="118"/>
        <v>461.35077692036231</v>
      </c>
      <c r="CC147" s="59">
        <f t="shared" si="119"/>
        <v>751.36515147527746</v>
      </c>
      <c r="CD147" s="59">
        <f ca="1">AVERAGE(OFFSET($CC$3,0,0,'Données projet'!$E$12+1,1))-AVERAGE(OFFSET($H$3,0,0,'Données projet'!$E$12+1,1))</f>
        <v>309.86296291630748</v>
      </c>
      <c r="CE147" s="59">
        <f t="shared" si="148"/>
        <v>301.17633325088661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12.215255053397293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12.215255053397293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404.00000000000017</v>
      </c>
      <c r="CU147" s="17">
        <f>CT147*VLOOKUP('Données projet'!$B$13,Paramètres!$A$1:$I$89,3,0)*VLOOKUP('Données projet'!$B$13,Paramètres!$A$1:$I$89,5,0)</f>
        <v>346.63200000000018</v>
      </c>
      <c r="CV147" s="13">
        <f t="shared" si="149"/>
        <v>80.868615263336864</v>
      </c>
      <c r="CW147" s="20">
        <f t="shared" si="121"/>
        <v>744.56357158364528</v>
      </c>
      <c r="CX147" s="59">
        <f t="shared" si="122"/>
        <v>1034.5779461385605</v>
      </c>
      <c r="CY147" s="59">
        <f ca="1">AVERAGE(OFFSET($CX$3,0,0,'Données projet'!$E$13+1,1))-AVERAGE(OFFSET($H$3,0,0,'Données projet'!$E$13+1,1))</f>
        <v>462.66388549889928</v>
      </c>
      <c r="CZ147" s="59">
        <f t="shared" si="150"/>
        <v>265.3725203415089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62.142262270190557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62.142262270190557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210.25641030000014</v>
      </c>
      <c r="DP147" s="17">
        <f>DO147*VLOOKUP('Données projet'!$B$14,Paramètres!$A$1:$I$89,3,0)*VLOOKUP('Données projet'!$B$14,Paramètres!$A$1:$I$89,5,0)</f>
        <v>164.00000003400012</v>
      </c>
      <c r="DQ147" s="13">
        <f t="shared" si="151"/>
        <v>41.743425916009095</v>
      </c>
      <c r="DR147" s="20">
        <f t="shared" si="124"/>
        <v>358.3364668629327</v>
      </c>
      <c r="DS147" s="59">
        <f t="shared" si="125"/>
        <v>648.35084141784785</v>
      </c>
      <c r="DT147" s="59">
        <f ca="1">AVERAGE(OFFSET($DS$3,0,0,'Données projet'!$E$14+1,1))-AVERAGE(OFFSET($H$3,0,0,'Données projet'!$E$14+1,1))</f>
        <v>206.5241977687125</v>
      </c>
      <c r="DU147" s="59">
        <f t="shared" si="152"/>
        <v>205.25001043771269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7.3125860601018093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7.3125860601018093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155.99999999999991</v>
      </c>
      <c r="EK147" s="17">
        <f>EJ147*VLOOKUP('Données projet'!$B$15,Paramètres!$A$1:$I$89,3,0)*VLOOKUP('Données projet'!$B$15,Paramètres!$A$1:$I$89,5,0)</f>
        <v>136.28159999999994</v>
      </c>
      <c r="EL147" s="13">
        <f t="shared" si="153"/>
        <v>35.443842312892279</v>
      </c>
      <c r="EM147" s="20">
        <f t="shared" si="127"/>
        <v>299.08847869495395</v>
      </c>
      <c r="EN147" s="59">
        <f t="shared" si="128"/>
        <v>589.1028532498691</v>
      </c>
      <c r="EO147" s="59">
        <f ca="1">AVERAGE(OFFSET($EN$3,0,0,'Données projet'!$E$15+1,1))-AVERAGE(OFFSET($H$3,0,0,'Données projet'!$E$15+1,1))</f>
        <v>205.83135724908942</v>
      </c>
      <c r="EP147" s="59">
        <f t="shared" si="154"/>
        <v>193.60053377311405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7.2821833999390773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7.2821833999390773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204.00000000000017</v>
      </c>
      <c r="FF147" s="17">
        <f>FE147*VLOOKUP('Données projet'!$B$16,Paramètres!$A$1:$I$89,3,0)*VLOOKUP('Données projet'!$B$16,Paramètres!$A$1:$I$89,5,0)</f>
        <v>133.66080000000011</v>
      </c>
      <c r="FG147" s="13">
        <f t="shared" si="155"/>
        <v>34.840890682716783</v>
      </c>
      <c r="FH147" s="20">
        <f t="shared" si="130"/>
        <v>293.4737779390652</v>
      </c>
      <c r="FI147" s="59">
        <f t="shared" si="131"/>
        <v>583.48815249398035</v>
      </c>
      <c r="FJ147" s="59">
        <f ca="1">AVERAGE(OFFSET($FI$3,0,0,'Données projet'!$E$16+1,1))-AVERAGE(OFFSET($H$3,0,0,'Données projet'!$E$16+1,1))</f>
        <v>242.76791261317206</v>
      </c>
      <c r="FK147" s="59">
        <f t="shared" si="156"/>
        <v>244.28580264867682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13.526688986641867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13.526688986641867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6.8383333333333338</v>
      </c>
      <c r="FZ147" s="12">
        <f>IF('Données projet'!$A$244&gt;35,FZ146+FY147-GH146,IF(A147&lt;'Données projet'!$A$244,$FW$205^A147,IF(A147='Données projet'!$A$244,'Données projet'!$B$244,FZ146+FY147-GH146)))</f>
        <v>410.36833333333311</v>
      </c>
      <c r="GA147" s="17">
        <f>FZ147*VLOOKUP('Données projet'!$B$17,Paramètres!$A$1:$I$89,3,0)*VLOOKUP('Données projet'!$B$17,Paramètres!$A$1:$I$89,5,0)</f>
        <v>390.50650599999977</v>
      </c>
      <c r="GB147" s="13">
        <f t="shared" si="157"/>
        <v>89.849322685427865</v>
      </c>
      <c r="GC147" s="20">
        <f t="shared" si="133"/>
        <v>836.61973496045312</v>
      </c>
      <c r="GD147" s="59">
        <f t="shared" si="134"/>
        <v>1126.6341095153682</v>
      </c>
      <c r="GE147" s="59">
        <f ca="1">AVERAGE(OFFSET($GD$3,0,0,'Données projet'!$E$17+1,1))-AVERAGE(OFFSET($H$3,0,0,'Données projet'!$E$17+1,1))</f>
        <v>512.71941256120977</v>
      </c>
      <c r="GF147" s="59">
        <f t="shared" si="158"/>
        <v>230.65031527019354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98.100351857416257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98.100351857416257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69.094829424067768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-5.6843418860808015E-14</v>
      </c>
      <c r="GV147" s="17">
        <f>GU147*VLOOKUP('Données projet'!$B$18,Paramètres!$A$1:$I$89,3,0)*VLOOKUP('Données projet'!$B$18,Paramètres!$A$1:$I$89,5,0)</f>
        <v>-2.5006556825246661E-14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180.68917161146683</v>
      </c>
      <c r="HA147" s="59">
        <f t="shared" si="160"/>
        <v>344.42126252322419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6.688140013544583</v>
      </c>
      <c r="HH147" s="21">
        <f>EXP(-LN(2)/25)*HH146+(1-EXP(-LN(2)/25))/(LN(2)/25)*Calculateur!HC147*Calculateur!HE147*VLOOKUP('Données projet'!$B$18,Paramètres!$A$1:$I$89,3,0)*0.475*44/12</f>
        <v>0.70223008371639695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7.3903700972609796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2.25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8.25</v>
      </c>
      <c r="H148" s="66">
        <f t="shared" si="110"/>
        <v>223.66666666666666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6.8383333333333338</v>
      </c>
      <c r="N148" s="13">
        <f>IF('Données projet'!$A$36&gt;35,N147+M148-V147,IF(A148&lt;'Données projet'!$A$36,$K$205^A148,IF(A148='Données projet'!$A$36,'Données projet'!$B$36,N147+M148-V147)))</f>
        <v>417.20666666666642</v>
      </c>
      <c r="O148" s="13">
        <f>N148*VLOOKUP('Données projet'!$B$9,Paramètres!$A$1:$I$89,3,0)*VLOOKUP('Données projet'!$B$9,Paramètres!$A$1:$I$89,5,0)</f>
        <v>377.48859199999976</v>
      </c>
      <c r="P148" s="13">
        <f t="shared" si="141"/>
        <v>87.19755153688088</v>
      </c>
      <c r="Q148" s="20">
        <f t="shared" si="108"/>
        <v>809.32836666006722</v>
      </c>
      <c r="R148" s="59">
        <f t="shared" si="109"/>
        <v>1099.4003177297077</v>
      </c>
      <c r="S148" s="59">
        <f ca="1">AVERAGE(OFFSET($R$3,0,0,'Données projet'!$E$9+1,1))-AVERAGE(OFFSET($H$3,0,0,'Données projet'!$E$9+1,1))</f>
        <v>490.57849401500789</v>
      </c>
      <c r="T148" s="59">
        <f t="shared" si="142"/>
        <v>221.7570623669753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91.446663934136467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91.446663934136467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7.027499999999999</v>
      </c>
      <c r="AI148" s="13">
        <f>IF('Données projet'!$A$62&gt;35,AI147+AH148-AQ147,IF(A148&lt;'Données projet'!$A$62,$AF$205^A148,IF(A148='Données projet'!$A$62,'Données projet'!$B$62,AI147+AH148-AQ147)))</f>
        <v>331.89749999999958</v>
      </c>
      <c r="AJ148" s="13">
        <f>AI148*VLOOKUP('Données projet'!$B$10,Paramètres!$A$1:$I$89,3,0)*VLOOKUP('Données projet'!$B$10,Paramètres!$A$1:$I$89,5,0)</f>
        <v>222.63684299999974</v>
      </c>
      <c r="AK148" s="13">
        <f t="shared" si="143"/>
        <v>54.687592512654398</v>
      </c>
      <c r="AL148" s="20">
        <f t="shared" si="112"/>
        <v>483.00672518453922</v>
      </c>
      <c r="AM148" s="59">
        <f t="shared" si="113"/>
        <v>773.07867625417964</v>
      </c>
      <c r="AN148" s="59">
        <f ca="1">AVERAGE(OFFSET($AM$3,0,0,'Données projet'!$E$10+1,1))-AVERAGE(OFFSET($H$3,0,0,'Données projet'!$E$10+1,1))</f>
        <v>377.00534440335832</v>
      </c>
      <c r="AO148" s="59">
        <f t="shared" si="144"/>
        <v>131.56029120000656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80.806253091146147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80.806253091146147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212.00000000000009</v>
      </c>
      <c r="BE148" s="13">
        <f>BD148*VLOOKUP('Données projet'!$B$11,Paramètres!$A$1:$I$89,3,0)*VLOOKUP('Données projet'!$B$11,Paramètres!$A$1:$I$89,5,0)</f>
        <v>185.20320000000009</v>
      </c>
      <c r="BF148" s="13">
        <f t="shared" si="145"/>
        <v>46.477875402099386</v>
      </c>
      <c r="BG148" s="20">
        <f t="shared" si="115"/>
        <v>403.5112063253232</v>
      </c>
      <c r="BH148" s="59">
        <f t="shared" si="116"/>
        <v>693.58315739496356</v>
      </c>
      <c r="BI148" s="59">
        <f ca="1">AVERAGE(OFFSET($BH$3,0,0,'Données projet'!$E$11+1,1))-AVERAGE(OFFSET($H$3,0,0,'Données projet'!$E$11+1,1))</f>
        <v>314.1123649635374</v>
      </c>
      <c r="BJ148" s="59">
        <f t="shared" si="146"/>
        <v>274.92342227914889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17.962189576908688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17.962189576908688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212.42519999999985</v>
      </c>
      <c r="CA148" s="13">
        <f t="shared" si="147"/>
        <v>52.465198231787184</v>
      </c>
      <c r="CB148" s="20">
        <f t="shared" si="118"/>
        <v>461.35077692036231</v>
      </c>
      <c r="CC148" s="59">
        <f t="shared" si="119"/>
        <v>751.42272799000273</v>
      </c>
      <c r="CD148" s="59">
        <f ca="1">AVERAGE(OFFSET($CC$3,0,0,'Données projet'!$E$12+1,1))-AVERAGE(OFFSET($H$3,0,0,'Données projet'!$E$12+1,1))</f>
        <v>309.86296291630748</v>
      </c>
      <c r="CE148" s="59">
        <f t="shared" si="148"/>
        <v>301.17633325088661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11.975721352370071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11.975721352370071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404.00000000000017</v>
      </c>
      <c r="CU148" s="17">
        <f>CT148*VLOOKUP('Données projet'!$B$13,Paramètres!$A$1:$I$89,3,0)*VLOOKUP('Données projet'!$B$13,Paramètres!$A$1:$I$89,5,0)</f>
        <v>346.63200000000018</v>
      </c>
      <c r="CV148" s="13">
        <f t="shared" si="149"/>
        <v>80.868615263336864</v>
      </c>
      <c r="CW148" s="20">
        <f t="shared" si="121"/>
        <v>744.56357158364528</v>
      </c>
      <c r="CX148" s="59">
        <f t="shared" si="122"/>
        <v>1034.6355226532858</v>
      </c>
      <c r="CY148" s="59">
        <f ca="1">AVERAGE(OFFSET($CX$3,0,0,'Données projet'!$E$13+1,1))-AVERAGE(OFFSET($H$3,0,0,'Données projet'!$E$13+1,1))</f>
        <v>462.66388549889928</v>
      </c>
      <c r="CZ148" s="59">
        <f t="shared" si="150"/>
        <v>265.3725203415089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60.923690410109494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60.923690410109494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210.25641030000014</v>
      </c>
      <c r="DP148" s="17">
        <f>DO148*VLOOKUP('Données projet'!$B$14,Paramètres!$A$1:$I$89,3,0)*VLOOKUP('Données projet'!$B$14,Paramètres!$A$1:$I$89,5,0)</f>
        <v>164.00000003400012</v>
      </c>
      <c r="DQ148" s="13">
        <f t="shared" si="151"/>
        <v>41.743425916009095</v>
      </c>
      <c r="DR148" s="20">
        <f t="shared" si="124"/>
        <v>358.3364668629327</v>
      </c>
      <c r="DS148" s="59">
        <f t="shared" si="125"/>
        <v>648.40841793257312</v>
      </c>
      <c r="DT148" s="59">
        <f ca="1">AVERAGE(OFFSET($DS$3,0,0,'Données projet'!$E$14+1,1))-AVERAGE(OFFSET($H$3,0,0,'Données projet'!$E$14+1,1))</f>
        <v>206.5241977687125</v>
      </c>
      <c r="DU148" s="59">
        <f t="shared" si="152"/>
        <v>205.25001043771269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7.1691907077002979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7.1691907077002979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155.99999999999991</v>
      </c>
      <c r="EK148" s="17">
        <f>EJ148*VLOOKUP('Données projet'!$B$15,Paramètres!$A$1:$I$89,3,0)*VLOOKUP('Données projet'!$B$15,Paramètres!$A$1:$I$89,5,0)</f>
        <v>136.28159999999994</v>
      </c>
      <c r="EL148" s="13">
        <f t="shared" si="153"/>
        <v>35.443842312892279</v>
      </c>
      <c r="EM148" s="20">
        <f t="shared" si="127"/>
        <v>299.08847869495395</v>
      </c>
      <c r="EN148" s="59">
        <f t="shared" si="128"/>
        <v>589.16042976459437</v>
      </c>
      <c r="EO148" s="59">
        <f ca="1">AVERAGE(OFFSET($EN$3,0,0,'Données projet'!$E$15+1,1))-AVERAGE(OFFSET($H$3,0,0,'Données projet'!$E$15+1,1))</f>
        <v>205.83135724908942</v>
      </c>
      <c r="EP148" s="59">
        <f t="shared" si="154"/>
        <v>193.60053377311405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7.1393842251595654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7.1393842251595654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204.00000000000017</v>
      </c>
      <c r="FF148" s="17">
        <f>FE148*VLOOKUP('Données projet'!$B$16,Paramètres!$A$1:$I$89,3,0)*VLOOKUP('Données projet'!$B$16,Paramètres!$A$1:$I$89,5,0)</f>
        <v>133.66080000000011</v>
      </c>
      <c r="FG148" s="13">
        <f t="shared" si="155"/>
        <v>34.840890682716783</v>
      </c>
      <c r="FH148" s="20">
        <f t="shared" si="130"/>
        <v>293.4737779390652</v>
      </c>
      <c r="FI148" s="59">
        <f t="shared" si="131"/>
        <v>583.54572900870562</v>
      </c>
      <c r="FJ148" s="59">
        <f ca="1">AVERAGE(OFFSET($FI$3,0,0,'Données projet'!$E$16+1,1))-AVERAGE(OFFSET($H$3,0,0,'Données projet'!$E$16+1,1))</f>
        <v>242.76791261317206</v>
      </c>
      <c r="FK148" s="59">
        <f t="shared" si="156"/>
        <v>244.28580264867682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13.261438866079436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13.261438866079436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6.8383333333333338</v>
      </c>
      <c r="FZ148" s="12">
        <f>IF('Données projet'!$A$244&gt;35,FZ147+FY148-GH147,IF(A148&lt;'Données projet'!$A$244,$FW$205^A148,IF(A148='Données projet'!$A$244,'Données projet'!$B$244,FZ147+FY148-GH147)))</f>
        <v>417.20666666666642</v>
      </c>
      <c r="GA148" s="17">
        <f>FZ148*VLOOKUP('Données projet'!$B$17,Paramètres!$A$1:$I$89,3,0)*VLOOKUP('Données projet'!$B$17,Paramètres!$A$1:$I$89,5,0)</f>
        <v>397.01386399999978</v>
      </c>
      <c r="GB148" s="13">
        <f t="shared" si="157"/>
        <v>91.171008207482075</v>
      </c>
      <c r="GC148" s="20">
        <f t="shared" si="133"/>
        <v>850.25531909469748</v>
      </c>
      <c r="GD148" s="59">
        <f t="shared" si="134"/>
        <v>1140.327270164338</v>
      </c>
      <c r="GE148" s="59">
        <f ca="1">AVERAGE(OFFSET($GD$3,0,0,'Données projet'!$E$17+1,1))-AVERAGE(OFFSET($H$3,0,0,'Données projet'!$E$17+1,1))</f>
        <v>512.71941256120977</v>
      </c>
      <c r="GF148" s="59">
        <f t="shared" si="158"/>
        <v>230.65031527019354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96.176663792798706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96.176663792798706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69.110532109901939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-5.6843418860808015E-14</v>
      </c>
      <c r="GV148" s="17">
        <f>GU148*VLOOKUP('Données projet'!$B$18,Paramètres!$A$1:$I$89,3,0)*VLOOKUP('Données projet'!$B$18,Paramètres!$A$1:$I$89,5,0)</f>
        <v>-2.5006556825246661E-14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180.68917161146683</v>
      </c>
      <c r="HA148" s="59">
        <f t="shared" si="160"/>
        <v>344.42126252322419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6.5569896672415782</v>
      </c>
      <c r="HH148" s="21">
        <f>EXP(-LN(2)/25)*HH147+(1-EXP(-LN(2)/25))/(LN(2)/25)*Calculateur!HC148*Calculateur!HE148*VLOOKUP('Données projet'!$B$18,Paramètres!$A$1:$I$89,3,0)*0.475*44/12</f>
        <v>0.68302756514849694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7.2400172323900751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2.25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8.25</v>
      </c>
      <c r="H149" s="66">
        <f t="shared" si="110"/>
        <v>223.66666666666666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6.8383333333333338</v>
      </c>
      <c r="N149" s="13">
        <f>IF('Données projet'!$A$36&gt;35,N148+M149-V148,IF(A149&lt;'Données projet'!$A$36,$K$205^A149,IF(A149='Données projet'!$A$36,'Données projet'!$B$36,N148+M149-V148)))</f>
        <v>424.04499999999973</v>
      </c>
      <c r="O149" s="13">
        <f>N149*VLOOKUP('Données projet'!$B$9,Paramètres!$A$1:$I$89,3,0)*VLOOKUP('Données projet'!$B$9,Paramètres!$A$1:$I$89,5,0)</f>
        <v>383.67591599999975</v>
      </c>
      <c r="P149" s="13">
        <f t="shared" si="141"/>
        <v>88.459225215418925</v>
      </c>
      <c r="Q149" s="20">
        <f t="shared" si="108"/>
        <v>822.30203761685414</v>
      </c>
      <c r="R149" s="59">
        <f t="shared" si="109"/>
        <v>1112.4305663774112</v>
      </c>
      <c r="S149" s="59">
        <f ca="1">AVERAGE(OFFSET($R$3,0,0,'Données projet'!$E$9+1,1))-AVERAGE(OFFSET($H$3,0,0,'Données projet'!$E$9+1,1))</f>
        <v>490.57849401500789</v>
      </c>
      <c r="T149" s="59">
        <f t="shared" si="142"/>
        <v>221.7570623669753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89.653450631345535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89.653450631345535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7.027499999999999</v>
      </c>
      <c r="AI149" s="13">
        <f>IF('Données projet'!$A$62&gt;35,AI148+AH149-AQ148,IF(A149&lt;'Données projet'!$A$62,$AF$205^A149,IF(A149='Données projet'!$A$62,'Données projet'!$B$62,AI148+AH149-AQ148)))</f>
        <v>338.92499999999956</v>
      </c>
      <c r="AJ149" s="13">
        <f>AI149*VLOOKUP('Données projet'!$B$10,Paramètres!$A$1:$I$89,3,0)*VLOOKUP('Données projet'!$B$10,Paramètres!$A$1:$I$89,5,0)</f>
        <v>227.35088999999971</v>
      </c>
      <c r="AK149" s="13">
        <f t="shared" si="143"/>
        <v>55.709496386634868</v>
      </c>
      <c r="AL149" s="20">
        <f t="shared" si="112"/>
        <v>492.99683962338855</v>
      </c>
      <c r="AM149" s="59">
        <f t="shared" si="113"/>
        <v>783.12536838394567</v>
      </c>
      <c r="AN149" s="59">
        <f ca="1">AVERAGE(OFFSET($AM$3,0,0,'Données projet'!$E$10+1,1))-AVERAGE(OFFSET($H$3,0,0,'Données projet'!$E$10+1,1))</f>
        <v>377.00534440335832</v>
      </c>
      <c r="AO149" s="59">
        <f t="shared" si="144"/>
        <v>131.56029120000656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79.221691754976476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79.221691754976476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212.00000000000009</v>
      </c>
      <c r="BE149" s="13">
        <f>BD149*VLOOKUP('Données projet'!$B$11,Paramètres!$A$1:$I$89,3,0)*VLOOKUP('Données projet'!$B$11,Paramètres!$A$1:$I$89,5,0)</f>
        <v>185.20320000000009</v>
      </c>
      <c r="BF149" s="13">
        <f t="shared" si="145"/>
        <v>46.477875402099386</v>
      </c>
      <c r="BG149" s="20">
        <f t="shared" si="115"/>
        <v>403.5112063253232</v>
      </c>
      <c r="BH149" s="59">
        <f t="shared" si="116"/>
        <v>693.63973508588037</v>
      </c>
      <c r="BI149" s="59">
        <f ca="1">AVERAGE(OFFSET($BH$3,0,0,'Données projet'!$E$11+1,1))-AVERAGE(OFFSET($H$3,0,0,'Données projet'!$E$11+1,1))</f>
        <v>314.1123649635374</v>
      </c>
      <c r="BJ149" s="59">
        <f t="shared" si="146"/>
        <v>274.92342227914889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17.609961995159349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17.609961995159349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212.42519999999985</v>
      </c>
      <c r="CA149" s="13">
        <f t="shared" si="147"/>
        <v>52.465198231787184</v>
      </c>
      <c r="CB149" s="20">
        <f t="shared" si="118"/>
        <v>461.35077692036231</v>
      </c>
      <c r="CC149" s="59">
        <f t="shared" si="119"/>
        <v>751.47930568091942</v>
      </c>
      <c r="CD149" s="59">
        <f ca="1">AVERAGE(OFFSET($CC$3,0,0,'Données projet'!$E$12+1,1))-AVERAGE(OFFSET($H$3,0,0,'Données projet'!$E$12+1,1))</f>
        <v>309.86296291630748</v>
      </c>
      <c r="CE149" s="59">
        <f t="shared" si="148"/>
        <v>301.17633325088661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11.740884761118862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11.740884761118862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404.00000000000017</v>
      </c>
      <c r="CU149" s="17">
        <f>CT149*VLOOKUP('Données projet'!$B$13,Paramètres!$A$1:$I$89,3,0)*VLOOKUP('Données projet'!$B$13,Paramètres!$A$1:$I$89,5,0)</f>
        <v>346.63200000000018</v>
      </c>
      <c r="CV149" s="13">
        <f t="shared" si="149"/>
        <v>80.868615263336864</v>
      </c>
      <c r="CW149" s="20">
        <f t="shared" si="121"/>
        <v>744.56357158364528</v>
      </c>
      <c r="CX149" s="59">
        <f t="shared" si="122"/>
        <v>1034.6921003442023</v>
      </c>
      <c r="CY149" s="59">
        <f ca="1">AVERAGE(OFFSET($CX$3,0,0,'Données projet'!$E$13+1,1))-AVERAGE(OFFSET($H$3,0,0,'Données projet'!$E$13+1,1))</f>
        <v>462.66388549889928</v>
      </c>
      <c r="CZ149" s="59">
        <f t="shared" si="150"/>
        <v>265.3725203415089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59.729014000949171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59.729014000949171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210.25641030000014</v>
      </c>
      <c r="DP149" s="17">
        <f>DO149*VLOOKUP('Données projet'!$B$14,Paramètres!$A$1:$I$89,3,0)*VLOOKUP('Données projet'!$B$14,Paramètres!$A$1:$I$89,5,0)</f>
        <v>164.00000003400012</v>
      </c>
      <c r="DQ149" s="13">
        <f t="shared" si="151"/>
        <v>41.743425916009095</v>
      </c>
      <c r="DR149" s="20">
        <f t="shared" si="124"/>
        <v>358.3364668629327</v>
      </c>
      <c r="DS149" s="59">
        <f t="shared" si="125"/>
        <v>648.46499562348981</v>
      </c>
      <c r="DT149" s="59">
        <f ca="1">AVERAGE(OFFSET($DS$3,0,0,'Données projet'!$E$14+1,1))-AVERAGE(OFFSET($H$3,0,0,'Données projet'!$E$14+1,1))</f>
        <v>206.5241977687125</v>
      </c>
      <c r="DU149" s="59">
        <f t="shared" si="152"/>
        <v>205.25001043771269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7.0286072506968509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7.0286072506968509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155.99999999999991</v>
      </c>
      <c r="EK149" s="17">
        <f>EJ149*VLOOKUP('Données projet'!$B$15,Paramètres!$A$1:$I$89,3,0)*VLOOKUP('Données projet'!$B$15,Paramètres!$A$1:$I$89,5,0)</f>
        <v>136.28159999999994</v>
      </c>
      <c r="EL149" s="13">
        <f t="shared" si="153"/>
        <v>35.443842312892279</v>
      </c>
      <c r="EM149" s="20">
        <f t="shared" si="127"/>
        <v>299.08847869495395</v>
      </c>
      <c r="EN149" s="59">
        <f t="shared" si="128"/>
        <v>589.21700745551107</v>
      </c>
      <c r="EO149" s="59">
        <f ca="1">AVERAGE(OFFSET($EN$3,0,0,'Données projet'!$E$15+1,1))-AVERAGE(OFFSET($H$3,0,0,'Données projet'!$E$15+1,1))</f>
        <v>205.83135724908942</v>
      </c>
      <c r="EP149" s="59">
        <f t="shared" si="154"/>
        <v>193.60053377311405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6.9993852550985833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6.9993852550985833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204.00000000000017</v>
      </c>
      <c r="FF149" s="17">
        <f>FE149*VLOOKUP('Données projet'!$B$16,Paramètres!$A$1:$I$89,3,0)*VLOOKUP('Données projet'!$B$16,Paramètres!$A$1:$I$89,5,0)</f>
        <v>133.66080000000011</v>
      </c>
      <c r="FG149" s="13">
        <f t="shared" si="155"/>
        <v>34.840890682716783</v>
      </c>
      <c r="FH149" s="20">
        <f t="shared" si="130"/>
        <v>293.4737779390652</v>
      </c>
      <c r="FI149" s="59">
        <f t="shared" si="131"/>
        <v>583.60230669962232</v>
      </c>
      <c r="FJ149" s="59">
        <f ca="1">AVERAGE(OFFSET($FI$3,0,0,'Données projet'!$E$16+1,1))-AVERAGE(OFFSET($H$3,0,0,'Données projet'!$E$16+1,1))</f>
        <v>242.76791261317206</v>
      </c>
      <c r="FK149" s="59">
        <f t="shared" si="156"/>
        <v>244.28580264867682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13.001390138594635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13.001390138594635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6.8383333333333338</v>
      </c>
      <c r="FZ149" s="12">
        <f>IF('Données projet'!$A$244&gt;35,FZ148+FY149-GH148,IF(A149&lt;'Données projet'!$A$244,$FW$205^A149,IF(A149='Données projet'!$A$244,'Données projet'!$B$244,FZ148+FY149-GH148)))</f>
        <v>424.04499999999973</v>
      </c>
      <c r="GA149" s="17">
        <f>FZ149*VLOOKUP('Données projet'!$B$17,Paramètres!$A$1:$I$89,3,0)*VLOOKUP('Données projet'!$B$17,Paramètres!$A$1:$I$89,5,0)</f>
        <v>403.52122199999968</v>
      </c>
      <c r="GB149" s="13">
        <f t="shared" si="157"/>
        <v>92.49017439132264</v>
      </c>
      <c r="GC149" s="20">
        <f t="shared" si="133"/>
        <v>863.88651538155307</v>
      </c>
      <c r="GD149" s="59">
        <f t="shared" si="134"/>
        <v>1154.0150441421101</v>
      </c>
      <c r="GE149" s="59">
        <f ca="1">AVERAGE(OFFSET($GD$3,0,0,'Données projet'!$E$17+1,1))-AVERAGE(OFFSET($H$3,0,0,'Données projet'!$E$17+1,1))</f>
        <v>512.71941256120977</v>
      </c>
      <c r="GF149" s="59">
        <f t="shared" si="158"/>
        <v>230.65031527019354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94.290698077794445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94.290698077794445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69.125962389242858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-5.6843418860808015E-14</v>
      </c>
      <c r="GV149" s="17">
        <f>GU149*VLOOKUP('Données projet'!$B$18,Paramètres!$A$1:$I$89,3,0)*VLOOKUP('Données projet'!$B$18,Paramètres!$A$1:$I$89,5,0)</f>
        <v>-2.5006556825246661E-14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180.68917161146683</v>
      </c>
      <c r="HA149" s="59">
        <f t="shared" si="160"/>
        <v>344.42126252322419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6.4284110992357633</v>
      </c>
      <c r="HH149" s="21">
        <f>EXP(-LN(2)/25)*HH148+(1-EXP(-LN(2)/25))/(LN(2)/25)*Calculateur!HC149*Calculateur!HE149*VLOOKUP('Données projet'!$B$18,Paramètres!$A$1:$I$89,3,0)*0.475*44/12</f>
        <v>0.66435014046065277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7.0927612396964159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2.25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8.25</v>
      </c>
      <c r="H150" s="66">
        <f t="shared" si="110"/>
        <v>223.66666666666666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6.8383333333333338</v>
      </c>
      <c r="N150" s="13">
        <f>IF('Données projet'!$A$36&gt;35,N149+M150-V149,IF(A150&lt;'Données projet'!$A$36,$K$205^A150,IF(A150='Données projet'!$A$36,'Données projet'!$B$36,N149+M150-V149)))</f>
        <v>430.88333333333304</v>
      </c>
      <c r="O150" s="13">
        <f>N150*VLOOKUP('Données projet'!$B$9,Paramètres!$A$1:$I$89,3,0)*VLOOKUP('Données projet'!$B$9,Paramètres!$A$1:$I$89,5,0)</f>
        <v>389.86323999999973</v>
      </c>
      <c r="P150" s="13">
        <f t="shared" si="141"/>
        <v>89.718532698051746</v>
      </c>
      <c r="Q150" s="20">
        <f t="shared" si="108"/>
        <v>835.27158744910628</v>
      </c>
      <c r="R150" s="59">
        <f t="shared" si="109"/>
        <v>1125.4557124041314</v>
      </c>
      <c r="S150" s="59">
        <f ca="1">AVERAGE(OFFSET($R$3,0,0,'Données projet'!$E$9+1,1))-AVERAGE(OFFSET($H$3,0,0,'Données projet'!$E$9+1,1))</f>
        <v>490.57849401500789</v>
      </c>
      <c r="T150" s="59">
        <f t="shared" si="142"/>
        <v>221.7570623669753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87.895401147670214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87.895401147670214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7.027499999999999</v>
      </c>
      <c r="AI150" s="13">
        <f>IF('Données projet'!$A$62&gt;35,AI149+AH150-AQ149,IF(A150&lt;'Données projet'!$A$62,$AF$205^A150,IF(A150='Données projet'!$A$62,'Données projet'!$B$62,AI149+AH150-AQ149)))</f>
        <v>345.95249999999953</v>
      </c>
      <c r="AJ150" s="13">
        <f>AI150*VLOOKUP('Données projet'!$B$10,Paramètres!$A$1:$I$89,3,0)*VLOOKUP('Données projet'!$B$10,Paramètres!$A$1:$I$89,5,0)</f>
        <v>232.06493699999967</v>
      </c>
      <c r="AK150" s="13">
        <f t="shared" si="143"/>
        <v>56.728936666332139</v>
      </c>
      <c r="AL150" s="20">
        <f t="shared" si="112"/>
        <v>502.98266330219457</v>
      </c>
      <c r="AM150" s="59">
        <f t="shared" si="113"/>
        <v>793.16678825721965</v>
      </c>
      <c r="AN150" s="59">
        <f ca="1">AVERAGE(OFFSET($AM$3,0,0,'Données projet'!$E$10+1,1))-AVERAGE(OFFSET($H$3,0,0,'Données projet'!$E$10+1,1))</f>
        <v>377.00534440335832</v>
      </c>
      <c r="AO150" s="59">
        <f t="shared" si="144"/>
        <v>131.56029120000656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77.668202700122109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77.668202700122109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212.00000000000009</v>
      </c>
      <c r="BE150" s="13">
        <f>BD150*VLOOKUP('Données projet'!$B$11,Paramètres!$A$1:$I$89,3,0)*VLOOKUP('Données projet'!$B$11,Paramètres!$A$1:$I$89,5,0)</f>
        <v>185.20320000000009</v>
      </c>
      <c r="BF150" s="13">
        <f t="shared" si="145"/>
        <v>46.477875402099386</v>
      </c>
      <c r="BG150" s="20">
        <f t="shared" si="115"/>
        <v>403.5112063253232</v>
      </c>
      <c r="BH150" s="59">
        <f t="shared" si="116"/>
        <v>693.69533128034823</v>
      </c>
      <c r="BI150" s="59">
        <f ca="1">AVERAGE(OFFSET($BH$3,0,0,'Données projet'!$E$11+1,1))-AVERAGE(OFFSET($H$3,0,0,'Données projet'!$E$11+1,1))</f>
        <v>314.1123649635374</v>
      </c>
      <c r="BJ150" s="59">
        <f t="shared" si="146"/>
        <v>274.92342227914889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17.264641381450502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17.264641381450502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212.42519999999985</v>
      </c>
      <c r="CA150" s="13">
        <f t="shared" si="147"/>
        <v>52.465198231787184</v>
      </c>
      <c r="CB150" s="20">
        <f t="shared" si="118"/>
        <v>461.35077692036231</v>
      </c>
      <c r="CC150" s="59">
        <f t="shared" si="119"/>
        <v>751.53490187538739</v>
      </c>
      <c r="CD150" s="59">
        <f ca="1">AVERAGE(OFFSET($CC$3,0,0,'Données projet'!$E$12+1,1))-AVERAGE(OFFSET($H$3,0,0,'Données projet'!$E$12+1,1))</f>
        <v>309.86296291630748</v>
      </c>
      <c r="CE150" s="59">
        <f t="shared" si="148"/>
        <v>301.17633325088661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11.510653172185911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11.510653172185911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404.00000000000017</v>
      </c>
      <c r="CU150" s="17">
        <f>CT150*VLOOKUP('Données projet'!$B$13,Paramètres!$A$1:$I$89,3,0)*VLOOKUP('Données projet'!$B$13,Paramètres!$A$1:$I$89,5,0)</f>
        <v>346.63200000000018</v>
      </c>
      <c r="CV150" s="13">
        <f t="shared" si="149"/>
        <v>80.868615263336864</v>
      </c>
      <c r="CW150" s="20">
        <f t="shared" si="121"/>
        <v>744.56357158364528</v>
      </c>
      <c r="CX150" s="59">
        <f t="shared" si="122"/>
        <v>1034.7476965386704</v>
      </c>
      <c r="CY150" s="59">
        <f ca="1">AVERAGE(OFFSET($CX$3,0,0,'Données projet'!$E$13+1,1))-AVERAGE(OFFSET($H$3,0,0,'Données projet'!$E$13+1,1))</f>
        <v>462.66388549889928</v>
      </c>
      <c r="CZ150" s="59">
        <f t="shared" si="150"/>
        <v>265.3725203415089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58.557764467491829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58.557764467491829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210.25641030000014</v>
      </c>
      <c r="DP150" s="17">
        <f>DO150*VLOOKUP('Données projet'!$B$14,Paramètres!$A$1:$I$89,3,0)*VLOOKUP('Données projet'!$B$14,Paramètres!$A$1:$I$89,5,0)</f>
        <v>164.00000003400012</v>
      </c>
      <c r="DQ150" s="13">
        <f t="shared" si="151"/>
        <v>41.743425916009095</v>
      </c>
      <c r="DR150" s="20">
        <f t="shared" si="124"/>
        <v>358.3364668629327</v>
      </c>
      <c r="DS150" s="59">
        <f t="shared" si="125"/>
        <v>648.52059181795778</v>
      </c>
      <c r="DT150" s="59">
        <f ca="1">AVERAGE(OFFSET($DS$3,0,0,'Données projet'!$E$14+1,1))-AVERAGE(OFFSET($H$3,0,0,'Données projet'!$E$14+1,1))</f>
        <v>206.5241977687125</v>
      </c>
      <c r="DU150" s="59">
        <f t="shared" si="152"/>
        <v>205.25001043771269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6.8907805495377996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6.8907805495377996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155.99999999999991</v>
      </c>
      <c r="EK150" s="17">
        <f>EJ150*VLOOKUP('Données projet'!$B$15,Paramètres!$A$1:$I$89,3,0)*VLOOKUP('Données projet'!$B$15,Paramètres!$A$1:$I$89,5,0)</f>
        <v>136.28159999999994</v>
      </c>
      <c r="EL150" s="13">
        <f t="shared" si="153"/>
        <v>35.443842312892279</v>
      </c>
      <c r="EM150" s="20">
        <f t="shared" si="127"/>
        <v>299.08847869495395</v>
      </c>
      <c r="EN150" s="59">
        <f t="shared" si="128"/>
        <v>589.27260364997903</v>
      </c>
      <c r="EO150" s="59">
        <f ca="1">AVERAGE(OFFSET($EN$3,0,0,'Données projet'!$E$15+1,1))-AVERAGE(OFFSET($H$3,0,0,'Données projet'!$E$15+1,1))</f>
        <v>205.83135724908942</v>
      </c>
      <c r="EP150" s="59">
        <f t="shared" si="154"/>
        <v>193.60053377311405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6.8621315794495565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6.8621315794495565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204.00000000000017</v>
      </c>
      <c r="FF150" s="17">
        <f>FE150*VLOOKUP('Données projet'!$B$16,Paramètres!$A$1:$I$89,3,0)*VLOOKUP('Données projet'!$B$16,Paramètres!$A$1:$I$89,5,0)</f>
        <v>133.66080000000011</v>
      </c>
      <c r="FG150" s="13">
        <f t="shared" si="155"/>
        <v>34.840890682716783</v>
      </c>
      <c r="FH150" s="20">
        <f t="shared" si="130"/>
        <v>293.4737779390652</v>
      </c>
      <c r="FI150" s="59">
        <f t="shared" si="131"/>
        <v>583.65790289409028</v>
      </c>
      <c r="FJ150" s="59">
        <f ca="1">AVERAGE(OFFSET($FI$3,0,0,'Données projet'!$E$16+1,1))-AVERAGE(OFFSET($H$3,0,0,'Données projet'!$E$16+1,1))</f>
        <v>242.76791261317206</v>
      </c>
      <c r="FK150" s="59">
        <f t="shared" si="156"/>
        <v>244.28580264867682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12.746440808041751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12.746440808041751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6.8383333333333338</v>
      </c>
      <c r="FZ150" s="12">
        <f>IF('Données projet'!$A$244&gt;35,FZ149+FY150-GH149,IF(A150&lt;'Données projet'!$A$244,$FW$205^A150,IF(A150='Données projet'!$A$244,'Données projet'!$B$244,FZ149+FY150-GH149)))</f>
        <v>430.88333333333304</v>
      </c>
      <c r="GA150" s="17">
        <f>FZ150*VLOOKUP('Données projet'!$B$17,Paramètres!$A$1:$I$89,3,0)*VLOOKUP('Données projet'!$B$17,Paramètres!$A$1:$I$89,5,0)</f>
        <v>410.02857999999969</v>
      </c>
      <c r="GB150" s="13">
        <f t="shared" si="157"/>
        <v>93.806866555394564</v>
      </c>
      <c r="GC150" s="20">
        <f t="shared" si="133"/>
        <v>877.51340275064501</v>
      </c>
      <c r="GD150" s="59">
        <f t="shared" si="134"/>
        <v>1167.6975277056702</v>
      </c>
      <c r="GE150" s="59">
        <f ca="1">AVERAGE(OFFSET($GD$3,0,0,'Données projet'!$E$17+1,1))-AVERAGE(OFFSET($H$3,0,0,'Données projet'!$E$17+1,1))</f>
        <v>512.71941256120977</v>
      </c>
      <c r="GF150" s="59">
        <f t="shared" si="158"/>
        <v>230.65031527019354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92.441715000135915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92.441715000135915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69.141124987734116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-5.6843418860808015E-14</v>
      </c>
      <c r="GV150" s="17">
        <f>GU150*VLOOKUP('Données projet'!$B$18,Paramètres!$A$1:$I$89,3,0)*VLOOKUP('Données projet'!$B$18,Paramètres!$A$1:$I$89,5,0)</f>
        <v>-2.5006556825246661E-14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180.68917161146683</v>
      </c>
      <c r="HA150" s="59">
        <f t="shared" si="160"/>
        <v>344.42126252322419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6.302353878523359</v>
      </c>
      <c r="HH150" s="21">
        <f>EXP(-LN(2)/25)*HH149+(1-EXP(-LN(2)/25))/(LN(2)/25)*Calculateur!HC150*Calculateur!HE150*VLOOKUP('Données projet'!$B$18,Paramètres!$A$1:$I$89,3,0)*0.475*44/12</f>
        <v>0.6461834509331007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6.9485373294564594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2.25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8.25</v>
      </c>
      <c r="H151" s="66">
        <f t="shared" si="110"/>
        <v>223.66666666666666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6.8383333333333338</v>
      </c>
      <c r="N151" s="13">
        <f>IF('Données projet'!$A$36&gt;35,N150+M151-V150,IF(A151&lt;'Données projet'!$A$36,$K$205^A151,IF(A151='Données projet'!$A$36,'Données projet'!$B$36,N150+M151-V150)))</f>
        <v>437.72166666666635</v>
      </c>
      <c r="O151" s="13">
        <f>N151*VLOOKUP('Données projet'!$B$9,Paramètres!$A$1:$I$89,3,0)*VLOOKUP('Données projet'!$B$9,Paramètres!$A$1:$I$89,5,0)</f>
        <v>396.05056399999972</v>
      </c>
      <c r="P151" s="13">
        <f t="shared" si="141"/>
        <v>90.975515873466222</v>
      </c>
      <c r="Q151" s="20">
        <f t="shared" si="108"/>
        <v>848.23708911295319</v>
      </c>
      <c r="R151" s="59">
        <f t="shared" si="109"/>
        <v>1138.4758457927669</v>
      </c>
      <c r="S151" s="59">
        <f ca="1">AVERAGE(OFFSET($R$3,0,0,'Données projet'!$E$9+1,1))-AVERAGE(OFFSET($H$3,0,0,'Données projet'!$E$9+1,1))</f>
        <v>490.57849401500789</v>
      </c>
      <c r="T151" s="59">
        <f t="shared" si="142"/>
        <v>221.7570623669753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86.171825942065468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86.171825942065468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7.027499999999999</v>
      </c>
      <c r="AI151" s="13">
        <f>IF('Données projet'!$A$62&gt;35,AI150+AH151-AQ150,IF(A151&lt;'Données projet'!$A$62,$AF$205^A151,IF(A151='Données projet'!$A$62,'Données projet'!$B$62,AI150+AH151-AQ150)))</f>
        <v>352.97999999999951</v>
      </c>
      <c r="AJ151" s="13">
        <f>AI151*VLOOKUP('Données projet'!$B$10,Paramètres!$A$1:$I$89,3,0)*VLOOKUP('Données projet'!$B$10,Paramètres!$A$1:$I$89,5,0)</f>
        <v>236.7789839999997</v>
      </c>
      <c r="AK151" s="13">
        <f t="shared" si="143"/>
        <v>57.745969162816131</v>
      </c>
      <c r="AL151" s="20">
        <f t="shared" si="112"/>
        <v>512.96429342523766</v>
      </c>
      <c r="AM151" s="59">
        <f t="shared" si="113"/>
        <v>803.20305010505126</v>
      </c>
      <c r="AN151" s="59">
        <f ca="1">AVERAGE(OFFSET($AM$3,0,0,'Données projet'!$E$10+1,1))-AVERAGE(OFFSET($H$3,0,0,'Données projet'!$E$10+1,1))</f>
        <v>377.00534440335832</v>
      </c>
      <c r="AO151" s="59">
        <f t="shared" si="144"/>
        <v>131.56029120000656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76.145176618098674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76.145176618098674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212.00000000000009</v>
      </c>
      <c r="BE151" s="13">
        <f>BD151*VLOOKUP('Données projet'!$B$11,Paramètres!$A$1:$I$89,3,0)*VLOOKUP('Données projet'!$B$11,Paramètres!$A$1:$I$89,5,0)</f>
        <v>185.20320000000009</v>
      </c>
      <c r="BF151" s="13">
        <f t="shared" si="145"/>
        <v>46.477875402099386</v>
      </c>
      <c r="BG151" s="20">
        <f t="shared" si="115"/>
        <v>403.5112063253232</v>
      </c>
      <c r="BH151" s="59">
        <f t="shared" si="116"/>
        <v>693.74996300513681</v>
      </c>
      <c r="BI151" s="59">
        <f ca="1">AVERAGE(OFFSET($BH$3,0,0,'Données projet'!$E$11+1,1))-AVERAGE(OFFSET($H$3,0,0,'Données projet'!$E$11+1,1))</f>
        <v>314.1123649635374</v>
      </c>
      <c r="BJ151" s="59">
        <f t="shared" si="146"/>
        <v>274.92342227914889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16.926092294351712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16.926092294351712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212.42519999999985</v>
      </c>
      <c r="CA151" s="13">
        <f t="shared" si="147"/>
        <v>52.465198231787184</v>
      </c>
      <c r="CB151" s="20">
        <f t="shared" si="118"/>
        <v>461.35077692036231</v>
      </c>
      <c r="CC151" s="59">
        <f t="shared" si="119"/>
        <v>751.58953360017586</v>
      </c>
      <c r="CD151" s="59">
        <f ca="1">AVERAGE(OFFSET($CC$3,0,0,'Données projet'!$E$12+1,1))-AVERAGE(OFFSET($H$3,0,0,'Données projet'!$E$12+1,1))</f>
        <v>309.86296291630748</v>
      </c>
      <c r="CE151" s="59">
        <f t="shared" si="148"/>
        <v>301.17633325088661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11.284936284284534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11.284936284284534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404.00000000000017</v>
      </c>
      <c r="CU151" s="17">
        <f>CT151*VLOOKUP('Données projet'!$B$13,Paramètres!$A$1:$I$89,3,0)*VLOOKUP('Données projet'!$B$13,Paramètres!$A$1:$I$89,5,0)</f>
        <v>346.63200000000018</v>
      </c>
      <c r="CV151" s="13">
        <f t="shared" si="149"/>
        <v>80.868615263336864</v>
      </c>
      <c r="CW151" s="20">
        <f t="shared" si="121"/>
        <v>744.56357158364528</v>
      </c>
      <c r="CX151" s="59">
        <f t="shared" si="122"/>
        <v>1034.802328263459</v>
      </c>
      <c r="CY151" s="59">
        <f ca="1">AVERAGE(OFFSET($CX$3,0,0,'Données projet'!$E$13+1,1))-AVERAGE(OFFSET($H$3,0,0,'Données projet'!$E$13+1,1))</f>
        <v>462.66388549889928</v>
      </c>
      <c r="CZ151" s="59">
        <f t="shared" si="150"/>
        <v>265.3725203415089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57.409482422993911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57.409482422993911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210.25641030000014</v>
      </c>
      <c r="DP151" s="17">
        <f>DO151*VLOOKUP('Données projet'!$B$14,Paramètres!$A$1:$I$89,3,0)*VLOOKUP('Données projet'!$B$14,Paramètres!$A$1:$I$89,5,0)</f>
        <v>164.00000003400012</v>
      </c>
      <c r="DQ151" s="13">
        <f t="shared" si="151"/>
        <v>41.743425916009095</v>
      </c>
      <c r="DR151" s="20">
        <f t="shared" si="124"/>
        <v>358.3364668629327</v>
      </c>
      <c r="DS151" s="59">
        <f t="shared" si="125"/>
        <v>648.57522354274624</v>
      </c>
      <c r="DT151" s="59">
        <f ca="1">AVERAGE(OFFSET($DS$3,0,0,'Données projet'!$E$14+1,1))-AVERAGE(OFFSET($H$3,0,0,'Données projet'!$E$14+1,1))</f>
        <v>206.5241977687125</v>
      </c>
      <c r="DU151" s="59">
        <f t="shared" si="152"/>
        <v>205.25001043771269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6.7556565459224904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6.7556565459224904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155.99999999999991</v>
      </c>
      <c r="EK151" s="17">
        <f>EJ151*VLOOKUP('Données projet'!$B$15,Paramètres!$A$1:$I$89,3,0)*VLOOKUP('Données projet'!$B$15,Paramètres!$A$1:$I$89,5,0)</f>
        <v>136.28159999999994</v>
      </c>
      <c r="EL151" s="13">
        <f t="shared" si="153"/>
        <v>35.443842312892279</v>
      </c>
      <c r="EM151" s="20">
        <f t="shared" si="127"/>
        <v>299.08847869495395</v>
      </c>
      <c r="EN151" s="59">
        <f t="shared" si="128"/>
        <v>589.3272353747675</v>
      </c>
      <c r="EO151" s="59">
        <f ca="1">AVERAGE(OFFSET($EN$3,0,0,'Données projet'!$E$15+1,1))-AVERAGE(OFFSET($H$3,0,0,'Données projet'!$E$15+1,1))</f>
        <v>205.83135724908942</v>
      </c>
      <c r="EP151" s="59">
        <f t="shared" si="154"/>
        <v>193.60053377311405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6.7275693646635313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6.7275693646635313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204.00000000000017</v>
      </c>
      <c r="FF151" s="17">
        <f>FE151*VLOOKUP('Données projet'!$B$16,Paramètres!$A$1:$I$89,3,0)*VLOOKUP('Données projet'!$B$16,Paramètres!$A$1:$I$89,5,0)</f>
        <v>133.66080000000011</v>
      </c>
      <c r="FG151" s="13">
        <f t="shared" si="155"/>
        <v>34.840890682716783</v>
      </c>
      <c r="FH151" s="20">
        <f t="shared" si="130"/>
        <v>293.4737779390652</v>
      </c>
      <c r="FI151" s="59">
        <f t="shared" si="131"/>
        <v>583.71253461887886</v>
      </c>
      <c r="FJ151" s="59">
        <f ca="1">AVERAGE(OFFSET($FI$3,0,0,'Données projet'!$E$16+1,1))-AVERAGE(OFFSET($H$3,0,0,'Données projet'!$E$16+1,1))</f>
        <v>242.76791261317206</v>
      </c>
      <c r="FK151" s="59">
        <f t="shared" si="156"/>
        <v>244.28580264867682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12.496490878357271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12.496490878357271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6.8383333333333338</v>
      </c>
      <c r="FZ151" s="12">
        <f>IF('Données projet'!$A$244&gt;35,FZ150+FY151-GH150,IF(A151&lt;'Données projet'!$A$244,$FW$205^A151,IF(A151='Données projet'!$A$244,'Données projet'!$B$244,FZ150+FY151-GH150)))</f>
        <v>437.72166666666635</v>
      </c>
      <c r="GA151" s="17">
        <f>FZ151*VLOOKUP('Données projet'!$B$17,Paramètres!$A$1:$I$89,3,0)*VLOOKUP('Données projet'!$B$17,Paramètres!$A$1:$I$89,5,0)</f>
        <v>416.5359379999997</v>
      </c>
      <c r="GB151" s="13">
        <f t="shared" si="157"/>
        <v>95.121128497186689</v>
      </c>
      <c r="GC151" s="20">
        <f t="shared" si="133"/>
        <v>891.13605748259954</v>
      </c>
      <c r="GD151" s="59">
        <f t="shared" si="134"/>
        <v>1181.3748141624133</v>
      </c>
      <c r="GE151" s="59">
        <f ca="1">AVERAGE(OFFSET($GD$3,0,0,'Données projet'!$E$17+1,1))-AVERAGE(OFFSET($H$3,0,0,'Données projet'!$E$17+1,1))</f>
        <v>512.71941256120977</v>
      </c>
      <c r="GF151" s="59">
        <f t="shared" si="158"/>
        <v>230.65031527019354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90.62898935286195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90.62898935286195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69.156024549040069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-5.6843418860808015E-14</v>
      </c>
      <c r="GV151" s="17">
        <f>GU151*VLOOKUP('Données projet'!$B$18,Paramètres!$A$1:$I$89,3,0)*VLOOKUP('Données projet'!$B$18,Paramètres!$A$1:$I$89,5,0)</f>
        <v>-2.5006556825246661E-14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180.68917161146683</v>
      </c>
      <c r="HA151" s="59">
        <f t="shared" si="160"/>
        <v>344.42126252322419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6.178768563021813</v>
      </c>
      <c r="HH151" s="21">
        <f>EXP(-LN(2)/25)*HH150+(1-EXP(-LN(2)/25))/(LN(2)/25)*Calculateur!HC151*Calculateur!HE151*VLOOKUP('Données projet'!$B$18,Paramètres!$A$1:$I$89,3,0)*0.475*44/12</f>
        <v>0.62851353048602421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6.8072820935078369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2.25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8.25</v>
      </c>
      <c r="H152" s="66">
        <f t="shared" si="110"/>
        <v>223.66666666666666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444.56</v>
      </c>
      <c r="L152" s="12">
        <f>VLOOKUP(A152,'Données projet'!$A$35:$I$55,9,0)</f>
        <v>6.8383333333333338</v>
      </c>
      <c r="M152" s="12">
        <f t="array" ref="M152">INDEX(L:L,MIN(IF(ISNUMBER(L152:L348),ROW(L152:L348),"")))</f>
        <v>6.8383333333333338</v>
      </c>
      <c r="N152" s="13">
        <f>IF('Données projet'!$A$36&gt;35,N151+M152-V151,IF(A152&lt;'Données projet'!$A$36,$K$205^A152,IF(A152='Données projet'!$A$36,'Données projet'!$B$36,N151+M152-V151)))</f>
        <v>444.55999999999966</v>
      </c>
      <c r="O152" s="13">
        <f>N152*VLOOKUP('Données projet'!$B$9,Paramètres!$A$1:$I$89,3,0)*VLOOKUP('Données projet'!$B$9,Paramètres!$A$1:$I$89,5,0)</f>
        <v>402.23788799999971</v>
      </c>
      <c r="P152" s="13">
        <f t="shared" si="141"/>
        <v>92.230215246448807</v>
      </c>
      <c r="Q152" s="20">
        <f t="shared" si="108"/>
        <v>861.19861315423123</v>
      </c>
      <c r="R152" s="59">
        <f t="shared" si="109"/>
        <v>1151.4910538205463</v>
      </c>
      <c r="S152" s="59">
        <f ca="1">AVERAGE(OFFSET($R$3,0,0,'Données projet'!$E$9+1,1))-AVERAGE(OFFSET($H$3,0,0,'Données projet'!$E$9+1,1))</f>
        <v>490.57849401500789</v>
      </c>
      <c r="T152" s="59">
        <f t="shared" si="142"/>
        <v>221.7570623669753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153.56</v>
      </c>
      <c r="W152" s="16">
        <f>IF(ISNA(VLOOKUP(A152,'Données projet'!$A$35:$I$55,5,0)),0%,VLOOKUP(A152,'Données projet'!$A$35:$I$55,5,0)*VLOOKUP('Données projet'!$B$9,Paramètres!$A$1:$I$89,7,0))</f>
        <v>0.43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150.52800962712041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150.52800962712041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7.027499999999999</v>
      </c>
      <c r="AI152" s="13">
        <f>IF('Données projet'!$A$62&gt;35,AI151+AH152-AQ151,IF(A152&lt;'Données projet'!$A$62,$AF$205^A152,IF(A152='Données projet'!$A$62,'Données projet'!$B$62,AI151+AH152-AQ151)))</f>
        <v>360.00749999999948</v>
      </c>
      <c r="AJ152" s="13">
        <f>AI152*VLOOKUP('Données projet'!$B$10,Paramètres!$A$1:$I$89,3,0)*VLOOKUP('Données projet'!$B$10,Paramètres!$A$1:$I$89,5,0)</f>
        <v>241.49303099999966</v>
      </c>
      <c r="AK152" s="13">
        <f t="shared" si="143"/>
        <v>58.760647337784739</v>
      </c>
      <c r="AL152" s="20">
        <f t="shared" si="112"/>
        <v>522.94182310497445</v>
      </c>
      <c r="AM152" s="59">
        <f t="shared" si="113"/>
        <v>813.23426377128965</v>
      </c>
      <c r="AN152" s="59">
        <f ca="1">AVERAGE(OFFSET($AM$3,0,0,'Données projet'!$E$10+1,1))-AVERAGE(OFFSET($H$3,0,0,'Données projet'!$E$10+1,1))</f>
        <v>377.00534440335832</v>
      </c>
      <c r="AO152" s="59">
        <f t="shared" si="144"/>
        <v>131.56029120000656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74.652016148589539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74.652016148589539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212.00000000000009</v>
      </c>
      <c r="BE152" s="13">
        <f>BD152*VLOOKUP('Données projet'!$B$11,Paramètres!$A$1:$I$89,3,0)*VLOOKUP('Données projet'!$B$11,Paramètres!$A$1:$I$89,5,0)</f>
        <v>185.20320000000009</v>
      </c>
      <c r="BF152" s="13">
        <f t="shared" si="145"/>
        <v>46.477875402099386</v>
      </c>
      <c r="BG152" s="20">
        <f t="shared" si="115"/>
        <v>403.5112063253232</v>
      </c>
      <c r="BH152" s="59">
        <f t="shared" si="116"/>
        <v>693.8036469916384</v>
      </c>
      <c r="BI152" s="59">
        <f ca="1">AVERAGE(OFFSET($BH$3,0,0,'Données projet'!$E$11+1,1))-AVERAGE(OFFSET($H$3,0,0,'Données projet'!$E$11+1,1))</f>
        <v>314.1123649635374</v>
      </c>
      <c r="BJ152" s="59">
        <f t="shared" si="146"/>
        <v>274.92342227914889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16.594181948356375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16.594181948356375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212.42519999999985</v>
      </c>
      <c r="CA152" s="13">
        <f t="shared" si="147"/>
        <v>52.465198231787184</v>
      </c>
      <c r="CB152" s="20">
        <f t="shared" si="118"/>
        <v>461.35077692036231</v>
      </c>
      <c r="CC152" s="59">
        <f t="shared" si="119"/>
        <v>751.64321758667757</v>
      </c>
      <c r="CD152" s="59">
        <f ca="1">AVERAGE(OFFSET($CC$3,0,0,'Données projet'!$E$12+1,1))-AVERAGE(OFFSET($H$3,0,0,'Données projet'!$E$12+1,1))</f>
        <v>309.86296291630748</v>
      </c>
      <c r="CE152" s="59">
        <f t="shared" si="148"/>
        <v>301.17633325088661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11.063645566881195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11.063645566881195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404.00000000000017</v>
      </c>
      <c r="CU152" s="17">
        <f>CT152*VLOOKUP('Données projet'!$B$13,Paramètres!$A$1:$I$89,3,0)*VLOOKUP('Données projet'!$B$13,Paramètres!$A$1:$I$89,5,0)</f>
        <v>346.63200000000018</v>
      </c>
      <c r="CV152" s="13">
        <f t="shared" si="149"/>
        <v>80.868615263336864</v>
      </c>
      <c r="CW152" s="20">
        <f t="shared" si="121"/>
        <v>744.56357158364528</v>
      </c>
      <c r="CX152" s="59">
        <f t="shared" si="122"/>
        <v>1034.8560122499605</v>
      </c>
      <c r="CY152" s="59">
        <f ca="1">AVERAGE(OFFSET($CX$3,0,0,'Données projet'!$E$13+1,1))-AVERAGE(OFFSET($H$3,0,0,'Données projet'!$E$13+1,1))</f>
        <v>462.66388549889928</v>
      </c>
      <c r="CZ152" s="59">
        <f t="shared" si="150"/>
        <v>265.3725203415089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56.283717489005703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56.283717489005703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210.25641030000014</v>
      </c>
      <c r="DP152" s="17">
        <f>DO152*VLOOKUP('Données projet'!$B$14,Paramètres!$A$1:$I$89,3,0)*VLOOKUP('Données projet'!$B$14,Paramètres!$A$1:$I$89,5,0)</f>
        <v>164.00000003400012</v>
      </c>
      <c r="DQ152" s="13">
        <f t="shared" si="151"/>
        <v>41.743425916009095</v>
      </c>
      <c r="DR152" s="20">
        <f t="shared" si="124"/>
        <v>358.3364668629327</v>
      </c>
      <c r="DS152" s="59">
        <f t="shared" si="125"/>
        <v>648.62890752924795</v>
      </c>
      <c r="DT152" s="59">
        <f ca="1">AVERAGE(OFFSET($DS$3,0,0,'Données projet'!$E$14+1,1))-AVERAGE(OFFSET($H$3,0,0,'Données projet'!$E$14+1,1))</f>
        <v>206.5241977687125</v>
      </c>
      <c r="DU152" s="59">
        <f t="shared" si="152"/>
        <v>205.25001043771269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6.6231822416005732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6.6231822416005732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155.99999999999991</v>
      </c>
      <c r="EK152" s="17">
        <f>EJ152*VLOOKUP('Données projet'!$B$15,Paramètres!$A$1:$I$89,3,0)*VLOOKUP('Données projet'!$B$15,Paramètres!$A$1:$I$89,5,0)</f>
        <v>136.28159999999994</v>
      </c>
      <c r="EL152" s="13">
        <f t="shared" si="153"/>
        <v>35.443842312892279</v>
      </c>
      <c r="EM152" s="20">
        <f t="shared" si="127"/>
        <v>299.08847869495395</v>
      </c>
      <c r="EN152" s="59">
        <f t="shared" si="128"/>
        <v>589.38091936126921</v>
      </c>
      <c r="EO152" s="59">
        <f ca="1">AVERAGE(OFFSET($EN$3,0,0,'Données projet'!$E$15+1,1))-AVERAGE(OFFSET($H$3,0,0,'Données projet'!$E$15+1,1))</f>
        <v>205.83135724908942</v>
      </c>
      <c r="EP152" s="59">
        <f t="shared" si="154"/>
        <v>193.60053377311405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6.5956458328346139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6.5956458328346139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204.00000000000017</v>
      </c>
      <c r="FF152" s="17">
        <f>FE152*VLOOKUP('Données projet'!$B$16,Paramètres!$A$1:$I$89,3,0)*VLOOKUP('Données projet'!$B$16,Paramètres!$A$1:$I$89,5,0)</f>
        <v>133.66080000000011</v>
      </c>
      <c r="FG152" s="13">
        <f t="shared" si="155"/>
        <v>34.840890682716783</v>
      </c>
      <c r="FH152" s="20">
        <f t="shared" si="130"/>
        <v>293.4737779390652</v>
      </c>
      <c r="FI152" s="59">
        <f t="shared" si="131"/>
        <v>583.76621860538035</v>
      </c>
      <c r="FJ152" s="59">
        <f ca="1">AVERAGE(OFFSET($FI$3,0,0,'Données projet'!$E$16+1,1))-AVERAGE(OFFSET($H$3,0,0,'Données projet'!$E$16+1,1))</f>
        <v>242.76791261317206</v>
      </c>
      <c r="FK152" s="59">
        <f t="shared" si="156"/>
        <v>244.28580264867682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12.251442314339501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12.251442314339501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>
        <f>VLOOKUP(A152,'Données projet'!$A$243:$I$263,2,0)</f>
        <v>444.56</v>
      </c>
      <c r="FX152" s="12">
        <f>VLOOKUP(A152,'Données projet'!$A$243:$I$263,9,0)</f>
        <v>6.8383333333333338</v>
      </c>
      <c r="FY152" s="12">
        <f t="array" ref="FY152">INDEX(FX:FX,MIN(IF(ISNUMBER(FX152:FX348),ROW(FX152:FX348),"")))</f>
        <v>6.8383333333333338</v>
      </c>
      <c r="FZ152" s="12">
        <f>IF('Données projet'!$A$244&gt;35,FZ151+FY152-GH151,IF(A152&lt;'Données projet'!$A$244,$FW$205^A152,IF(A152='Données projet'!$A$244,'Données projet'!$B$244,FZ151+FY152-GH151)))</f>
        <v>444.55999999999966</v>
      </c>
      <c r="GA152" s="17">
        <f>FZ152*VLOOKUP('Données projet'!$B$17,Paramètres!$A$1:$I$89,3,0)*VLOOKUP('Données projet'!$B$17,Paramètres!$A$1:$I$89,5,0)</f>
        <v>423.04329599999966</v>
      </c>
      <c r="GB152" s="13">
        <f t="shared" si="157"/>
        <v>96.433002567225628</v>
      </c>
      <c r="GC152" s="20">
        <f t="shared" si="133"/>
        <v>904.7545533379174</v>
      </c>
      <c r="GD152" s="59">
        <f t="shared" si="134"/>
        <v>1195.0469940042326</v>
      </c>
      <c r="GE152" s="59">
        <f ca="1">AVERAGE(OFFSET($GD$3,0,0,'Données projet'!$E$17+1,1))-AVERAGE(OFFSET($H$3,0,0,'Données projet'!$E$17+1,1))</f>
        <v>512.71941256120977</v>
      </c>
      <c r="GF152" s="59">
        <f t="shared" si="158"/>
        <v>230.65031527019354</v>
      </c>
      <c r="GG152" s="15">
        <f>IF(ISNA(VLOOKUP(A152,'Données projet'!$A$243:$I$263,3,0)),0,VLOOKUP(A152,'Données projet'!$A$243:$I$263,3,0))</f>
        <v>12</v>
      </c>
      <c r="GH152" s="15">
        <f>IF(ISNA(VLOOKUP(A152,'Données projet'!$A$243:$I$263,4,0)),0,VLOOKUP(A152,'Données projet'!$A$243:$I$263,4,0))</f>
        <v>153.56</v>
      </c>
      <c r="GI152" s="16">
        <f>IF(ISNA(VLOOKUP(A152,'Données projet'!$A$243:$I$263,5,0)),0%,VLOOKUP(A152,'Données projet'!$A$243:$I$263,5,0)*VLOOKUP('Données projet'!$B$17,Paramètres!$A$1:$I$89,7,0))</f>
        <v>0.43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158.31394115955766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158.31394115955766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69.170665636267785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-5.6843418860808015E-14</v>
      </c>
      <c r="GV152" s="17">
        <f>GU152*VLOOKUP('Données projet'!$B$18,Paramètres!$A$1:$I$89,3,0)*VLOOKUP('Données projet'!$B$18,Paramètres!$A$1:$I$89,5,0)</f>
        <v>-2.5006556825246661E-14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180.68917161146683</v>
      </c>
      <c r="HA152" s="59">
        <f t="shared" si="160"/>
        <v>344.42126252322419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6.0576066801776527</v>
      </c>
      <c r="HH152" s="21">
        <f>EXP(-LN(2)/25)*HH151+(1-EXP(-LN(2)/25))/(LN(2)/25)*Calculateur!HC152*Calculateur!HE152*VLOOKUP('Données projet'!$B$18,Paramètres!$A$1:$I$89,3,0)*0.475*44/12</f>
        <v>0.61132679494279385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6.668933475120447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2.25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8.25</v>
      </c>
      <c r="H153" s="66">
        <f t="shared" si="110"/>
        <v>223.66666666666666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-1.1749999999999972</v>
      </c>
      <c r="N153" s="13">
        <f>IF('Données projet'!$A$36&gt;35,N152+M153-V152,IF(A153&lt;'Données projet'!$A$36,$K$205^A153,IF(A153='Données projet'!$A$36,'Données projet'!$B$36,N152+M153-V152)))</f>
        <v>289.82499999999965</v>
      </c>
      <c r="O153" s="13">
        <f>N153*VLOOKUP('Données projet'!$B$9,Paramètres!$A$1:$I$89,3,0)*VLOOKUP('Données projet'!$B$9,Paramètres!$A$1:$I$89,5,0)</f>
        <v>262.23365999999965</v>
      </c>
      <c r="P153" s="13">
        <f t="shared" si="141"/>
        <v>63.198266700343318</v>
      </c>
      <c r="Q153" s="20">
        <f t="shared" si="108"/>
        <v>566.79393900309731</v>
      </c>
      <c r="R153" s="59">
        <f t="shared" si="109"/>
        <v>857.13913235876771</v>
      </c>
      <c r="S153" s="59">
        <f ca="1">AVERAGE(OFFSET($R$3,0,0,'Données projet'!$E$9+1,1))-AVERAGE(OFFSET($H$3,0,0,'Données projet'!$E$9+1,1))</f>
        <v>490.57849401500789</v>
      </c>
      <c r="T153" s="59">
        <f t="shared" si="142"/>
        <v>221.7570623669753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147.57624717135266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147.57624717135266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7.027499999999999</v>
      </c>
      <c r="AI153" s="13">
        <f>IF('Données projet'!$A$62&gt;35,AI152+AH153-AQ152,IF(A153&lt;'Données projet'!$A$62,$AF$205^A153,IF(A153='Données projet'!$A$62,'Données projet'!$B$62,AI152+AH153-AQ152)))</f>
        <v>367.03499999999946</v>
      </c>
      <c r="AJ153" s="13">
        <f>AI153*VLOOKUP('Données projet'!$B$10,Paramètres!$A$1:$I$89,3,0)*VLOOKUP('Données projet'!$B$10,Paramètres!$A$1:$I$89,5,0)</f>
        <v>246.20707799999965</v>
      </c>
      <c r="AK153" s="13">
        <f t="shared" si="143"/>
        <v>59.773022446358553</v>
      </c>
      <c r="AL153" s="20">
        <f t="shared" si="112"/>
        <v>532.91534161074048</v>
      </c>
      <c r="AM153" s="59">
        <f t="shared" si="113"/>
        <v>823.26053496641089</v>
      </c>
      <c r="AN153" s="59">
        <f ca="1">AVERAGE(OFFSET($AM$3,0,0,'Données projet'!$E$10+1,1))-AVERAGE(OFFSET($H$3,0,0,'Données projet'!$E$10+1,1))</f>
        <v>377.00534440335832</v>
      </c>
      <c r="AO153" s="59">
        <f t="shared" si="144"/>
        <v>131.56029120000656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73.188135645149515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73.188135645149515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212.00000000000009</v>
      </c>
      <c r="BE153" s="13">
        <f>BD153*VLOOKUP('Données projet'!$B$11,Paramètres!$A$1:$I$89,3,0)*VLOOKUP('Données projet'!$B$11,Paramètres!$A$1:$I$89,5,0)</f>
        <v>185.20320000000009</v>
      </c>
      <c r="BF153" s="13">
        <f t="shared" si="145"/>
        <v>46.477875402099386</v>
      </c>
      <c r="BG153" s="20">
        <f t="shared" si="115"/>
        <v>403.5112063253232</v>
      </c>
      <c r="BH153" s="59">
        <f t="shared" si="116"/>
        <v>693.85639968099372</v>
      </c>
      <c r="BI153" s="59">
        <f ca="1">AVERAGE(OFFSET($BH$3,0,0,'Données projet'!$E$11+1,1))-AVERAGE(OFFSET($H$3,0,0,'Données projet'!$E$11+1,1))</f>
        <v>314.1123649635374</v>
      </c>
      <c r="BJ153" s="59">
        <f t="shared" si="146"/>
        <v>274.92342227914889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16.268780161800684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16.268780161800684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212.42519999999985</v>
      </c>
      <c r="CA153" s="13">
        <f t="shared" si="147"/>
        <v>52.465198231787184</v>
      </c>
      <c r="CB153" s="20">
        <f t="shared" si="118"/>
        <v>461.35077692036231</v>
      </c>
      <c r="CC153" s="59">
        <f t="shared" si="119"/>
        <v>751.69597027603277</v>
      </c>
      <c r="CD153" s="59">
        <f ca="1">AVERAGE(OFFSET($CC$3,0,0,'Données projet'!$E$12+1,1))-AVERAGE(OFFSET($H$3,0,0,'Données projet'!$E$12+1,1))</f>
        <v>309.86296291630748</v>
      </c>
      <c r="CE153" s="59">
        <f t="shared" si="148"/>
        <v>301.17633325088661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10.846694225472126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10.846694225472126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404.00000000000017</v>
      </c>
      <c r="CU153" s="17">
        <f>CT153*VLOOKUP('Données projet'!$B$13,Paramètres!$A$1:$I$89,3,0)*VLOOKUP('Données projet'!$B$13,Paramètres!$A$1:$I$89,5,0)</f>
        <v>346.63200000000018</v>
      </c>
      <c r="CV153" s="13">
        <f t="shared" si="149"/>
        <v>80.868615263336864</v>
      </c>
      <c r="CW153" s="20">
        <f t="shared" si="121"/>
        <v>744.56357158364528</v>
      </c>
      <c r="CX153" s="59">
        <f t="shared" si="122"/>
        <v>1034.9087649393157</v>
      </c>
      <c r="CY153" s="59">
        <f ca="1">AVERAGE(OFFSET($CX$3,0,0,'Données projet'!$E$13+1,1))-AVERAGE(OFFSET($H$3,0,0,'Données projet'!$E$13+1,1))</f>
        <v>462.66388549889928</v>
      </c>
      <c r="CZ153" s="59">
        <f t="shared" si="150"/>
        <v>265.3725203415089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55.180028118724195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55.180028118724195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210.25641030000014</v>
      </c>
      <c r="DP153" s="17">
        <f>DO153*VLOOKUP('Données projet'!$B$14,Paramètres!$A$1:$I$89,3,0)*VLOOKUP('Données projet'!$B$14,Paramètres!$A$1:$I$89,5,0)</f>
        <v>164.00000003400012</v>
      </c>
      <c r="DQ153" s="13">
        <f t="shared" si="151"/>
        <v>41.743425916009095</v>
      </c>
      <c r="DR153" s="20">
        <f t="shared" si="124"/>
        <v>358.3364668629327</v>
      </c>
      <c r="DS153" s="59">
        <f t="shared" si="125"/>
        <v>648.68166021860316</v>
      </c>
      <c r="DT153" s="59">
        <f ca="1">AVERAGE(OFFSET($DS$3,0,0,'Données projet'!$E$14+1,1))-AVERAGE(OFFSET($H$3,0,0,'Données projet'!$E$14+1,1))</f>
        <v>206.5241977687125</v>
      </c>
      <c r="DU153" s="59">
        <f t="shared" si="152"/>
        <v>205.25001043771269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6.4933056775850622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6.4933056775850622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155.99999999999991</v>
      </c>
      <c r="EK153" s="17">
        <f>EJ153*VLOOKUP('Données projet'!$B$15,Paramètres!$A$1:$I$89,3,0)*VLOOKUP('Données projet'!$B$15,Paramètres!$A$1:$I$89,5,0)</f>
        <v>136.28159999999994</v>
      </c>
      <c r="EL153" s="13">
        <f t="shared" si="153"/>
        <v>35.443842312892279</v>
      </c>
      <c r="EM153" s="20">
        <f t="shared" si="127"/>
        <v>299.08847869495395</v>
      </c>
      <c r="EN153" s="59">
        <f t="shared" si="128"/>
        <v>589.43367205062441</v>
      </c>
      <c r="EO153" s="59">
        <f ca="1">AVERAGE(OFFSET($EN$3,0,0,'Données projet'!$E$15+1,1))-AVERAGE(OFFSET($H$3,0,0,'Données projet'!$E$15+1,1))</f>
        <v>205.83135724908942</v>
      </c>
      <c r="EP153" s="59">
        <f t="shared" si="154"/>
        <v>193.60053377311405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6.4663092409994523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6.4663092409994523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204.00000000000017</v>
      </c>
      <c r="FF153" s="17">
        <f>FE153*VLOOKUP('Données projet'!$B$16,Paramètres!$A$1:$I$89,3,0)*VLOOKUP('Données projet'!$B$16,Paramètres!$A$1:$I$89,5,0)</f>
        <v>133.66080000000011</v>
      </c>
      <c r="FG153" s="13">
        <f t="shared" si="155"/>
        <v>34.840890682716783</v>
      </c>
      <c r="FH153" s="20">
        <f t="shared" si="130"/>
        <v>293.4737779390652</v>
      </c>
      <c r="FI153" s="59">
        <f t="shared" si="131"/>
        <v>583.81897129473566</v>
      </c>
      <c r="FJ153" s="59">
        <f ca="1">AVERAGE(OFFSET($FI$3,0,0,'Données projet'!$E$16+1,1))-AVERAGE(OFFSET($H$3,0,0,'Données projet'!$E$16+1,1))</f>
        <v>242.76791261317206</v>
      </c>
      <c r="FK153" s="59">
        <f t="shared" si="156"/>
        <v>244.28580264867682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12.011199003197254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12.011199003197254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-1.1749999999999972</v>
      </c>
      <c r="FZ153" s="12">
        <f>IF('Données projet'!$A$244&gt;35,FZ152+FY153-GH152,IF(A153&lt;'Données projet'!$A$244,$FW$205^A153,IF(A153='Données projet'!$A$244,'Données projet'!$B$244,FZ152+FY153-GH152)))</f>
        <v>289.82499999999965</v>
      </c>
      <c r="GA153" s="17">
        <f>FZ153*VLOOKUP('Données projet'!$B$17,Paramètres!$A$1:$I$89,3,0)*VLOOKUP('Données projet'!$B$17,Paramètres!$A$1:$I$89,5,0)</f>
        <v>275.79746999999963</v>
      </c>
      <c r="GB153" s="13">
        <f t="shared" si="157"/>
        <v>66.078113324072206</v>
      </c>
      <c r="GC153" s="20">
        <f t="shared" si="133"/>
        <v>595.43330762275843</v>
      </c>
      <c r="GD153" s="59">
        <f t="shared" si="134"/>
        <v>885.77850097842884</v>
      </c>
      <c r="GE153" s="59">
        <f ca="1">AVERAGE(OFFSET($GD$3,0,0,'Données projet'!$E$17+1,1))-AVERAGE(OFFSET($H$3,0,0,'Données projet'!$E$17+1,1))</f>
        <v>512.71941256120977</v>
      </c>
      <c r="GF153" s="59">
        <f t="shared" si="158"/>
        <v>230.65031527019354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155.20950133538813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155.20950133538813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69.185052733364671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-5.6843418860808015E-14</v>
      </c>
      <c r="GV153" s="17">
        <f>GU153*VLOOKUP('Données projet'!$B$18,Paramètres!$A$1:$I$89,3,0)*VLOOKUP('Données projet'!$B$18,Paramètres!$A$1:$I$89,5,0)</f>
        <v>-2.5006556825246661E-14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180.68917161146683</v>
      </c>
      <c r="HA153" s="59">
        <f t="shared" si="160"/>
        <v>344.42126252322419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5.9388207079546147</v>
      </c>
      <c r="HH153" s="21">
        <f>EXP(-LN(2)/25)*HH152+(1-EXP(-LN(2)/25))/(LN(2)/25)*Calculateur!HC153*Calculateur!HE153*VLOOKUP('Données projet'!$B$18,Paramètres!$A$1:$I$89,3,0)*0.475*44/12</f>
        <v>0.59461003158680426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6.5334307395414193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2.25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8.25</v>
      </c>
      <c r="H154" s="66">
        <f t="shared" si="110"/>
        <v>223.66666666666666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-1.1749999999999972</v>
      </c>
      <c r="N154" s="13">
        <f>IF('Données projet'!$A$36&gt;35,N153+M154-V153,IF(A154&lt;'Données projet'!$A$36,$K$205^A154,IF(A154='Données projet'!$A$36,'Données projet'!$B$36,N153+M154-V153)))</f>
        <v>288.64999999999964</v>
      </c>
      <c r="O154" s="13">
        <f>N154*VLOOKUP('Données projet'!$B$9,Paramètres!$A$1:$I$89,3,0)*VLOOKUP('Données projet'!$B$9,Paramètres!$A$1:$I$89,5,0)</f>
        <v>261.17051999999967</v>
      </c>
      <c r="P154" s="13">
        <f t="shared" si="141"/>
        <v>62.971820252570637</v>
      </c>
      <c r="Q154" s="20">
        <f t="shared" ref="Q154:Q203" si="162">(O154+P154)*0.475*44/12</f>
        <v>564.54790927322654</v>
      </c>
      <c r="R154" s="59">
        <f t="shared" si="109"/>
        <v>854.94494017702925</v>
      </c>
      <c r="S154" s="59">
        <f ca="1">AVERAGE(OFFSET($R$3,0,0,'Données projet'!$E$9+1,1))-AVERAGE(OFFSET($H$3,0,0,'Données projet'!$E$9+1,1))</f>
        <v>490.57849401500789</v>
      </c>
      <c r="T154" s="59">
        <f t="shared" si="142"/>
        <v>221.7570623669753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144.68236697694519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144.68236697694519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7.027499999999999</v>
      </c>
      <c r="AI154" s="13">
        <f>IF('Données projet'!$A$62&gt;35,AI153+AH154-AQ153,IF(A154&lt;'Données projet'!$A$62,$AF$205^A154,IF(A154='Données projet'!$A$62,'Données projet'!$B$62,AI153+AH154-AQ153)))</f>
        <v>374.06249999999943</v>
      </c>
      <c r="AJ154" s="13">
        <f>AI154*VLOOKUP('Données projet'!$B$10,Paramètres!$A$1:$I$89,3,0)*VLOOKUP('Données projet'!$B$10,Paramètres!$A$1:$I$89,5,0)</f>
        <v>250.92112499999962</v>
      </c>
      <c r="AK154" s="13">
        <f t="shared" ref="AK154:AK203" si="164">EXP(-1.0587+0.8836*LN(AJ154)+0.284)</f>
        <v>60.783143668629315</v>
      </c>
      <c r="AL154" s="20">
        <f t="shared" ref="AL154:AL203" si="165">(AJ154+AK154)*0.475*44/12</f>
        <v>542.88493459786196</v>
      </c>
      <c r="AM154" s="59">
        <f t="shared" si="113"/>
        <v>833.28196550166467</v>
      </c>
      <c r="AN154" s="59">
        <f ca="1">AVERAGE(OFFSET($AM$3,0,0,'Données projet'!$E$10+1,1))-AVERAGE(OFFSET($H$3,0,0,'Données projet'!$E$10+1,1))</f>
        <v>377.00534440335832</v>
      </c>
      <c r="AO154" s="59">
        <f t="shared" si="144"/>
        <v>131.56029120000656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71.752960945503006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71.752960945503006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212.00000000000009</v>
      </c>
      <c r="BE154" s="13">
        <f>BD154*VLOOKUP('Données projet'!$B$11,Paramètres!$A$1:$I$89,3,0)*VLOOKUP('Données projet'!$B$11,Paramètres!$A$1:$I$89,5,0)</f>
        <v>185.20320000000009</v>
      </c>
      <c r="BF154" s="13">
        <f t="shared" ref="BF154:BF203" si="167">EXP(-1.0587+0.8836*LN(BE154)+0.284)</f>
        <v>46.477875402099386</v>
      </c>
      <c r="BG154" s="20">
        <f t="shared" ref="BG154:BG203" si="168">(BE154+BF154)*0.475*44/12</f>
        <v>403.5112063253232</v>
      </c>
      <c r="BH154" s="59">
        <f t="shared" si="116"/>
        <v>693.90823722912592</v>
      </c>
      <c r="BI154" s="59">
        <f ca="1">AVERAGE(OFFSET($BH$3,0,0,'Données projet'!$E$11+1,1))-AVERAGE(OFFSET($H$3,0,0,'Données projet'!$E$11+1,1))</f>
        <v>314.1123649635374</v>
      </c>
      <c r="BJ154" s="59">
        <f t="shared" si="146"/>
        <v>274.92342227914889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15.949759305803859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15.949759305803859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212.42519999999985</v>
      </c>
      <c r="CA154" s="13">
        <f t="shared" ref="CA154:CA203" si="170">EXP(-1.0587+0.8836*LN(BZ154)+0.284)</f>
        <v>52.465198231787184</v>
      </c>
      <c r="CB154" s="20">
        <f t="shared" ref="CB154:CB203" si="171">(BZ154+CA154)*0.475*44/12</f>
        <v>461.35077692036231</v>
      </c>
      <c r="CC154" s="59">
        <f t="shared" si="119"/>
        <v>751.74780782416497</v>
      </c>
      <c r="CD154" s="59">
        <f ca="1">AVERAGE(OFFSET($CC$3,0,0,'Données projet'!$E$12+1,1))-AVERAGE(OFFSET($H$3,0,0,'Données projet'!$E$12+1,1))</f>
        <v>309.86296291630748</v>
      </c>
      <c r="CE154" s="59">
        <f t="shared" si="148"/>
        <v>301.17633325088661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10.633997167540835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10.633997167540835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404.00000000000017</v>
      </c>
      <c r="CU154" s="17">
        <f>CT154*VLOOKUP('Données projet'!$B$13,Paramètres!$A$1:$I$89,3,0)*VLOOKUP('Données projet'!$B$13,Paramètres!$A$1:$I$89,5,0)</f>
        <v>346.63200000000018</v>
      </c>
      <c r="CV154" s="13">
        <f t="shared" ref="CV154:CV203" si="173">EXP(-1.0587+0.8836*LN(CU154)+0.284)</f>
        <v>80.868615263336864</v>
      </c>
      <c r="CW154" s="20">
        <f t="shared" ref="CW154:CW203" si="174">(CU154+CV154)*0.475*44/12</f>
        <v>744.56357158364528</v>
      </c>
      <c r="CX154" s="59">
        <f t="shared" si="122"/>
        <v>1034.9606024874479</v>
      </c>
      <c r="CY154" s="59">
        <f ca="1">AVERAGE(OFFSET($CX$3,0,0,'Données projet'!$E$13+1,1))-AVERAGE(OFFSET($H$3,0,0,'Données projet'!$E$13+1,1))</f>
        <v>462.66388549889928</v>
      </c>
      <c r="CZ154" s="59">
        <f t="shared" si="150"/>
        <v>265.3725203415089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54.097981423809863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54.097981423809863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210.25641030000014</v>
      </c>
      <c r="DP154" s="17">
        <f>DO154*VLOOKUP('Données projet'!$B$14,Paramètres!$A$1:$I$89,3,0)*VLOOKUP('Données projet'!$B$14,Paramètres!$A$1:$I$89,5,0)</f>
        <v>164.00000003400012</v>
      </c>
      <c r="DQ154" s="13">
        <f t="shared" ref="DQ154:DQ203" si="176">EXP(-1.0587+0.8836*LN(DP154)+0.284)</f>
        <v>41.743425916009095</v>
      </c>
      <c r="DR154" s="20">
        <f t="shared" ref="DR154:DR203" si="177">(DP154+DQ154)*0.475*44/12</f>
        <v>358.3364668629327</v>
      </c>
      <c r="DS154" s="59">
        <f t="shared" si="125"/>
        <v>648.73349776673535</v>
      </c>
      <c r="DT154" s="59">
        <f ca="1">AVERAGE(OFFSET($DS$3,0,0,'Données projet'!$E$14+1,1))-AVERAGE(OFFSET($H$3,0,0,'Données projet'!$E$14+1,1))</f>
        <v>206.5241977687125</v>
      </c>
      <c r="DU154" s="59">
        <f t="shared" si="152"/>
        <v>205.25001043771269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6.3659759137730134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6.3659759137730134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155.99999999999991</v>
      </c>
      <c r="EK154" s="17">
        <f>EJ154*VLOOKUP('Données projet'!$B$15,Paramètres!$A$1:$I$89,3,0)*VLOOKUP('Données projet'!$B$15,Paramètres!$A$1:$I$89,5,0)</f>
        <v>136.28159999999994</v>
      </c>
      <c r="EL154" s="13">
        <f t="shared" ref="EL154:EL203" si="179">EXP(-1.0587+0.8836*LN(EK154)+0.284)</f>
        <v>35.443842312892279</v>
      </c>
      <c r="EM154" s="20">
        <f t="shared" ref="EM154:EM203" si="180">(EK154+EL154)*0.475*44/12</f>
        <v>299.08847869495395</v>
      </c>
      <c r="EN154" s="59">
        <f t="shared" si="128"/>
        <v>589.48550959875661</v>
      </c>
      <c r="EO154" s="59">
        <f ca="1">AVERAGE(OFFSET($EN$3,0,0,'Données projet'!$E$15+1,1))-AVERAGE(OFFSET($H$3,0,0,'Données projet'!$E$15+1,1))</f>
        <v>205.83135724908942</v>
      </c>
      <c r="EP154" s="59">
        <f t="shared" si="154"/>
        <v>193.60053377311405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6.3395088608426464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6.3395088608426464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204.00000000000017</v>
      </c>
      <c r="FF154" s="17">
        <f>FE154*VLOOKUP('Données projet'!$B$16,Paramètres!$A$1:$I$89,3,0)*VLOOKUP('Données projet'!$B$16,Paramètres!$A$1:$I$89,5,0)</f>
        <v>133.66080000000011</v>
      </c>
      <c r="FG154" s="13">
        <f t="shared" ref="FG154:FG203" si="182">EXP(-1.0587+0.8836*LN(FF154)+0.284)</f>
        <v>34.840890682716783</v>
      </c>
      <c r="FH154" s="20">
        <f t="shared" ref="FH154:FH203" si="183">(FF154+FG154)*0.475*44/12</f>
        <v>293.4737779390652</v>
      </c>
      <c r="FI154" s="59">
        <f t="shared" si="131"/>
        <v>583.87080884286797</v>
      </c>
      <c r="FJ154" s="59">
        <f ca="1">AVERAGE(OFFSET($FI$3,0,0,'Données projet'!$E$16+1,1))-AVERAGE(OFFSET($H$3,0,0,'Données projet'!$E$16+1,1))</f>
        <v>242.76791261317206</v>
      </c>
      <c r="FK154" s="59">
        <f t="shared" si="156"/>
        <v>244.28580264867682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11.775666716852554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11.775666716852554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-1.1749999999999972</v>
      </c>
      <c r="FZ154" s="12">
        <f>IF('Données projet'!$A$244&gt;35,FZ153+FY154-GH153,IF(A154&lt;'Données projet'!$A$244,$FW$205^A154,IF(A154='Données projet'!$A$244,'Données projet'!$B$244,FZ153+FY154-GH153)))</f>
        <v>288.64999999999964</v>
      </c>
      <c r="GA154" s="17">
        <f>FZ154*VLOOKUP('Données projet'!$B$17,Paramètres!$A$1:$I$89,3,0)*VLOOKUP('Données projet'!$B$17,Paramètres!$A$1:$I$89,5,0)</f>
        <v>274.67933999999968</v>
      </c>
      <c r="GB154" s="13">
        <f t="shared" ref="GB154:GB203" si="185">EXP(-1.0587+0.8836*LN(GA154)+0.284)</f>
        <v>65.841348064216135</v>
      </c>
      <c r="GC154" s="20">
        <f t="shared" ref="GC154:GC203" si="186">(GA154+GB154)*0.475*44/12</f>
        <v>593.07353171184252</v>
      </c>
      <c r="GD154" s="59">
        <f t="shared" si="134"/>
        <v>883.47056261564524</v>
      </c>
      <c r="GE154" s="59">
        <f ca="1">AVERAGE(OFFSET($GD$3,0,0,'Données projet'!$E$17+1,1))-AVERAGE(OFFSET($H$3,0,0,'Données projet'!$E$17+1,1))</f>
        <v>512.71941256120977</v>
      </c>
      <c r="GF154" s="59">
        <f t="shared" si="158"/>
        <v>230.65031527019354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152.16593768264926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152.16593768264926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69.199190246491654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-5.6843418860808015E-14</v>
      </c>
      <c r="GV154" s="17">
        <f>GU154*VLOOKUP('Données projet'!$B$18,Paramètres!$A$1:$I$89,3,0)*VLOOKUP('Données projet'!$B$18,Paramètres!$A$1:$I$89,5,0)</f>
        <v>-2.5006556825246661E-14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180.68917161146683</v>
      </c>
      <c r="HA154" s="59">
        <f t="shared" si="160"/>
        <v>344.42126252322419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5.8223640561945817</v>
      </c>
      <c r="HH154" s="21">
        <f>EXP(-LN(2)/25)*HH153+(1-EXP(-LN(2)/25))/(LN(2)/25)*Calculateur!HC154*Calculateur!HE154*VLOOKUP('Données projet'!$B$18,Paramètres!$A$1:$I$89,3,0)*0.475*44/12</f>
        <v>0.57835038900388058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6.4007144451984619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2.25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8.25</v>
      </c>
      <c r="H155" s="66">
        <f t="shared" si="110"/>
        <v>223.66666666666666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-1.1749999999999972</v>
      </c>
      <c r="N155" s="13">
        <f>IF('Données projet'!$A$36&gt;35,N154+M155-V154,IF(A155&lt;'Données projet'!$A$36,$K$205^A155,IF(A155='Données projet'!$A$36,'Données projet'!$B$36,N154+M155-V154)))</f>
        <v>287.47499999999962</v>
      </c>
      <c r="O155" s="13">
        <f>N155*VLOOKUP('Données projet'!$B$9,Paramètres!$A$1:$I$89,3,0)*VLOOKUP('Données projet'!$B$9,Paramètres!$A$1:$I$89,5,0)</f>
        <v>260.10737999999964</v>
      </c>
      <c r="P155" s="13">
        <f t="shared" si="141"/>
        <v>62.745266482747503</v>
      </c>
      <c r="Q155" s="20">
        <f t="shared" si="162"/>
        <v>562.30169262411789</v>
      </c>
      <c r="R155" s="59">
        <f t="shared" si="109"/>
        <v>852.74966181048421</v>
      </c>
      <c r="S155" s="59">
        <f ca="1">AVERAGE(OFFSET($R$3,0,0,'Données projet'!$E$9+1,1))-AVERAGE(OFFSET($H$3,0,0,'Données projet'!$E$9+1,1))</f>
        <v>490.57849401500789</v>
      </c>
      <c r="T155" s="59">
        <f t="shared" si="142"/>
        <v>221.7570623669753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141.84523400805742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141.84523400805742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7.027499999999999</v>
      </c>
      <c r="AI155" s="13">
        <f>IF('Données projet'!$A$62&gt;35,AI154+AH155-AQ154,IF(A155&lt;'Données projet'!$A$62,$AF$205^A155,IF(A155='Données projet'!$A$62,'Données projet'!$B$62,AI154+AH155-AQ154)))</f>
        <v>381.08999999999941</v>
      </c>
      <c r="AJ155" s="13">
        <f>AI155*VLOOKUP('Données projet'!$B$10,Paramètres!$A$1:$I$89,3,0)*VLOOKUP('Données projet'!$B$10,Paramètres!$A$1:$I$89,5,0)</f>
        <v>255.63517199999959</v>
      </c>
      <c r="AK155" s="13">
        <f t="shared" si="164"/>
        <v>61.791058231044673</v>
      </c>
      <c r="AL155" s="20">
        <f t="shared" si="165"/>
        <v>552.85068431906871</v>
      </c>
      <c r="AM155" s="59">
        <f t="shared" si="113"/>
        <v>843.29865350543491</v>
      </c>
      <c r="AN155" s="59">
        <f ca="1">AVERAGE(OFFSET($AM$3,0,0,'Données projet'!$E$10+1,1))-AVERAGE(OFFSET($H$3,0,0,'Données projet'!$E$10+1,1))</f>
        <v>377.00534440335832</v>
      </c>
      <c r="AO155" s="59">
        <f t="shared" si="144"/>
        <v>131.56029120000656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70.345929146346435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70.345929146346435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212.00000000000009</v>
      </c>
      <c r="BE155" s="13">
        <f>BD155*VLOOKUP('Données projet'!$B$11,Paramètres!$A$1:$I$89,3,0)*VLOOKUP('Données projet'!$B$11,Paramètres!$A$1:$I$89,5,0)</f>
        <v>185.20320000000009</v>
      </c>
      <c r="BF155" s="13">
        <f t="shared" si="167"/>
        <v>46.477875402099386</v>
      </c>
      <c r="BG155" s="20">
        <f t="shared" si="168"/>
        <v>403.5112063253232</v>
      </c>
      <c r="BH155" s="59">
        <f t="shared" si="116"/>
        <v>693.95917551168941</v>
      </c>
      <c r="BI155" s="59">
        <f ca="1">AVERAGE(OFFSET($BH$3,0,0,'Données projet'!$E$11+1,1))-AVERAGE(OFFSET($H$3,0,0,'Données projet'!$E$11+1,1))</f>
        <v>314.1123649635374</v>
      </c>
      <c r="BJ155" s="59">
        <f t="shared" si="146"/>
        <v>274.92342227914889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15.636994254209624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15.636994254209624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212.42519999999985</v>
      </c>
      <c r="CA155" s="13">
        <f t="shared" si="170"/>
        <v>52.465198231787184</v>
      </c>
      <c r="CB155" s="20">
        <f t="shared" si="171"/>
        <v>461.35077692036231</v>
      </c>
      <c r="CC155" s="59">
        <f t="shared" si="119"/>
        <v>751.79874610672857</v>
      </c>
      <c r="CD155" s="59">
        <f ca="1">AVERAGE(OFFSET($CC$3,0,0,'Données projet'!$E$12+1,1))-AVERAGE(OFFSET($H$3,0,0,'Données projet'!$E$12+1,1))</f>
        <v>309.86296291630748</v>
      </c>
      <c r="CE155" s="59">
        <f t="shared" si="148"/>
        <v>301.17633325088661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10.425470969183182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10.425470969183182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404.00000000000017</v>
      </c>
      <c r="CU155" s="17">
        <f>CT155*VLOOKUP('Données projet'!$B$13,Paramètres!$A$1:$I$89,3,0)*VLOOKUP('Données projet'!$B$13,Paramètres!$A$1:$I$89,5,0)</f>
        <v>346.63200000000018</v>
      </c>
      <c r="CV155" s="13">
        <f t="shared" si="173"/>
        <v>80.868615263336864</v>
      </c>
      <c r="CW155" s="20">
        <f t="shared" si="174"/>
        <v>744.56357158364528</v>
      </c>
      <c r="CX155" s="59">
        <f t="shared" si="122"/>
        <v>1035.0115407700116</v>
      </c>
      <c r="CY155" s="59">
        <f ca="1">AVERAGE(OFFSET($CX$3,0,0,'Données projet'!$E$13+1,1))-AVERAGE(OFFSET($H$3,0,0,'Données projet'!$E$13+1,1))</f>
        <v>462.66388549889928</v>
      </c>
      <c r="CZ155" s="59">
        <f t="shared" si="150"/>
        <v>265.3725203415089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53.037153004599482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53.037153004599482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210.25641030000014</v>
      </c>
      <c r="DP155" s="17">
        <f>DO155*VLOOKUP('Données projet'!$B$14,Paramètres!$A$1:$I$89,3,0)*VLOOKUP('Données projet'!$B$14,Paramètres!$A$1:$I$89,5,0)</f>
        <v>164.00000003400012</v>
      </c>
      <c r="DQ155" s="13">
        <f t="shared" si="176"/>
        <v>41.743425916009095</v>
      </c>
      <c r="DR155" s="20">
        <f t="shared" si="177"/>
        <v>358.3364668629327</v>
      </c>
      <c r="DS155" s="59">
        <f t="shared" si="125"/>
        <v>648.78443604929896</v>
      </c>
      <c r="DT155" s="59">
        <f ca="1">AVERAGE(OFFSET($DS$3,0,0,'Données projet'!$E$14+1,1))-AVERAGE(OFFSET($H$3,0,0,'Données projet'!$E$14+1,1))</f>
        <v>206.5241977687125</v>
      </c>
      <c r="DU155" s="59">
        <f t="shared" si="152"/>
        <v>205.25001043771269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6.2411430089658309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6.2411430089658309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155.99999999999991</v>
      </c>
      <c r="EK155" s="17">
        <f>EJ155*VLOOKUP('Données projet'!$B$15,Paramètres!$A$1:$I$89,3,0)*VLOOKUP('Données projet'!$B$15,Paramètres!$A$1:$I$89,5,0)</f>
        <v>136.28159999999994</v>
      </c>
      <c r="EL155" s="13">
        <f t="shared" si="179"/>
        <v>35.443842312892279</v>
      </c>
      <c r="EM155" s="20">
        <f t="shared" si="180"/>
        <v>299.08847869495395</v>
      </c>
      <c r="EN155" s="59">
        <f t="shared" si="128"/>
        <v>589.53644788132021</v>
      </c>
      <c r="EO155" s="59">
        <f ca="1">AVERAGE(OFFSET($EN$3,0,0,'Données projet'!$E$15+1,1))-AVERAGE(OFFSET($H$3,0,0,'Données projet'!$E$15+1,1))</f>
        <v>205.83135724908942</v>
      </c>
      <c r="EP155" s="59">
        <f t="shared" si="154"/>
        <v>193.60053377311405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6.2151949588001205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6.2151949588001205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204.00000000000017</v>
      </c>
      <c r="FF155" s="17">
        <f>FE155*VLOOKUP('Données projet'!$B$16,Paramètres!$A$1:$I$89,3,0)*VLOOKUP('Données projet'!$B$16,Paramètres!$A$1:$I$89,5,0)</f>
        <v>133.66080000000011</v>
      </c>
      <c r="FG155" s="13">
        <f t="shared" si="182"/>
        <v>34.840890682716783</v>
      </c>
      <c r="FH155" s="20">
        <f t="shared" si="183"/>
        <v>293.4737779390652</v>
      </c>
      <c r="FI155" s="59">
        <f t="shared" si="131"/>
        <v>583.92174712543147</v>
      </c>
      <c r="FJ155" s="59">
        <f ca="1">AVERAGE(OFFSET($FI$3,0,0,'Données projet'!$E$16+1,1))-AVERAGE(OFFSET($H$3,0,0,'Données projet'!$E$16+1,1))</f>
        <v>242.76791261317206</v>
      </c>
      <c r="FK155" s="59">
        <f t="shared" si="156"/>
        <v>244.28580264867682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11.544753074982564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11.544753074982564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-1.1749999999999972</v>
      </c>
      <c r="FZ155" s="12">
        <f>IF('Données projet'!$A$244&gt;35,FZ154+FY155-GH154,IF(A155&lt;'Données projet'!$A$244,$FW$205^A155,IF(A155='Données projet'!$A$244,'Données projet'!$B$244,FZ154+FY155-GH154)))</f>
        <v>287.47499999999962</v>
      </c>
      <c r="GA155" s="17">
        <f>FZ155*VLOOKUP('Données projet'!$B$17,Paramètres!$A$1:$I$89,3,0)*VLOOKUP('Données projet'!$B$17,Paramètres!$A$1:$I$89,5,0)</f>
        <v>273.56120999999962</v>
      </c>
      <c r="GB155" s="13">
        <f t="shared" si="185"/>
        <v>65.604470591810966</v>
      </c>
      <c r="GC155" s="20">
        <f t="shared" si="186"/>
        <v>590.71356036407008</v>
      </c>
      <c r="GD155" s="59">
        <f t="shared" si="134"/>
        <v>881.1615295504364</v>
      </c>
      <c r="GE155" s="59">
        <f ca="1">AVERAGE(OFFSET($GD$3,0,0,'Données projet'!$E$17+1,1))-AVERAGE(OFFSET($H$3,0,0,'Données projet'!$E$17+1,1))</f>
        <v>512.71941256120977</v>
      </c>
      <c r="GF155" s="59">
        <f t="shared" si="158"/>
        <v>230.65031527019354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149.18205645675008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149.18205645675008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69.213082505372626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-5.6843418860808015E-14</v>
      </c>
      <c r="GV155" s="17">
        <f>GU155*VLOOKUP('Données projet'!$B$18,Paramètres!$A$1:$I$89,3,0)*VLOOKUP('Données projet'!$B$18,Paramètres!$A$1:$I$89,5,0)</f>
        <v>-2.5006556825246661E-14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180.68917161146683</v>
      </c>
      <c r="HA155" s="59">
        <f t="shared" si="160"/>
        <v>344.42126252322419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5.7081910483440197</v>
      </c>
      <c r="HH155" s="21">
        <f>EXP(-LN(2)/25)*HH154+(1-EXP(-LN(2)/25))/(LN(2)/25)*Calculateur!HC155*Calculateur!HE155*VLOOKUP('Données projet'!$B$18,Paramètres!$A$1:$I$89,3,0)*0.475*44/12</f>
        <v>0.56253536720244435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6.2707264155464637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2.25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8.25</v>
      </c>
      <c r="H156" s="66">
        <f t="shared" si="110"/>
        <v>223.66666666666666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286.3</v>
      </c>
      <c r="L156" s="12">
        <f>VLOOKUP(A156,'Données projet'!$A$35:$I$55,9,0)</f>
        <v>-1.1749999999999972</v>
      </c>
      <c r="M156" s="12">
        <f t="array" ref="M156">INDEX(L:L,MIN(IF(ISNUMBER(L156:L352),ROW(L156:L352),"")))</f>
        <v>-1.1749999999999972</v>
      </c>
      <c r="N156" s="13">
        <f>IF('Données projet'!$A$36&gt;35,N155+M156-V155,IF(A156&lt;'Données projet'!$A$36,$K$205^A156,IF(A156='Données projet'!$A$36,'Données projet'!$B$36,N155+M156-V155)))</f>
        <v>286.29999999999961</v>
      </c>
      <c r="O156" s="13">
        <f>N156*VLOOKUP('Données projet'!$B$9,Paramètres!$A$1:$I$89,3,0)*VLOOKUP('Données projet'!$B$9,Paramètres!$A$1:$I$89,5,0)</f>
        <v>259.04423999999966</v>
      </c>
      <c r="P156" s="13">
        <f t="shared" si="141"/>
        <v>62.518604901036205</v>
      </c>
      <c r="Q156" s="20">
        <f t="shared" si="162"/>
        <v>560.05528820263737</v>
      </c>
      <c r="R156" s="59">
        <f t="shared" si="109"/>
        <v>850.55331200624573</v>
      </c>
      <c r="S156" s="59">
        <f ca="1">AVERAGE(OFFSET($R$3,0,0,'Données projet'!$E$9+1,1))-AVERAGE(OFFSET($H$3,0,0,'Données projet'!$E$9+1,1))</f>
        <v>490.57849401500789</v>
      </c>
      <c r="T156" s="59">
        <f t="shared" si="142"/>
        <v>221.7570623669753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89.29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177.46725088634676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177.46725088634676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7.027499999999999</v>
      </c>
      <c r="AI156" s="13">
        <f>IF('Données projet'!$A$62&gt;35,AI155+AH156-AQ155,IF(A156&lt;'Données projet'!$A$62,$AF$205^A156,IF(A156='Données projet'!$A$62,'Données projet'!$B$62,AI155+AH156-AQ155)))</f>
        <v>388.11749999999938</v>
      </c>
      <c r="AJ156" s="13">
        <f>AI156*VLOOKUP('Données projet'!$B$10,Paramètres!$A$1:$I$89,3,0)*VLOOKUP('Données projet'!$B$10,Paramètres!$A$1:$I$89,5,0)</f>
        <v>260.34921899999961</v>
      </c>
      <c r="AK156" s="13">
        <f t="shared" si="164"/>
        <v>62.796811518584448</v>
      </c>
      <c r="AL156" s="20">
        <f t="shared" si="165"/>
        <v>562.81266981986721</v>
      </c>
      <c r="AM156" s="59">
        <f t="shared" si="113"/>
        <v>853.31069362347557</v>
      </c>
      <c r="AN156" s="59">
        <f ca="1">AVERAGE(OFFSET($AM$3,0,0,'Données projet'!$E$10+1,1))-AVERAGE(OFFSET($H$3,0,0,'Données projet'!$E$10+1,1))</f>
        <v>377.00534440335832</v>
      </c>
      <c r="AO156" s="59">
        <f t="shared" si="144"/>
        <v>131.56029120000656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68.966488382566666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68.966488382566666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212.00000000000009</v>
      </c>
      <c r="BE156" s="13">
        <f>BD156*VLOOKUP('Données projet'!$B$11,Paramètres!$A$1:$I$89,3,0)*VLOOKUP('Données projet'!$B$11,Paramètres!$A$1:$I$89,5,0)</f>
        <v>185.20320000000009</v>
      </c>
      <c r="BF156" s="13">
        <f t="shared" si="167"/>
        <v>46.477875402099386</v>
      </c>
      <c r="BG156" s="20">
        <f t="shared" si="168"/>
        <v>403.5112063253232</v>
      </c>
      <c r="BH156" s="59">
        <f t="shared" si="116"/>
        <v>694.00923012893156</v>
      </c>
      <c r="BI156" s="59">
        <f ca="1">AVERAGE(OFFSET($BH$3,0,0,'Données projet'!$E$11+1,1))-AVERAGE(OFFSET($H$3,0,0,'Données projet'!$E$11+1,1))</f>
        <v>314.1123649635374</v>
      </c>
      <c r="BJ156" s="59">
        <f t="shared" si="146"/>
        <v>274.92342227914889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15.330362334509307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15.330362334509307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212.42519999999985</v>
      </c>
      <c r="CA156" s="13">
        <f t="shared" si="170"/>
        <v>52.465198231787184</v>
      </c>
      <c r="CB156" s="20">
        <f t="shared" si="171"/>
        <v>461.35077692036231</v>
      </c>
      <c r="CC156" s="59">
        <f t="shared" si="119"/>
        <v>751.84880072397073</v>
      </c>
      <c r="CD156" s="59">
        <f ca="1">AVERAGE(OFFSET($CC$3,0,0,'Données projet'!$E$12+1,1))-AVERAGE(OFFSET($H$3,0,0,'Données projet'!$E$12+1,1))</f>
        <v>309.86296291630748</v>
      </c>
      <c r="CE156" s="59">
        <f t="shared" si="148"/>
        <v>301.17633325088661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10.221033842386902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10.221033842386902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404.00000000000017</v>
      </c>
      <c r="CU156" s="17">
        <f>CT156*VLOOKUP('Données projet'!$B$13,Paramètres!$A$1:$I$89,3,0)*VLOOKUP('Données projet'!$B$13,Paramètres!$A$1:$I$89,5,0)</f>
        <v>346.63200000000018</v>
      </c>
      <c r="CV156" s="13">
        <f t="shared" si="173"/>
        <v>80.868615263336864</v>
      </c>
      <c r="CW156" s="20">
        <f t="shared" si="174"/>
        <v>744.56357158364528</v>
      </c>
      <c r="CX156" s="59">
        <f t="shared" si="122"/>
        <v>1035.0615953872536</v>
      </c>
      <c r="CY156" s="59">
        <f ca="1">AVERAGE(OFFSET($CX$3,0,0,'Données projet'!$E$13+1,1))-AVERAGE(OFFSET($H$3,0,0,'Données projet'!$E$13+1,1))</f>
        <v>462.66388549889928</v>
      </c>
      <c r="CZ156" s="59">
        <f t="shared" si="150"/>
        <v>265.3725203415089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51.997126783648376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51.997126783648376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210.25641030000014</v>
      </c>
      <c r="DP156" s="17">
        <f>DO156*VLOOKUP('Données projet'!$B$14,Paramètres!$A$1:$I$89,3,0)*VLOOKUP('Données projet'!$B$14,Paramètres!$A$1:$I$89,5,0)</f>
        <v>164.00000003400012</v>
      </c>
      <c r="DQ156" s="13">
        <f t="shared" si="176"/>
        <v>41.743425916009095</v>
      </c>
      <c r="DR156" s="20">
        <f t="shared" si="177"/>
        <v>358.3364668629327</v>
      </c>
      <c r="DS156" s="59">
        <f t="shared" si="125"/>
        <v>648.83449066654111</v>
      </c>
      <c r="DT156" s="59">
        <f ca="1">AVERAGE(OFFSET($DS$3,0,0,'Données projet'!$E$14+1,1))-AVERAGE(OFFSET($H$3,0,0,'Données projet'!$E$14+1,1))</f>
        <v>206.5241977687125</v>
      </c>
      <c r="DU156" s="59">
        <f t="shared" si="152"/>
        <v>205.25001043771269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6.118758001281364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6.118758001281364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155.99999999999991</v>
      </c>
      <c r="EK156" s="17">
        <f>EJ156*VLOOKUP('Données projet'!$B$15,Paramètres!$A$1:$I$89,3,0)*VLOOKUP('Données projet'!$B$15,Paramètres!$A$1:$I$89,5,0)</f>
        <v>136.28159999999994</v>
      </c>
      <c r="EL156" s="13">
        <f t="shared" si="179"/>
        <v>35.443842312892279</v>
      </c>
      <c r="EM156" s="20">
        <f t="shared" si="180"/>
        <v>299.08847869495395</v>
      </c>
      <c r="EN156" s="59">
        <f t="shared" si="128"/>
        <v>589.58650249856237</v>
      </c>
      <c r="EO156" s="59">
        <f ca="1">AVERAGE(OFFSET($EN$3,0,0,'Données projet'!$E$15+1,1))-AVERAGE(OFFSET($H$3,0,0,'Données projet'!$E$15+1,1))</f>
        <v>205.83135724908942</v>
      </c>
      <c r="EP156" s="59">
        <f t="shared" si="154"/>
        <v>193.60053377311405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6.0933187765526551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6.0933187765526551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204.00000000000017</v>
      </c>
      <c r="FF156" s="17">
        <f>FE156*VLOOKUP('Données projet'!$B$16,Paramètres!$A$1:$I$89,3,0)*VLOOKUP('Données projet'!$B$16,Paramètres!$A$1:$I$89,5,0)</f>
        <v>133.66080000000011</v>
      </c>
      <c r="FG156" s="13">
        <f t="shared" si="182"/>
        <v>34.840890682716783</v>
      </c>
      <c r="FH156" s="20">
        <f t="shared" si="183"/>
        <v>293.4737779390652</v>
      </c>
      <c r="FI156" s="59">
        <f t="shared" si="131"/>
        <v>583.97180174267351</v>
      </c>
      <c r="FJ156" s="59">
        <f ca="1">AVERAGE(OFFSET($FI$3,0,0,'Données projet'!$E$16+1,1))-AVERAGE(OFFSET($H$3,0,0,'Données projet'!$E$16+1,1))</f>
        <v>242.76791261317206</v>
      </c>
      <c r="FK156" s="59">
        <f t="shared" si="156"/>
        <v>244.28580264867682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11.318367508786231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11.318367508786231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>
        <f>VLOOKUP(A156,'Données projet'!$A$243:$I$263,2,0)</f>
        <v>286.3</v>
      </c>
      <c r="FX156" s="12">
        <f>VLOOKUP(A156,'Données projet'!$A$243:$I$263,9,0)</f>
        <v>-1.1749999999999972</v>
      </c>
      <c r="FY156" s="12">
        <f t="array" ref="FY156">INDEX(FX:FX,MIN(IF(ISNUMBER(FX156:FX352),ROW(FX156:FX352),"")))</f>
        <v>-1.1749999999999972</v>
      </c>
      <c r="FZ156" s="12">
        <f>IF('Données projet'!$A$244&gt;35,FZ155+FY156-GH155,IF(A156&lt;'Données projet'!$A$244,$FW$205^A156,IF(A156='Données projet'!$A$244,'Données projet'!$B$244,FZ155+FY156-GH155)))</f>
        <v>286.29999999999961</v>
      </c>
      <c r="GA156" s="17">
        <f>FZ156*VLOOKUP('Données projet'!$B$17,Paramètres!$A$1:$I$89,3,0)*VLOOKUP('Données projet'!$B$17,Paramètres!$A$1:$I$89,5,0)</f>
        <v>272.44307999999967</v>
      </c>
      <c r="GB156" s="13">
        <f t="shared" si="185"/>
        <v>65.367480394697736</v>
      </c>
      <c r="GC156" s="20">
        <f t="shared" si="186"/>
        <v>588.35339268743132</v>
      </c>
      <c r="GD156" s="59">
        <f t="shared" si="134"/>
        <v>878.85141649103969</v>
      </c>
      <c r="GE156" s="59">
        <f ca="1">AVERAGE(OFFSET($GD$3,0,0,'Données projet'!$E$17+1,1))-AVERAGE(OFFSET($H$3,0,0,'Données projet'!$E$17+1,1))</f>
        <v>512.71941256120977</v>
      </c>
      <c r="GF156" s="59">
        <f t="shared" si="158"/>
        <v>230.65031527019354</v>
      </c>
      <c r="GG156" s="15">
        <f>IF(ISNA(VLOOKUP(A156,'Données projet'!$A$243:$I$263,3,0)),0,VLOOKUP(A156,'Données projet'!$A$243:$I$263,3,0))</f>
        <v>13</v>
      </c>
      <c r="GH156" s="15">
        <f>IF(ISNA(VLOOKUP(A156,'Données projet'!$A$243:$I$263,4,0)),0,VLOOKUP(A156,'Données projet'!$A$243:$I$263,4,0))</f>
        <v>89.29</v>
      </c>
      <c r="GI156" s="16">
        <f>IF(ISNA(VLOOKUP(A156,'Données projet'!$A$243:$I$263,5,0)),0%,VLOOKUP(A156,'Données projet'!$A$243:$I$263,5,0)*VLOOKUP('Données projet'!$B$17,Paramètres!$A$1:$I$89,7,0))</f>
        <v>0.43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186.64659144943369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186.64659144943369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69.226733764620462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-5.6843418860808015E-14</v>
      </c>
      <c r="GV156" s="17">
        <f>GU156*VLOOKUP('Données projet'!$B$18,Paramètres!$A$1:$I$89,3,0)*VLOOKUP('Données projet'!$B$18,Paramètres!$A$1:$I$89,5,0)</f>
        <v>-2.5006556825246661E-14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180.68917161146683</v>
      </c>
      <c r="HA156" s="59">
        <f t="shared" si="160"/>
        <v>344.42126252322419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5.5962569035387482</v>
      </c>
      <c r="HH156" s="21">
        <f>EXP(-LN(2)/25)*HH155+(1-EXP(-LN(2)/25))/(LN(2)/25)*Calculateur!HC156*Calculateur!HE156*VLOOKUP('Données projet'!$B$18,Paramètres!$A$1:$I$89,3,0)*0.475*44/12</f>
        <v>0.54715280800384425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6.1434097115425921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2.25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8.25</v>
      </c>
      <c r="H157" s="66">
        <f t="shared" si="110"/>
        <v>223.66666666666666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-0.62249999999999517</v>
      </c>
      <c r="N157" s="13">
        <f>IF('Données projet'!$A$36&gt;35,N156+M157-V156,IF(A157&lt;'Données projet'!$A$36,$K$205^A157,IF(A157='Données projet'!$A$36,'Données projet'!$B$36,N156+M157-V156)))</f>
        <v>196.38749999999959</v>
      </c>
      <c r="O157" s="13">
        <f>N157*VLOOKUP('Données projet'!$B$9,Paramètres!$A$1:$I$89,3,0)*VLOOKUP('Données projet'!$B$9,Paramètres!$A$1:$I$89,5,0)</f>
        <v>177.69140999999962</v>
      </c>
      <c r="P157" s="13">
        <f t="shared" si="141"/>
        <v>44.808182194782958</v>
      </c>
      <c r="Q157" s="20">
        <f t="shared" si="162"/>
        <v>387.52012307257957</v>
      </c>
      <c r="R157" s="59">
        <f t="shared" si="109"/>
        <v>678.06733315772613</v>
      </c>
      <c r="S157" s="59">
        <f ca="1">AVERAGE(OFFSET($R$3,0,0,'Données projet'!$E$9+1,1))-AVERAGE(OFFSET($H$3,0,0,'Données projet'!$E$9+1,1))</f>
        <v>490.57849401500789</v>
      </c>
      <c r="T157" s="59">
        <f t="shared" si="142"/>
        <v>221.7570623669753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173.98722634080031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173.98722634080031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7.027499999999999</v>
      </c>
      <c r="AI157" s="13">
        <f>IF('Données projet'!$A$62&gt;35,AI156+AH157-AQ156,IF(A157&lt;'Données projet'!$A$62,$AF$205^A157,IF(A157='Données projet'!$A$62,'Données projet'!$B$62,AI156+AH157-AQ156)))</f>
        <v>395.14499999999936</v>
      </c>
      <c r="AJ157" s="13">
        <f>AI157*VLOOKUP('Données projet'!$B$10,Paramètres!$A$1:$I$89,3,0)*VLOOKUP('Données projet'!$B$10,Paramètres!$A$1:$I$89,5,0)</f>
        <v>265.06326599999954</v>
      </c>
      <c r="AK157" s="13">
        <f t="shared" si="164"/>
        <v>63.800447178584037</v>
      </c>
      <c r="AL157" s="20">
        <f t="shared" si="165"/>
        <v>572.77096711936645</v>
      </c>
      <c r="AM157" s="59">
        <f t="shared" si="113"/>
        <v>863.31817720451295</v>
      </c>
      <c r="AN157" s="59">
        <f ca="1">AVERAGE(OFFSET($AM$3,0,0,'Données projet'!$E$10+1,1))-AVERAGE(OFFSET($H$3,0,0,'Données projet'!$E$10+1,1))</f>
        <v>377.00534440335832</v>
      </c>
      <c r="AO157" s="59">
        <f t="shared" si="144"/>
        <v>131.56029120000656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67.614097610788832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67.614097610788832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212.00000000000009</v>
      </c>
      <c r="BE157" s="13">
        <f>BD157*VLOOKUP('Données projet'!$B$11,Paramètres!$A$1:$I$89,3,0)*VLOOKUP('Données projet'!$B$11,Paramètres!$A$1:$I$89,5,0)</f>
        <v>185.20320000000009</v>
      </c>
      <c r="BF157" s="13">
        <f t="shared" si="167"/>
        <v>46.477875402099386</v>
      </c>
      <c r="BG157" s="20">
        <f t="shared" si="168"/>
        <v>403.5112063253232</v>
      </c>
      <c r="BH157" s="59">
        <f t="shared" si="116"/>
        <v>694.05841641046982</v>
      </c>
      <c r="BI157" s="59">
        <f ca="1">AVERAGE(OFFSET($BH$3,0,0,'Données projet'!$E$11+1,1))-AVERAGE(OFFSET($H$3,0,0,'Données projet'!$E$11+1,1))</f>
        <v>314.1123649635374</v>
      </c>
      <c r="BJ157" s="59">
        <f t="shared" si="146"/>
        <v>274.92342227914889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15.029743279727308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15.029743279727308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212.42519999999985</v>
      </c>
      <c r="CA157" s="13">
        <f t="shared" si="170"/>
        <v>52.465198231787184</v>
      </c>
      <c r="CB157" s="20">
        <f t="shared" si="171"/>
        <v>461.35077692036231</v>
      </c>
      <c r="CC157" s="59">
        <f t="shared" si="119"/>
        <v>751.89798700550887</v>
      </c>
      <c r="CD157" s="59">
        <f ca="1">AVERAGE(OFFSET($CC$3,0,0,'Données projet'!$E$12+1,1))-AVERAGE(OFFSET($H$3,0,0,'Données projet'!$E$12+1,1))</f>
        <v>309.86296291630748</v>
      </c>
      <c r="CE157" s="59">
        <f t="shared" si="148"/>
        <v>301.17633325088661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10.020605602952761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10.020605602952761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404.00000000000017</v>
      </c>
      <c r="CU157" s="17">
        <f>CT157*VLOOKUP('Données projet'!$B$13,Paramètres!$A$1:$I$89,3,0)*VLOOKUP('Données projet'!$B$13,Paramètres!$A$1:$I$89,5,0)</f>
        <v>346.63200000000018</v>
      </c>
      <c r="CV157" s="13">
        <f t="shared" si="173"/>
        <v>80.868615263336864</v>
      </c>
      <c r="CW157" s="20">
        <f t="shared" si="174"/>
        <v>744.56357158364528</v>
      </c>
      <c r="CX157" s="59">
        <f t="shared" si="122"/>
        <v>1035.1107816687918</v>
      </c>
      <c r="CY157" s="59">
        <f ca="1">AVERAGE(OFFSET($CX$3,0,0,'Données projet'!$E$13+1,1))-AVERAGE(OFFSET($H$3,0,0,'Données projet'!$E$13+1,1))</f>
        <v>462.66388549889928</v>
      </c>
      <c r="CZ157" s="59">
        <f t="shared" si="150"/>
        <v>265.3725203415089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50.977494842536764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50.977494842536764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210.25641030000014</v>
      </c>
      <c r="DP157" s="17">
        <f>DO157*VLOOKUP('Données projet'!$B$14,Paramètres!$A$1:$I$89,3,0)*VLOOKUP('Données projet'!$B$14,Paramètres!$A$1:$I$89,5,0)</f>
        <v>164.00000003400012</v>
      </c>
      <c r="DQ157" s="13">
        <f t="shared" si="176"/>
        <v>41.743425916009095</v>
      </c>
      <c r="DR157" s="20">
        <f t="shared" si="177"/>
        <v>358.3364668629327</v>
      </c>
      <c r="DS157" s="59">
        <f t="shared" si="125"/>
        <v>648.88367694807926</v>
      </c>
      <c r="DT157" s="59">
        <f ca="1">AVERAGE(OFFSET($DS$3,0,0,'Données projet'!$E$14+1,1))-AVERAGE(OFFSET($H$3,0,0,'Données projet'!$E$14+1,1))</f>
        <v>206.5241977687125</v>
      </c>
      <c r="DU157" s="59">
        <f t="shared" si="152"/>
        <v>205.25001043771269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5.9987728889501053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5.9987728889501053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155.99999999999991</v>
      </c>
      <c r="EK157" s="17">
        <f>EJ157*VLOOKUP('Données projet'!$B$15,Paramètres!$A$1:$I$89,3,0)*VLOOKUP('Données projet'!$B$15,Paramètres!$A$1:$I$89,5,0)</f>
        <v>136.28159999999994</v>
      </c>
      <c r="EL157" s="13">
        <f t="shared" si="179"/>
        <v>35.443842312892279</v>
      </c>
      <c r="EM157" s="20">
        <f t="shared" si="180"/>
        <v>299.08847869495395</v>
      </c>
      <c r="EN157" s="59">
        <f t="shared" si="128"/>
        <v>589.63568878010051</v>
      </c>
      <c r="EO157" s="59">
        <f ca="1">AVERAGE(OFFSET($EN$3,0,0,'Données projet'!$E$15+1,1))-AVERAGE(OFFSET($H$3,0,0,'Données projet'!$E$15+1,1))</f>
        <v>205.83135724908942</v>
      </c>
      <c r="EP157" s="59">
        <f t="shared" si="154"/>
        <v>193.60053377311405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5.9738325119019313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5.9738325119019313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204.00000000000017</v>
      </c>
      <c r="FF157" s="17">
        <f>FE157*VLOOKUP('Données projet'!$B$16,Paramètres!$A$1:$I$89,3,0)*VLOOKUP('Données projet'!$B$16,Paramètres!$A$1:$I$89,5,0)</f>
        <v>133.66080000000011</v>
      </c>
      <c r="FG157" s="13">
        <f t="shared" si="182"/>
        <v>34.840890682716783</v>
      </c>
      <c r="FH157" s="20">
        <f t="shared" si="183"/>
        <v>293.4737779390652</v>
      </c>
      <c r="FI157" s="59">
        <f t="shared" si="131"/>
        <v>584.02098802421176</v>
      </c>
      <c r="FJ157" s="59">
        <f ca="1">AVERAGE(OFFSET($FI$3,0,0,'Données projet'!$E$16+1,1))-AVERAGE(OFFSET($H$3,0,0,'Données projet'!$E$16+1,1))</f>
        <v>242.76791261317206</v>
      </c>
      <c r="FK157" s="59">
        <f t="shared" si="156"/>
        <v>244.28580264867682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11.096421225461448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11.096421225461448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-0.62249999999999517</v>
      </c>
      <c r="FZ157" s="12">
        <f>IF('Données projet'!$A$244&gt;35,FZ156+FY157-GH156,IF(A157&lt;'Données projet'!$A$244,$FW$205^A157,IF(A157='Données projet'!$A$244,'Données projet'!$B$244,FZ156+FY157-GH156)))</f>
        <v>196.38749999999959</v>
      </c>
      <c r="GA157" s="17">
        <f>FZ157*VLOOKUP('Données projet'!$B$17,Paramètres!$A$1:$I$89,3,0)*VLOOKUP('Données projet'!$B$17,Paramètres!$A$1:$I$89,5,0)</f>
        <v>186.88234499999962</v>
      </c>
      <c r="GB157" s="13">
        <f t="shared" si="185"/>
        <v>46.850021298075546</v>
      </c>
      <c r="GC157" s="20">
        <f t="shared" si="186"/>
        <v>407.08387130248093</v>
      </c>
      <c r="GD157" s="59">
        <f t="shared" si="134"/>
        <v>697.63108138762755</v>
      </c>
      <c r="GE157" s="59">
        <f ca="1">AVERAGE(OFFSET($GD$3,0,0,'Données projet'!$E$17+1,1))-AVERAGE(OFFSET($H$3,0,0,'Données projet'!$E$17+1,1))</f>
        <v>512.71941256120977</v>
      </c>
      <c r="GF157" s="59">
        <f t="shared" si="158"/>
        <v>230.65031527019354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182.98656563429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182.98656563429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69.240148205039972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-5.6843418860808015E-14</v>
      </c>
      <c r="GV157" s="17">
        <f>GU157*VLOOKUP('Données projet'!$B$18,Paramètres!$A$1:$I$89,3,0)*VLOOKUP('Données projet'!$B$18,Paramètres!$A$1:$I$89,5,0)</f>
        <v>-2.5006556825246661E-14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180.68917161146683</v>
      </c>
      <c r="HA157" s="59">
        <f t="shared" si="160"/>
        <v>344.42126252322419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5.4865177190400214</v>
      </c>
      <c r="HH157" s="21">
        <f>EXP(-LN(2)/25)*HH156+(1-EXP(-LN(2)/25))/(LN(2)/25)*Calculateur!HC157*Calculateur!HE157*VLOOKUP('Données projet'!$B$18,Paramètres!$A$1:$I$89,3,0)*0.475*44/12</f>
        <v>0.53219088569546347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6.018708604735485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2.25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8.25</v>
      </c>
      <c r="H158" s="66">
        <f t="shared" si="110"/>
        <v>223.66666666666666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-0.62249999999999517</v>
      </c>
      <c r="N158" s="13">
        <f>IF('Données projet'!$A$36&gt;35,N157+M158-V157,IF(A158&lt;'Données projet'!$A$36,$K$205^A158,IF(A158='Données projet'!$A$36,'Données projet'!$B$36,N157+M158-V157)))</f>
        <v>195.76499999999959</v>
      </c>
      <c r="O158" s="13">
        <f>N158*VLOOKUP('Données projet'!$B$9,Paramètres!$A$1:$I$89,3,0)*VLOOKUP('Données projet'!$B$9,Paramètres!$A$1:$I$89,5,0)</f>
        <v>177.12817199999964</v>
      </c>
      <c r="P158" s="13">
        <f t="shared" si="141"/>
        <v>44.682660512074754</v>
      </c>
      <c r="Q158" s="20">
        <f t="shared" si="162"/>
        <v>386.32053329186289</v>
      </c>
      <c r="R158" s="59">
        <f t="shared" si="109"/>
        <v>676.91607638652704</v>
      </c>
      <c r="S158" s="59">
        <f ca="1">AVERAGE(OFFSET($R$3,0,0,'Données projet'!$E$9+1,1))-AVERAGE(OFFSET($H$3,0,0,'Données projet'!$E$9+1,1))</f>
        <v>490.57849401500789</v>
      </c>
      <c r="T158" s="59">
        <f t="shared" si="142"/>
        <v>221.7570623669753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170.57544295398662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170.57544295398662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7.027499999999999</v>
      </c>
      <c r="AI158" s="13">
        <f>IF('Données projet'!$A$62&gt;35,AI157+AH158-AQ157,IF(A158&lt;'Données projet'!$A$62,$AF$205^A158,IF(A158='Données projet'!$A$62,'Données projet'!$B$62,AI157+AH158-AQ157)))</f>
        <v>402.17249999999933</v>
      </c>
      <c r="AJ158" s="13">
        <f>AI158*VLOOKUP('Données projet'!$B$10,Paramètres!$A$1:$I$89,3,0)*VLOOKUP('Données projet'!$B$10,Paramètres!$A$1:$I$89,5,0)</f>
        <v>269.77731299999954</v>
      </c>
      <c r="AK158" s="13">
        <f t="shared" si="164"/>
        <v>64.802007216961755</v>
      </c>
      <c r="AL158" s="20">
        <f t="shared" si="165"/>
        <v>582.72564937787422</v>
      </c>
      <c r="AM158" s="59">
        <f t="shared" si="113"/>
        <v>873.32119247253831</v>
      </c>
      <c r="AN158" s="59">
        <f ca="1">AVERAGE(OFFSET($AM$3,0,0,'Données projet'!$E$10+1,1))-AVERAGE(OFFSET($H$3,0,0,'Données projet'!$E$10+1,1))</f>
        <v>377.00534440335832</v>
      </c>
      <c r="AO158" s="59">
        <f t="shared" si="144"/>
        <v>131.56029120000656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66.288226397168643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66.288226397168643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212.00000000000009</v>
      </c>
      <c r="BE158" s="13">
        <f>BD158*VLOOKUP('Données projet'!$B$11,Paramètres!$A$1:$I$89,3,0)*VLOOKUP('Données projet'!$B$11,Paramètres!$A$1:$I$89,5,0)</f>
        <v>185.20320000000009</v>
      </c>
      <c r="BF158" s="13">
        <f t="shared" si="167"/>
        <v>46.477875402099386</v>
      </c>
      <c r="BG158" s="20">
        <f t="shared" si="168"/>
        <v>403.5112063253232</v>
      </c>
      <c r="BH158" s="59">
        <f t="shared" si="116"/>
        <v>694.10674941998741</v>
      </c>
      <c r="BI158" s="59">
        <f ca="1">AVERAGE(OFFSET($BH$3,0,0,'Données projet'!$E$11+1,1))-AVERAGE(OFFSET($H$3,0,0,'Données projet'!$E$11+1,1))</f>
        <v>314.1123649635374</v>
      </c>
      <c r="BJ158" s="59">
        <f t="shared" si="146"/>
        <v>274.92342227914889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14.735019181250067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14.735019181250067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212.42519999999985</v>
      </c>
      <c r="CA158" s="13">
        <f t="shared" si="170"/>
        <v>52.465198231787184</v>
      </c>
      <c r="CB158" s="20">
        <f t="shared" si="171"/>
        <v>461.35077692036231</v>
      </c>
      <c r="CC158" s="59">
        <f t="shared" si="119"/>
        <v>751.94632001502646</v>
      </c>
      <c r="CD158" s="59">
        <f ca="1">AVERAGE(OFFSET($CC$3,0,0,'Données projet'!$E$12+1,1))-AVERAGE(OFFSET($H$3,0,0,'Données projet'!$E$12+1,1))</f>
        <v>309.86296291630748</v>
      </c>
      <c r="CE158" s="59">
        <f t="shared" si="148"/>
        <v>301.17633325088661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9.8241076390447688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9.8241076390447688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404.00000000000017</v>
      </c>
      <c r="CU158" s="17">
        <f>CT158*VLOOKUP('Données projet'!$B$13,Paramètres!$A$1:$I$89,3,0)*VLOOKUP('Données projet'!$B$13,Paramètres!$A$1:$I$89,5,0)</f>
        <v>346.63200000000018</v>
      </c>
      <c r="CV158" s="13">
        <f t="shared" si="173"/>
        <v>80.868615263336864</v>
      </c>
      <c r="CW158" s="20">
        <f t="shared" si="174"/>
        <v>744.56357158364528</v>
      </c>
      <c r="CX158" s="59">
        <f t="shared" si="122"/>
        <v>1035.1591146783094</v>
      </c>
      <c r="CY158" s="59">
        <f ca="1">AVERAGE(OFFSET($CX$3,0,0,'Données projet'!$E$13+1,1))-AVERAGE(OFFSET($H$3,0,0,'Données projet'!$E$13+1,1))</f>
        <v>462.66388549889928</v>
      </c>
      <c r="CZ158" s="59">
        <f t="shared" si="150"/>
        <v>265.3725203415089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49.977857261876274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49.977857261876274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210.25641030000014</v>
      </c>
      <c r="DP158" s="17">
        <f>DO158*VLOOKUP('Données projet'!$B$14,Paramètres!$A$1:$I$89,3,0)*VLOOKUP('Données projet'!$B$14,Paramètres!$A$1:$I$89,5,0)</f>
        <v>164.00000003400012</v>
      </c>
      <c r="DQ158" s="13">
        <f t="shared" si="176"/>
        <v>41.743425916009095</v>
      </c>
      <c r="DR158" s="20">
        <f t="shared" si="177"/>
        <v>358.3364668629327</v>
      </c>
      <c r="DS158" s="59">
        <f t="shared" si="125"/>
        <v>648.93200995759685</v>
      </c>
      <c r="DT158" s="59">
        <f ca="1">AVERAGE(OFFSET($DS$3,0,0,'Données projet'!$E$14+1,1))-AVERAGE(OFFSET($H$3,0,0,'Données projet'!$E$14+1,1))</f>
        <v>206.5241977687125</v>
      </c>
      <c r="DU158" s="59">
        <f t="shared" si="152"/>
        <v>205.25001043771269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5.8811406114879707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5.8811406114879707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155.99999999999991</v>
      </c>
      <c r="EK158" s="17">
        <f>EJ158*VLOOKUP('Données projet'!$B$15,Paramètres!$A$1:$I$89,3,0)*VLOOKUP('Données projet'!$B$15,Paramètres!$A$1:$I$89,5,0)</f>
        <v>136.28159999999994</v>
      </c>
      <c r="EL158" s="13">
        <f t="shared" si="179"/>
        <v>35.443842312892279</v>
      </c>
      <c r="EM158" s="20">
        <f t="shared" si="180"/>
        <v>299.08847869495395</v>
      </c>
      <c r="EN158" s="59">
        <f t="shared" si="128"/>
        <v>589.6840217896181</v>
      </c>
      <c r="EO158" s="59">
        <f ca="1">AVERAGE(OFFSET($EN$3,0,0,'Données projet'!$E$15+1,1))-AVERAGE(OFFSET($H$3,0,0,'Données projet'!$E$15+1,1))</f>
        <v>205.83135724908942</v>
      </c>
      <c r="EP158" s="59">
        <f t="shared" si="154"/>
        <v>193.60053377311405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5.8566893000215829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5.8566893000215829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204.00000000000017</v>
      </c>
      <c r="FF158" s="17">
        <f>FE158*VLOOKUP('Données projet'!$B$16,Paramètres!$A$1:$I$89,3,0)*VLOOKUP('Données projet'!$B$16,Paramètres!$A$1:$I$89,5,0)</f>
        <v>133.66080000000011</v>
      </c>
      <c r="FG158" s="13">
        <f t="shared" si="182"/>
        <v>34.840890682716783</v>
      </c>
      <c r="FH158" s="20">
        <f t="shared" si="183"/>
        <v>293.4737779390652</v>
      </c>
      <c r="FI158" s="59">
        <f t="shared" si="131"/>
        <v>584.06932103372935</v>
      </c>
      <c r="FJ158" s="59">
        <f ca="1">AVERAGE(OFFSET($FI$3,0,0,'Données projet'!$E$16+1,1))-AVERAGE(OFFSET($H$3,0,0,'Données projet'!$E$16+1,1))</f>
        <v>242.76791261317206</v>
      </c>
      <c r="FK158" s="59">
        <f t="shared" si="156"/>
        <v>244.28580264867682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10.878827173378797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10.878827173378797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-0.62249999999999517</v>
      </c>
      <c r="FZ158" s="12">
        <f>IF('Données projet'!$A$244&gt;35,FZ157+FY158-GH157,IF(A158&lt;'Données projet'!$A$244,$FW$205^A158,IF(A158='Données projet'!$A$244,'Données projet'!$B$244,FZ157+FY158-GH157)))</f>
        <v>195.76499999999959</v>
      </c>
      <c r="GA158" s="17">
        <f>FZ158*VLOOKUP('Données projet'!$B$17,Paramètres!$A$1:$I$89,3,0)*VLOOKUP('Données projet'!$B$17,Paramètres!$A$1:$I$89,5,0)</f>
        <v>186.2899739999996</v>
      </c>
      <c r="GB158" s="13">
        <f t="shared" si="185"/>
        <v>46.718779787703973</v>
      </c>
      <c r="GC158" s="20">
        <f t="shared" si="186"/>
        <v>405.82357951358364</v>
      </c>
      <c r="GD158" s="59">
        <f t="shared" si="134"/>
        <v>696.41912260824779</v>
      </c>
      <c r="GE158" s="59">
        <f ca="1">AVERAGE(OFFSET($GD$3,0,0,'Données projet'!$E$17+1,1))-AVERAGE(OFFSET($H$3,0,0,'Données projet'!$E$17+1,1))</f>
        <v>512.71941256120977</v>
      </c>
      <c r="GF158" s="59">
        <f t="shared" si="158"/>
        <v>230.65031527019354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179.39831069298597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179.39831069298597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69.253329934908407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-5.6843418860808015E-14</v>
      </c>
      <c r="GV158" s="17">
        <f>GU158*VLOOKUP('Données projet'!$B$18,Paramètres!$A$1:$I$89,3,0)*VLOOKUP('Données projet'!$B$18,Paramètres!$A$1:$I$89,5,0)</f>
        <v>-2.5006556825246661E-14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180.68917161146683</v>
      </c>
      <c r="HA158" s="59">
        <f t="shared" si="160"/>
        <v>344.42126252322419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5.3789304530150215</v>
      </c>
      <c r="HH158" s="21">
        <f>EXP(-LN(2)/25)*HH157+(1-EXP(-LN(2)/25))/(LN(2)/25)*Calculateur!HC158*Calculateur!HE158*VLOOKUP('Données projet'!$B$18,Paramètres!$A$1:$I$89,3,0)*0.475*44/12</f>
        <v>0.51763809793941873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5.8965685509544405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2.25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8.25</v>
      </c>
      <c r="H159" s="66">
        <f t="shared" si="110"/>
        <v>223.66666666666666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-0.62249999999999517</v>
      </c>
      <c r="N159" s="13">
        <f>IF('Données projet'!$A$36&gt;35,N158+M159-V158,IF(A159&lt;'Données projet'!$A$36,$K$205^A159,IF(A159='Données projet'!$A$36,'Données projet'!$B$36,N158+M159-V158)))</f>
        <v>195.14249999999959</v>
      </c>
      <c r="O159" s="13">
        <f>N159*VLOOKUP('Données projet'!$B$9,Paramètres!$A$1:$I$89,3,0)*VLOOKUP('Données projet'!$B$9,Paramètres!$A$1:$I$89,5,0)</f>
        <v>176.56493399999962</v>
      </c>
      <c r="P159" s="13">
        <f t="shared" si="141"/>
        <v>44.557092361023152</v>
      </c>
      <c r="Q159" s="20">
        <f t="shared" si="162"/>
        <v>385.12086257878133</v>
      </c>
      <c r="R159" s="59">
        <f t="shared" si="109"/>
        <v>675.7639002133044</v>
      </c>
      <c r="S159" s="59">
        <f ca="1">AVERAGE(OFFSET($R$3,0,0,'Données projet'!$E$9+1,1))-AVERAGE(OFFSET($H$3,0,0,'Données projet'!$E$9+1,1))</f>
        <v>490.57849401500789</v>
      </c>
      <c r="T159" s="59">
        <f t="shared" si="142"/>
        <v>221.7570623669753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167.23056255840598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167.23056255840598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409.2</v>
      </c>
      <c r="AG159" s="12">
        <f>VLOOKUP(A159,'Données projet'!$A$61:$I$81,9,0)</f>
        <v>7.027499999999999</v>
      </c>
      <c r="AH159" s="12">
        <f t="array" ref="AH159">INDEX(AG:AG,MIN(IF(ISNUMBER(AG159:AG355),ROW(AG159:AG355),"")))</f>
        <v>7.027499999999999</v>
      </c>
      <c r="AI159" s="13">
        <f>IF('Données projet'!$A$62&gt;35,AI158+AH159-AQ158,IF(A159&lt;'Données projet'!$A$62,$AF$205^A159,IF(A159='Données projet'!$A$62,'Données projet'!$B$62,AI158+AH159-AQ158)))</f>
        <v>409.19999999999931</v>
      </c>
      <c r="AJ159" s="13">
        <f>AI159*VLOOKUP('Données projet'!$B$10,Paramètres!$A$1:$I$89,3,0)*VLOOKUP('Données projet'!$B$10,Paramètres!$A$1:$I$89,5,0)</f>
        <v>274.49135999999953</v>
      </c>
      <c r="AK159" s="13">
        <f t="shared" si="164"/>
        <v>65.80153208753012</v>
      </c>
      <c r="AL159" s="20">
        <f t="shared" si="165"/>
        <v>592.67678705244748</v>
      </c>
      <c r="AM159" s="59">
        <f t="shared" si="113"/>
        <v>883.31982468697061</v>
      </c>
      <c r="AN159" s="59">
        <f ca="1">AVERAGE(OFFSET($AM$3,0,0,'Données projet'!$E$10+1,1))-AVERAGE(OFFSET($H$3,0,0,'Données projet'!$E$10+1,1))</f>
        <v>377.00534440335832</v>
      </c>
      <c r="AO159" s="59">
        <f t="shared" si="144"/>
        <v>131.56029120000656</v>
      </c>
      <c r="AP159" s="15">
        <f>IF(ISNA(VLOOKUP(A159,'Données projet'!$A$61:$I$81,3,0)),0,VLOOKUP(A159,'Données projet'!$A$61:$I$81,3,0))</f>
        <v>11</v>
      </c>
      <c r="AQ159" s="15">
        <f>IF(ISNA(VLOOKUP(A159,'Données projet'!$A$61:$I$81,4,0)),0,VLOOKUP(A159,'Données projet'!$A$61:$I$81,4,0))</f>
        <v>59.1</v>
      </c>
      <c r="AR159" s="16">
        <f>IF(ISNA(VLOOKUP(A159,'Données projet'!$A$61:$I$81,5,0)),0%,VLOOKUP(A159,'Données projet'!$A$61:$I$81,5,0)*VLOOKUP('Données projet'!$B$10,Paramètres!$A$1:$I$89,7,0))</f>
        <v>0.53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88.215910656038545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88.215910656038545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212.00000000000009</v>
      </c>
      <c r="BE159" s="13">
        <f>BD159*VLOOKUP('Données projet'!$B$11,Paramètres!$A$1:$I$89,3,0)*VLOOKUP('Données projet'!$B$11,Paramètres!$A$1:$I$89,5,0)</f>
        <v>185.20320000000009</v>
      </c>
      <c r="BF159" s="13">
        <f t="shared" si="167"/>
        <v>46.477875402099386</v>
      </c>
      <c r="BG159" s="20">
        <f t="shared" si="168"/>
        <v>403.5112063253232</v>
      </c>
      <c r="BH159" s="59">
        <f t="shared" si="116"/>
        <v>694.15424395984633</v>
      </c>
      <c r="BI159" s="59">
        <f ca="1">AVERAGE(OFFSET($BH$3,0,0,'Données projet'!$E$11+1,1))-AVERAGE(OFFSET($H$3,0,0,'Données projet'!$E$11+1,1))</f>
        <v>314.1123649635374</v>
      </c>
      <c r="BJ159" s="59">
        <f t="shared" si="146"/>
        <v>274.92342227914889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14.446074442580015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14.446074442580015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212.42519999999985</v>
      </c>
      <c r="CA159" s="13">
        <f t="shared" si="170"/>
        <v>52.465198231787184</v>
      </c>
      <c r="CB159" s="20">
        <f t="shared" si="171"/>
        <v>461.35077692036231</v>
      </c>
      <c r="CC159" s="59">
        <f t="shared" si="119"/>
        <v>751.99381455488538</v>
      </c>
      <c r="CD159" s="59">
        <f ca="1">AVERAGE(OFFSET($CC$3,0,0,'Données projet'!$E$12+1,1))-AVERAGE(OFFSET($H$3,0,0,'Données projet'!$E$12+1,1))</f>
        <v>309.86296291630748</v>
      </c>
      <c r="CE159" s="59">
        <f t="shared" si="148"/>
        <v>301.17633325088661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9.6314628803570894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9.6314628803570894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404.00000000000017</v>
      </c>
      <c r="CU159" s="17">
        <f>CT159*VLOOKUP('Données projet'!$B$13,Paramètres!$A$1:$I$89,3,0)*VLOOKUP('Données projet'!$B$13,Paramètres!$A$1:$I$89,5,0)</f>
        <v>346.63200000000018</v>
      </c>
      <c r="CV159" s="13">
        <f t="shared" si="173"/>
        <v>80.868615263336864</v>
      </c>
      <c r="CW159" s="20">
        <f t="shared" si="174"/>
        <v>744.56357158364528</v>
      </c>
      <c r="CX159" s="59">
        <f t="shared" si="122"/>
        <v>1035.2066092181683</v>
      </c>
      <c r="CY159" s="59">
        <f ca="1">AVERAGE(OFFSET($CX$3,0,0,'Données projet'!$E$13+1,1))-AVERAGE(OFFSET($H$3,0,0,'Données projet'!$E$13+1,1))</f>
        <v>462.66388549889928</v>
      </c>
      <c r="CZ159" s="59">
        <f t="shared" si="150"/>
        <v>265.3725203415089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48.997821964453813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48.997821964453813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210.25641030000014</v>
      </c>
      <c r="DP159" s="17">
        <f>DO159*VLOOKUP('Données projet'!$B$14,Paramètres!$A$1:$I$89,3,0)*VLOOKUP('Données projet'!$B$14,Paramètres!$A$1:$I$89,5,0)</f>
        <v>164.00000003400012</v>
      </c>
      <c r="DQ159" s="13">
        <f t="shared" si="176"/>
        <v>41.743425916009095</v>
      </c>
      <c r="DR159" s="20">
        <f t="shared" si="177"/>
        <v>358.3364668629327</v>
      </c>
      <c r="DS159" s="59">
        <f t="shared" si="125"/>
        <v>648.97950449745576</v>
      </c>
      <c r="DT159" s="59">
        <f ca="1">AVERAGE(OFFSET($DS$3,0,0,'Données projet'!$E$14+1,1))-AVERAGE(OFFSET($H$3,0,0,'Données projet'!$E$14+1,1))</f>
        <v>206.5241977687125</v>
      </c>
      <c r="DU159" s="59">
        <f t="shared" si="152"/>
        <v>205.25001043771269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5.7658150312382634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5.7658150312382634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155.99999999999991</v>
      </c>
      <c r="EK159" s="17">
        <f>EJ159*VLOOKUP('Données projet'!$B$15,Paramètres!$A$1:$I$89,3,0)*VLOOKUP('Données projet'!$B$15,Paramètres!$A$1:$I$89,5,0)</f>
        <v>136.28159999999994</v>
      </c>
      <c r="EL159" s="13">
        <f t="shared" si="179"/>
        <v>35.443842312892279</v>
      </c>
      <c r="EM159" s="20">
        <f t="shared" si="180"/>
        <v>299.08847869495395</v>
      </c>
      <c r="EN159" s="59">
        <f t="shared" si="128"/>
        <v>589.73151632947702</v>
      </c>
      <c r="EO159" s="59">
        <f ca="1">AVERAGE(OFFSET($EN$3,0,0,'Données projet'!$E$15+1,1))-AVERAGE(OFFSET($H$3,0,0,'Données projet'!$E$15+1,1))</f>
        <v>205.83135724908942</v>
      </c>
      <c r="EP159" s="59">
        <f t="shared" si="154"/>
        <v>193.60053377311405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5.7418431950759041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5.7418431950759041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204.00000000000017</v>
      </c>
      <c r="FF159" s="17">
        <f>FE159*VLOOKUP('Données projet'!$B$16,Paramètres!$A$1:$I$89,3,0)*VLOOKUP('Données projet'!$B$16,Paramètres!$A$1:$I$89,5,0)</f>
        <v>133.66080000000011</v>
      </c>
      <c r="FG159" s="13">
        <f t="shared" si="182"/>
        <v>34.840890682716783</v>
      </c>
      <c r="FH159" s="20">
        <f t="shared" si="183"/>
        <v>293.4737779390652</v>
      </c>
      <c r="FI159" s="59">
        <f t="shared" si="131"/>
        <v>584.11681557358827</v>
      </c>
      <c r="FJ159" s="59">
        <f ca="1">AVERAGE(OFFSET($FI$3,0,0,'Données projet'!$E$16+1,1))-AVERAGE(OFFSET($H$3,0,0,'Données projet'!$E$16+1,1))</f>
        <v>242.76791261317206</v>
      </c>
      <c r="FK159" s="59">
        <f t="shared" si="156"/>
        <v>244.28580264867682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10.665500007938221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10.665500007938221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-0.62249999999999517</v>
      </c>
      <c r="FZ159" s="12">
        <f>IF('Données projet'!$A$244&gt;35,FZ158+FY159-GH158,IF(A159&lt;'Données projet'!$A$244,$FW$205^A159,IF(A159='Données projet'!$A$244,'Données projet'!$B$244,FZ158+FY159-GH158)))</f>
        <v>195.14249999999959</v>
      </c>
      <c r="GA159" s="17">
        <f>FZ159*VLOOKUP('Données projet'!$B$17,Paramètres!$A$1:$I$89,3,0)*VLOOKUP('Données projet'!$B$17,Paramètres!$A$1:$I$89,5,0)</f>
        <v>185.69760299999959</v>
      </c>
      <c r="GB159" s="13">
        <f t="shared" si="185"/>
        <v>46.58748969149886</v>
      </c>
      <c r="GC159" s="20">
        <f t="shared" si="186"/>
        <v>404.56320310435973</v>
      </c>
      <c r="GD159" s="59">
        <f t="shared" si="134"/>
        <v>695.2062407388828</v>
      </c>
      <c r="GE159" s="59">
        <f ca="1">AVERAGE(OFFSET($GD$3,0,0,'Données projet'!$E$17+1,1))-AVERAGE(OFFSET($H$3,0,0,'Données projet'!$E$17+1,1))</f>
        <v>512.71941256120977</v>
      </c>
      <c r="GF159" s="59">
        <f t="shared" si="158"/>
        <v>230.65031527019354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175.8804192424615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175.8804192424615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69.266282991233567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-5.6843418860808015E-14</v>
      </c>
      <c r="GV159" s="17">
        <f>GU159*VLOOKUP('Données projet'!$B$18,Paramètres!$A$1:$I$89,3,0)*VLOOKUP('Données projet'!$B$18,Paramètres!$A$1:$I$89,5,0)</f>
        <v>-2.5006556825246661E-14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180.68917161146683</v>
      </c>
      <c r="HA159" s="59">
        <f t="shared" si="160"/>
        <v>344.42126252322419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5.2734529076550185</v>
      </c>
      <c r="HH159" s="21">
        <f>EXP(-LN(2)/25)*HH158+(1-EXP(-LN(2)/25))/(LN(2)/25)*Calculateur!HC159*Calculateur!HE159*VLOOKUP('Données projet'!$B$18,Paramètres!$A$1:$I$89,3,0)*0.475*44/12</f>
        <v>0.50348325692986085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5.7769361645848791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2.25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8.25</v>
      </c>
      <c r="H160" s="66">
        <f t="shared" si="110"/>
        <v>223.66666666666666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194.52</v>
      </c>
      <c r="L160" s="12">
        <f>VLOOKUP(A160,'Données projet'!$A$35:$I$55,9,0)</f>
        <v>-0.62249999999999517</v>
      </c>
      <c r="M160" s="12">
        <f t="array" ref="M160">INDEX(L:L,MIN(IF(ISNUMBER(L160:L356),ROW(L160:L356),"")))</f>
        <v>-0.62249999999999517</v>
      </c>
      <c r="N160" s="13">
        <f>IF('Données projet'!$A$36&gt;35,N159+M160-V159,IF(A160&lt;'Données projet'!$A$36,$K$205^A160,IF(A160='Données projet'!$A$36,'Données projet'!$B$36,N159+M160-V159)))</f>
        <v>194.51999999999958</v>
      </c>
      <c r="O160" s="13">
        <f>N160*VLOOKUP('Données projet'!$B$9,Paramètres!$A$1:$I$89,3,0)*VLOOKUP('Données projet'!$B$9,Paramètres!$A$1:$I$89,5,0)</f>
        <v>176.00169599999961</v>
      </c>
      <c r="P160" s="13">
        <f t="shared" si="141"/>
        <v>44.431477576109586</v>
      </c>
      <c r="Q160" s="20">
        <f t="shared" si="162"/>
        <v>383.92111064505684</v>
      </c>
      <c r="R160" s="59">
        <f t="shared" si="109"/>
        <v>674.61081889535421</v>
      </c>
      <c r="S160" s="59">
        <f ca="1">AVERAGE(OFFSET($R$3,0,0,'Données projet'!$E$9+1,1))-AVERAGE(OFFSET($H$3,0,0,'Données projet'!$E$9+1,1))</f>
        <v>490.57849401500789</v>
      </c>
      <c r="T160" s="59">
        <f t="shared" si="142"/>
        <v>221.7570623669753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57.95</v>
      </c>
      <c r="W160" s="16">
        <f>IF(ISNA(VLOOKUP(A160,'Données projet'!$A$35:$I$55,5,0)),0%,VLOOKUP(A160,'Données projet'!$A$35:$I$55,5,0)*VLOOKUP('Données projet'!$B$9,Paramètres!$A$1:$I$89,7,0))</f>
        <v>0.43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188.8754944998912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188.8754944998912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7.1291666666666673</v>
      </c>
      <c r="AI160" s="13">
        <f>IF('Données projet'!$A$62&gt;35,AI159+AH160-AQ159,IF(A160&lt;'Données projet'!$A$62,$AF$205^A160,IF(A160='Données projet'!$A$62,'Données projet'!$B$62,AI159+AH160-AQ159)))</f>
        <v>357.22916666666595</v>
      </c>
      <c r="AJ160" s="13">
        <f>AI160*VLOOKUP('Données projet'!$B$10,Paramètres!$A$1:$I$89,3,0)*VLOOKUP('Données projet'!$B$10,Paramètres!$A$1:$I$89,5,0)</f>
        <v>239.62932499999951</v>
      </c>
      <c r="AK160" s="13">
        <f t="shared" si="164"/>
        <v>58.359770777287103</v>
      </c>
      <c r="AL160" s="20">
        <f t="shared" si="165"/>
        <v>518.99767514544089</v>
      </c>
      <c r="AM160" s="59">
        <f t="shared" si="113"/>
        <v>809.68738339573815</v>
      </c>
      <c r="AN160" s="59">
        <f ca="1">AVERAGE(OFFSET($AM$3,0,0,'Données projet'!$E$10+1,1))-AVERAGE(OFFSET($H$3,0,0,'Données projet'!$E$10+1,1))</f>
        <v>377.00534440335832</v>
      </c>
      <c r="AO160" s="59">
        <f t="shared" si="144"/>
        <v>131.56029120000656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86.486050454466195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86.486050454466195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212.00000000000009</v>
      </c>
      <c r="BE160" s="13">
        <f>BD160*VLOOKUP('Données projet'!$B$11,Paramètres!$A$1:$I$89,3,0)*VLOOKUP('Données projet'!$B$11,Paramètres!$A$1:$I$89,5,0)</f>
        <v>185.20320000000009</v>
      </c>
      <c r="BF160" s="13">
        <f t="shared" si="167"/>
        <v>46.477875402099386</v>
      </c>
      <c r="BG160" s="20">
        <f t="shared" si="168"/>
        <v>403.5112063253232</v>
      </c>
      <c r="BH160" s="59">
        <f t="shared" si="116"/>
        <v>694.20091457562057</v>
      </c>
      <c r="BI160" s="59">
        <f ca="1">AVERAGE(OFFSET($BH$3,0,0,'Données projet'!$E$11+1,1))-AVERAGE(OFFSET($H$3,0,0,'Données projet'!$E$11+1,1))</f>
        <v>314.1123649635374</v>
      </c>
      <c r="BJ160" s="59">
        <f t="shared" si="146"/>
        <v>274.92342227914889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14.162795733996393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14.162795733996393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212.42519999999985</v>
      </c>
      <c r="CA160" s="13">
        <f t="shared" si="170"/>
        <v>52.465198231787184</v>
      </c>
      <c r="CB160" s="20">
        <f t="shared" si="171"/>
        <v>461.35077692036231</v>
      </c>
      <c r="CC160" s="59">
        <f t="shared" si="119"/>
        <v>752.04048517065962</v>
      </c>
      <c r="CD160" s="59">
        <f ca="1">AVERAGE(OFFSET($CC$3,0,0,'Données projet'!$E$12+1,1))-AVERAGE(OFFSET($H$3,0,0,'Données projet'!$E$12+1,1))</f>
        <v>309.86296291630748</v>
      </c>
      <c r="CE160" s="59">
        <f t="shared" si="148"/>
        <v>301.17633325088661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9.4425957678855745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9.4425957678855745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404.00000000000017</v>
      </c>
      <c r="CU160" s="17">
        <f>CT160*VLOOKUP('Données projet'!$B$13,Paramètres!$A$1:$I$89,3,0)*VLOOKUP('Données projet'!$B$13,Paramètres!$A$1:$I$89,5,0)</f>
        <v>346.63200000000018</v>
      </c>
      <c r="CV160" s="13">
        <f t="shared" si="173"/>
        <v>80.868615263336864</v>
      </c>
      <c r="CW160" s="20">
        <f t="shared" si="174"/>
        <v>744.56357158364528</v>
      </c>
      <c r="CX160" s="59">
        <f t="shared" si="122"/>
        <v>1035.2532798339425</v>
      </c>
      <c r="CY160" s="59">
        <f ca="1">AVERAGE(OFFSET($CX$3,0,0,'Données projet'!$E$13+1,1))-AVERAGE(OFFSET($H$3,0,0,'Données projet'!$E$13+1,1))</f>
        <v>462.66388549889928</v>
      </c>
      <c r="CZ160" s="59">
        <f t="shared" si="150"/>
        <v>265.3725203415089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48.037004561451305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48.037004561451305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210.25641030000014</v>
      </c>
      <c r="DP160" s="17">
        <f>DO160*VLOOKUP('Données projet'!$B$14,Paramètres!$A$1:$I$89,3,0)*VLOOKUP('Données projet'!$B$14,Paramètres!$A$1:$I$89,5,0)</f>
        <v>164.00000003400012</v>
      </c>
      <c r="DQ160" s="13">
        <f t="shared" si="176"/>
        <v>41.743425916009095</v>
      </c>
      <c r="DR160" s="20">
        <f t="shared" si="177"/>
        <v>358.3364668629327</v>
      </c>
      <c r="DS160" s="59">
        <f t="shared" si="125"/>
        <v>649.02617511323001</v>
      </c>
      <c r="DT160" s="59">
        <f ca="1">AVERAGE(OFFSET($DS$3,0,0,'Données projet'!$E$14+1,1))-AVERAGE(OFFSET($H$3,0,0,'Données projet'!$E$14+1,1))</f>
        <v>206.5241977687125</v>
      </c>
      <c r="DU160" s="59">
        <f t="shared" si="152"/>
        <v>205.25001043771269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5.652750915275595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5.652750915275595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155.99999999999991</v>
      </c>
      <c r="EK160" s="17">
        <f>EJ160*VLOOKUP('Données projet'!$B$15,Paramètres!$A$1:$I$89,3,0)*VLOOKUP('Données projet'!$B$15,Paramètres!$A$1:$I$89,5,0)</f>
        <v>136.28159999999994</v>
      </c>
      <c r="EL160" s="13">
        <f t="shared" si="179"/>
        <v>35.443842312892279</v>
      </c>
      <c r="EM160" s="20">
        <f t="shared" si="180"/>
        <v>299.08847869495395</v>
      </c>
      <c r="EN160" s="59">
        <f t="shared" si="128"/>
        <v>589.77818694525126</v>
      </c>
      <c r="EO160" s="59">
        <f ca="1">AVERAGE(OFFSET($EN$3,0,0,'Données projet'!$E$15+1,1))-AVERAGE(OFFSET($H$3,0,0,'Données projet'!$E$15+1,1))</f>
        <v>205.83135724908942</v>
      </c>
      <c r="EP160" s="59">
        <f t="shared" si="154"/>
        <v>193.60053377311405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5.6292491521990033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5.6292491521990033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204.00000000000017</v>
      </c>
      <c r="FF160" s="17">
        <f>FE160*VLOOKUP('Données projet'!$B$16,Paramètres!$A$1:$I$89,3,0)*VLOOKUP('Données projet'!$B$16,Paramètres!$A$1:$I$89,5,0)</f>
        <v>133.66080000000011</v>
      </c>
      <c r="FG160" s="13">
        <f t="shared" si="182"/>
        <v>34.840890682716783</v>
      </c>
      <c r="FH160" s="20">
        <f t="shared" si="183"/>
        <v>293.4737779390652</v>
      </c>
      <c r="FI160" s="59">
        <f t="shared" si="131"/>
        <v>584.16348618936252</v>
      </c>
      <c r="FJ160" s="59">
        <f ca="1">AVERAGE(OFFSET($FI$3,0,0,'Données projet'!$E$16+1,1))-AVERAGE(OFFSET($H$3,0,0,'Données projet'!$E$16+1,1))</f>
        <v>242.76791261317206</v>
      </c>
      <c r="FK160" s="59">
        <f t="shared" si="156"/>
        <v>244.28580264867682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10.45635605809521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10.45635605809521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>
        <f>VLOOKUP(A160,'Données projet'!$A$243:$I$263,2,0)</f>
        <v>194.52</v>
      </c>
      <c r="FX160" s="12">
        <f>VLOOKUP(A160,'Données projet'!$A$243:$I$263,9,0)</f>
        <v>-0.62249999999999517</v>
      </c>
      <c r="FY160" s="12">
        <f t="array" ref="FY160">INDEX(FX:FX,MIN(IF(ISNUMBER(FX160:FX356),ROW(FX160:FX356),"")))</f>
        <v>-0.62249999999999517</v>
      </c>
      <c r="FZ160" s="12">
        <f>IF('Données projet'!$A$244&gt;35,FZ159+FY160-GH159,IF(A160&lt;'Données projet'!$A$244,$FW$205^A160,IF(A160='Données projet'!$A$244,'Données projet'!$B$244,FZ159+FY160-GH159)))</f>
        <v>194.51999999999958</v>
      </c>
      <c r="GA160" s="17">
        <f>FZ160*VLOOKUP('Données projet'!$B$17,Paramètres!$A$1:$I$89,3,0)*VLOOKUP('Données projet'!$B$17,Paramètres!$A$1:$I$89,5,0)</f>
        <v>185.1052319999996</v>
      </c>
      <c r="GB160" s="13">
        <f t="shared" si="185"/>
        <v>46.456150836399331</v>
      </c>
      <c r="GC160" s="20">
        <f t="shared" si="186"/>
        <v>403.30274177339476</v>
      </c>
      <c r="GD160" s="59">
        <f t="shared" si="134"/>
        <v>693.99245002369207</v>
      </c>
      <c r="GE160" s="59">
        <f ca="1">AVERAGE(OFFSET($GD$3,0,0,'Données projet'!$E$17+1,1))-AVERAGE(OFFSET($H$3,0,0,'Données projet'!$E$17+1,1))</f>
        <v>512.71941256120977</v>
      </c>
      <c r="GF160" s="59">
        <f t="shared" si="158"/>
        <v>230.65031527019354</v>
      </c>
      <c r="GG160" s="15">
        <f>IF(ISNA(VLOOKUP(A160,'Données projet'!$A$243:$I$263,3,0)),0,VLOOKUP(A160,'Données projet'!$A$243:$I$263,3,0))</f>
        <v>14</v>
      </c>
      <c r="GH160" s="15">
        <f>IF(ISNA(VLOOKUP(A160,'Données projet'!$A$243:$I$263,4,0)),0,VLOOKUP(A160,'Données projet'!$A$243:$I$263,4,0))</f>
        <v>57.95</v>
      </c>
      <c r="GI160" s="16">
        <f>IF(ISNA(VLOOKUP(A160,'Données projet'!$A$243:$I$263,5,0)),0%,VLOOKUP(A160,'Données projet'!$A$243:$I$263,5,0)*VLOOKUP('Données projet'!$B$17,Paramètres!$A$1:$I$89,7,0))</f>
        <v>0.43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198.64491662919596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198.64491662919596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69.279011340990181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-5.6843418860808015E-14</v>
      </c>
      <c r="GV160" s="17">
        <f>GU160*VLOOKUP('Données projet'!$B$18,Paramètres!$A$1:$I$89,3,0)*VLOOKUP('Données projet'!$B$18,Paramètres!$A$1:$I$89,5,0)</f>
        <v>-2.5006556825246661E-14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180.68917161146683</v>
      </c>
      <c r="HA160" s="59">
        <f t="shared" si="160"/>
        <v>344.42126252322419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5.1700437126245751</v>
      </c>
      <c r="HH160" s="21">
        <f>EXP(-LN(2)/25)*HH159+(1-EXP(-LN(2)/25))/(LN(2)/25)*Calculateur!HC160*Calculateur!HE160*VLOOKUP('Données projet'!$B$18,Paramètres!$A$1:$I$89,3,0)*0.475*44/12</f>
        <v>0.48971548079208005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5.6597591934166553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2.25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8.25</v>
      </c>
      <c r="H161" s="66">
        <f t="shared" si="110"/>
        <v>223.66666666666666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-0.57750000000000057</v>
      </c>
      <c r="N161" s="13">
        <f>IF('Données projet'!$A$36&gt;35,N160+M161-V160,IF(A161&lt;'Données projet'!$A$36,$K$205^A161,IF(A161='Données projet'!$A$36,'Données projet'!$B$36,N160+M161-V160)))</f>
        <v>135.99249999999961</v>
      </c>
      <c r="O161" s="13">
        <f>N161*VLOOKUP('Données projet'!$B$9,Paramètres!$A$1:$I$89,3,0)*VLOOKUP('Données projet'!$B$9,Paramètres!$A$1:$I$89,5,0)</f>
        <v>123.04601399999964</v>
      </c>
      <c r="P161" s="13">
        <f t="shared" si="141"/>
        <v>32.384392287025349</v>
      </c>
      <c r="Q161" s="20">
        <f t="shared" si="162"/>
        <v>270.70795761656854</v>
      </c>
      <c r="R161" s="59">
        <f t="shared" si="109"/>
        <v>561.44352685179626</v>
      </c>
      <c r="S161" s="59">
        <f ca="1">AVERAGE(OFFSET($R$3,0,0,'Données projet'!$E$9+1,1))-AVERAGE(OFFSET($H$3,0,0,'Données projet'!$E$9+1,1))</f>
        <v>490.57849401500789</v>
      </c>
      <c r="T161" s="59">
        <f t="shared" si="142"/>
        <v>221.7570623669753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185.17176125542466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185.17176125542466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7.1291666666666673</v>
      </c>
      <c r="AI161" s="13">
        <f>IF('Données projet'!$A$62&gt;35,AI160+AH161-AQ160,IF(A161&lt;'Données projet'!$A$62,$AF$205^A161,IF(A161='Données projet'!$A$62,'Données projet'!$B$62,AI160+AH161-AQ160)))</f>
        <v>364.35833333333261</v>
      </c>
      <c r="AJ161" s="13">
        <f>AI161*VLOOKUP('Données projet'!$B$10,Paramètres!$A$1:$I$89,3,0)*VLOOKUP('Données projet'!$B$10,Paramètres!$A$1:$I$89,5,0)</f>
        <v>244.4115699999995</v>
      </c>
      <c r="AK161" s="13">
        <f t="shared" si="164"/>
        <v>59.387692709001769</v>
      </c>
      <c r="AL161" s="20">
        <f t="shared" si="165"/>
        <v>529.11704921817716</v>
      </c>
      <c r="AM161" s="59">
        <f t="shared" si="113"/>
        <v>819.85261845340483</v>
      </c>
      <c r="AN161" s="59">
        <f ca="1">AVERAGE(OFFSET($AM$3,0,0,'Données projet'!$E$10+1,1))-AVERAGE(OFFSET($H$3,0,0,'Données projet'!$E$10+1,1))</f>
        <v>377.00534440335832</v>
      </c>
      <c r="AO161" s="59">
        <f t="shared" si="144"/>
        <v>131.56029120000656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84.790111756336131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84.790111756336131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212.00000000000009</v>
      </c>
      <c r="BE161" s="13">
        <f>BD161*VLOOKUP('Données projet'!$B$11,Paramètres!$A$1:$I$89,3,0)*VLOOKUP('Données projet'!$B$11,Paramètres!$A$1:$I$89,5,0)</f>
        <v>185.20320000000009</v>
      </c>
      <c r="BF161" s="13">
        <f t="shared" si="167"/>
        <v>46.477875402099386</v>
      </c>
      <c r="BG161" s="20">
        <f t="shared" si="168"/>
        <v>403.5112063253232</v>
      </c>
      <c r="BH161" s="59">
        <f t="shared" si="116"/>
        <v>694.24677556055099</v>
      </c>
      <c r="BI161" s="59">
        <f ca="1">AVERAGE(OFFSET($BH$3,0,0,'Données projet'!$E$11+1,1))-AVERAGE(OFFSET($H$3,0,0,'Données projet'!$E$11+1,1))</f>
        <v>314.1123649635374</v>
      </c>
      <c r="BJ161" s="59">
        <f t="shared" si="146"/>
        <v>274.92342227914889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13.885071948105146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13.885071948105146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212.42519999999985</v>
      </c>
      <c r="CA161" s="13">
        <f t="shared" si="170"/>
        <v>52.465198231787184</v>
      </c>
      <c r="CB161" s="20">
        <f t="shared" si="171"/>
        <v>461.35077692036231</v>
      </c>
      <c r="CC161" s="59">
        <f t="shared" si="119"/>
        <v>752.08634615559004</v>
      </c>
      <c r="CD161" s="59">
        <f ca="1">AVERAGE(OFFSET($CC$3,0,0,'Données projet'!$E$12+1,1))-AVERAGE(OFFSET($H$3,0,0,'Données projet'!$E$12+1,1))</f>
        <v>309.86296291630748</v>
      </c>
      <c r="CE161" s="59">
        <f t="shared" si="148"/>
        <v>301.17633325088661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9.2574322242920619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9.2574322242920619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404.00000000000017</v>
      </c>
      <c r="CU161" s="17">
        <f>CT161*VLOOKUP('Données projet'!$B$13,Paramètres!$A$1:$I$89,3,0)*VLOOKUP('Données projet'!$B$13,Paramètres!$A$1:$I$89,5,0)</f>
        <v>346.63200000000018</v>
      </c>
      <c r="CV161" s="13">
        <f t="shared" si="173"/>
        <v>80.868615263336864</v>
      </c>
      <c r="CW161" s="20">
        <f t="shared" si="174"/>
        <v>744.56357158364528</v>
      </c>
      <c r="CX161" s="59">
        <f t="shared" si="122"/>
        <v>1035.299140818873</v>
      </c>
      <c r="CY161" s="59">
        <f ca="1">AVERAGE(OFFSET($CX$3,0,0,'Données projet'!$E$13+1,1))-AVERAGE(OFFSET($H$3,0,0,'Données projet'!$E$13+1,1))</f>
        <v>462.66388549889928</v>
      </c>
      <c r="CZ161" s="59">
        <f t="shared" si="150"/>
        <v>265.3725203415089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47.095028201680925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47.095028201680925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210.25641030000014</v>
      </c>
      <c r="DP161" s="17">
        <f>DO161*VLOOKUP('Données projet'!$B$14,Paramètres!$A$1:$I$89,3,0)*VLOOKUP('Données projet'!$B$14,Paramètres!$A$1:$I$89,5,0)</f>
        <v>164.00000003400012</v>
      </c>
      <c r="DQ161" s="13">
        <f t="shared" si="176"/>
        <v>41.743425916009095</v>
      </c>
      <c r="DR161" s="20">
        <f t="shared" si="177"/>
        <v>358.3364668629327</v>
      </c>
      <c r="DS161" s="59">
        <f t="shared" si="125"/>
        <v>649.07203609816042</v>
      </c>
      <c r="DT161" s="59">
        <f ca="1">AVERAGE(OFFSET($DS$3,0,0,'Données projet'!$E$14+1,1))-AVERAGE(OFFSET($H$3,0,0,'Données projet'!$E$14+1,1))</f>
        <v>206.5241977687125</v>
      </c>
      <c r="DU161" s="59">
        <f t="shared" si="152"/>
        <v>205.25001043771269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5.5419039176646532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5.5419039176646532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155.99999999999991</v>
      </c>
      <c r="EK161" s="17">
        <f>EJ161*VLOOKUP('Données projet'!$B$15,Paramètres!$A$1:$I$89,3,0)*VLOOKUP('Données projet'!$B$15,Paramètres!$A$1:$I$89,5,0)</f>
        <v>136.28159999999994</v>
      </c>
      <c r="EL161" s="13">
        <f t="shared" si="179"/>
        <v>35.443842312892279</v>
      </c>
      <c r="EM161" s="20">
        <f t="shared" si="180"/>
        <v>299.08847869495395</v>
      </c>
      <c r="EN161" s="59">
        <f t="shared" si="128"/>
        <v>589.82404793018168</v>
      </c>
      <c r="EO161" s="59">
        <f ca="1">AVERAGE(OFFSET($EN$3,0,0,'Données projet'!$E$15+1,1))-AVERAGE(OFFSET($H$3,0,0,'Données projet'!$E$15+1,1))</f>
        <v>205.83135724908942</v>
      </c>
      <c r="EP161" s="59">
        <f t="shared" si="154"/>
        <v>193.60053377311405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5.5188630098273332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5.5188630098273332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204.00000000000017</v>
      </c>
      <c r="FF161" s="17">
        <f>FE161*VLOOKUP('Données projet'!$B$16,Paramètres!$A$1:$I$89,3,0)*VLOOKUP('Données projet'!$B$16,Paramètres!$A$1:$I$89,5,0)</f>
        <v>133.66080000000011</v>
      </c>
      <c r="FG161" s="13">
        <f t="shared" si="182"/>
        <v>34.840890682716783</v>
      </c>
      <c r="FH161" s="20">
        <f t="shared" si="183"/>
        <v>293.4737779390652</v>
      </c>
      <c r="FI161" s="59">
        <f t="shared" si="131"/>
        <v>584.20934717429293</v>
      </c>
      <c r="FJ161" s="59">
        <f ca="1">AVERAGE(OFFSET($FI$3,0,0,'Données projet'!$E$16+1,1))-AVERAGE(OFFSET($H$3,0,0,'Données projet'!$E$16+1,1))</f>
        <v>242.76791261317206</v>
      </c>
      <c r="FK161" s="59">
        <f t="shared" si="156"/>
        <v>244.28580264867682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10.251313293543408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10.251313293543408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-0.57750000000000057</v>
      </c>
      <c r="FZ161" s="12">
        <f>IF('Données projet'!$A$244&gt;35,FZ160+FY161-GH160,IF(A161&lt;'Données projet'!$A$244,$FW$205^A161,IF(A161='Données projet'!$A$244,'Données projet'!$B$244,FZ160+FY161-GH160)))</f>
        <v>135.99249999999961</v>
      </c>
      <c r="GA161" s="17">
        <f>FZ161*VLOOKUP('Données projet'!$B$17,Paramètres!$A$1:$I$89,3,0)*VLOOKUP('Données projet'!$B$17,Paramètres!$A$1:$I$89,5,0)</f>
        <v>129.41046299999962</v>
      </c>
      <c r="GB161" s="13">
        <f t="shared" si="185"/>
        <v>33.860098626117001</v>
      </c>
      <c r="GC161" s="20">
        <f t="shared" si="186"/>
        <v>284.36289483215313</v>
      </c>
      <c r="GD161" s="59">
        <f t="shared" si="134"/>
        <v>575.09846406738086</v>
      </c>
      <c r="GE161" s="59">
        <f ca="1">AVERAGE(OFFSET($GD$3,0,0,'Données projet'!$E$17+1,1))-AVERAGE(OFFSET($H$3,0,0,'Données projet'!$E$17+1,1))</f>
        <v>512.71941256120977</v>
      </c>
      <c r="GF161" s="59">
        <f t="shared" si="158"/>
        <v>230.65031527019354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194.74961097553287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194.74961097553287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69.291518882334827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-5.6843418860808015E-14</v>
      </c>
      <c r="GV161" s="17">
        <f>GU161*VLOOKUP('Données projet'!$B$18,Paramètres!$A$1:$I$89,3,0)*VLOOKUP('Données projet'!$B$18,Paramètres!$A$1:$I$89,5,0)</f>
        <v>-2.5006556825246661E-14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180.68917161146683</v>
      </c>
      <c r="HA161" s="59">
        <f t="shared" si="160"/>
        <v>344.42126252322419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5.0686623088352976</v>
      </c>
      <c r="HH161" s="21">
        <f>EXP(-LN(2)/25)*HH160+(1-EXP(-LN(2)/25))/(LN(2)/25)*Calculateur!HC161*Calculateur!HE161*VLOOKUP('Données projet'!$B$18,Paramètres!$A$1:$I$89,3,0)*0.475*44/12</f>
        <v>0.47632418521680275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5.5449864940521003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2.25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8.25</v>
      </c>
      <c r="H162" s="66">
        <f t="shared" si="110"/>
        <v>223.66666666666666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-0.57750000000000057</v>
      </c>
      <c r="N162" s="13">
        <f>IF('Données projet'!$A$36&gt;35,N161+M162-V161,IF(A162&lt;'Données projet'!$A$36,$K$205^A162,IF(A162='Données projet'!$A$36,'Données projet'!$B$36,N161+M162-V161)))</f>
        <v>135.41499999999962</v>
      </c>
      <c r="O162" s="13">
        <f>N162*VLOOKUP('Données projet'!$B$9,Paramètres!$A$1:$I$89,3,0)*VLOOKUP('Données projet'!$B$9,Paramètres!$A$1:$I$89,5,0)</f>
        <v>122.52349199999965</v>
      </c>
      <c r="P162" s="13">
        <f t="shared" si="141"/>
        <v>32.262847599287056</v>
      </c>
      <c r="Q162" s="20">
        <f t="shared" si="162"/>
        <v>269.58620813542433</v>
      </c>
      <c r="R162" s="59">
        <f t="shared" si="109"/>
        <v>560.36684277002371</v>
      </c>
      <c r="S162" s="59">
        <f ca="1">AVERAGE(OFFSET($R$3,0,0,'Données projet'!$E$9+1,1))-AVERAGE(OFFSET($H$3,0,0,'Données projet'!$E$9+1,1))</f>
        <v>490.57849401500789</v>
      </c>
      <c r="T162" s="59">
        <f t="shared" si="142"/>
        <v>221.7570623669753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181.54065596082788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181.54065596082788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7.1291666666666673</v>
      </c>
      <c r="AI162" s="13">
        <f>IF('Données projet'!$A$62&gt;35,AI161+AH162-AQ161,IF(A162&lt;'Données projet'!$A$62,$AF$205^A162,IF(A162='Données projet'!$A$62,'Données projet'!$B$62,AI161+AH162-AQ161)))</f>
        <v>371.48749999999927</v>
      </c>
      <c r="AJ162" s="13">
        <f>AI162*VLOOKUP('Données projet'!$B$10,Paramètres!$A$1:$I$89,3,0)*VLOOKUP('Données projet'!$B$10,Paramètres!$A$1:$I$89,5,0)</f>
        <v>249.19381499999952</v>
      </c>
      <c r="AK162" s="13">
        <f t="shared" si="164"/>
        <v>60.41327602963392</v>
      </c>
      <c r="AL162" s="20">
        <f t="shared" si="165"/>
        <v>539.23235020994491</v>
      </c>
      <c r="AM162" s="59">
        <f t="shared" si="113"/>
        <v>830.01298484454423</v>
      </c>
      <c r="AN162" s="59">
        <f ca="1">AVERAGE(OFFSET($AM$3,0,0,'Données projet'!$E$10+1,1))-AVERAGE(OFFSET($H$3,0,0,'Données projet'!$E$10+1,1))</f>
        <v>377.00534440335832</v>
      </c>
      <c r="AO162" s="59">
        <f t="shared" si="144"/>
        <v>131.56029120000656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83.127429381655929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83.127429381655929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212.00000000000009</v>
      </c>
      <c r="BE162" s="13">
        <f>BD162*VLOOKUP('Données projet'!$B$11,Paramètres!$A$1:$I$89,3,0)*VLOOKUP('Données projet'!$B$11,Paramètres!$A$1:$I$89,5,0)</f>
        <v>185.20320000000009</v>
      </c>
      <c r="BF162" s="13">
        <f t="shared" si="167"/>
        <v>46.477875402099386</v>
      </c>
      <c r="BG162" s="20">
        <f t="shared" si="168"/>
        <v>403.5112063253232</v>
      </c>
      <c r="BH162" s="59">
        <f t="shared" si="116"/>
        <v>694.29184095992264</v>
      </c>
      <c r="BI162" s="59">
        <f ca="1">AVERAGE(OFFSET($BH$3,0,0,'Données projet'!$E$11+1,1))-AVERAGE(OFFSET($H$3,0,0,'Données projet'!$E$11+1,1))</f>
        <v>314.1123649635374</v>
      </c>
      <c r="BJ162" s="59">
        <f t="shared" si="146"/>
        <v>274.92342227914889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13.612794156260442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13.612794156260442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212.42519999999985</v>
      </c>
      <c r="CA162" s="13">
        <f t="shared" si="170"/>
        <v>52.465198231787184</v>
      </c>
      <c r="CB162" s="20">
        <f t="shared" si="171"/>
        <v>461.35077692036231</v>
      </c>
      <c r="CC162" s="59">
        <f t="shared" si="119"/>
        <v>752.13141155496169</v>
      </c>
      <c r="CD162" s="59">
        <f ca="1">AVERAGE(OFFSET($CC$3,0,0,'Données projet'!$E$12+1,1))-AVERAGE(OFFSET($H$3,0,0,'Données projet'!$E$12+1,1))</f>
        <v>309.86296291630748</v>
      </c>
      <c r="CE162" s="59">
        <f t="shared" si="148"/>
        <v>301.17633325088661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9.0758996248498089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9.0758996248498089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404.00000000000017</v>
      </c>
      <c r="CU162" s="17">
        <f>CT162*VLOOKUP('Données projet'!$B$13,Paramètres!$A$1:$I$89,3,0)*VLOOKUP('Données projet'!$B$13,Paramètres!$A$1:$I$89,5,0)</f>
        <v>346.63200000000018</v>
      </c>
      <c r="CV162" s="13">
        <f t="shared" si="173"/>
        <v>80.868615263336864</v>
      </c>
      <c r="CW162" s="20">
        <f t="shared" si="174"/>
        <v>744.56357158364528</v>
      </c>
      <c r="CX162" s="59">
        <f t="shared" si="122"/>
        <v>1035.3442062182446</v>
      </c>
      <c r="CY162" s="59">
        <f ca="1">AVERAGE(OFFSET($CX$3,0,0,'Données projet'!$E$13+1,1))-AVERAGE(OFFSET($H$3,0,0,'Données projet'!$E$13+1,1))</f>
        <v>462.66388549889928</v>
      </c>
      <c r="CZ162" s="59">
        <f t="shared" si="150"/>
        <v>265.3725203415089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46.171523423776797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46.171523423776797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210.25641030000014</v>
      </c>
      <c r="DP162" s="17">
        <f>DO162*VLOOKUP('Données projet'!$B$14,Paramètres!$A$1:$I$89,3,0)*VLOOKUP('Données projet'!$B$14,Paramètres!$A$1:$I$89,5,0)</f>
        <v>164.00000003400012</v>
      </c>
      <c r="DQ162" s="13">
        <f t="shared" si="176"/>
        <v>41.743425916009095</v>
      </c>
      <c r="DR162" s="20">
        <f t="shared" si="177"/>
        <v>358.3364668629327</v>
      </c>
      <c r="DS162" s="59">
        <f t="shared" si="125"/>
        <v>649.11710149753208</v>
      </c>
      <c r="DT162" s="59">
        <f ca="1">AVERAGE(OFFSET($DS$3,0,0,'Données projet'!$E$14+1,1))-AVERAGE(OFFSET($H$3,0,0,'Données projet'!$E$14+1,1))</f>
        <v>206.5241977687125</v>
      </c>
      <c r="DU162" s="59">
        <f t="shared" si="152"/>
        <v>205.25001043771269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5.4332305620668695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5.4332305620668695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155.99999999999991</v>
      </c>
      <c r="EK162" s="17">
        <f>EJ162*VLOOKUP('Données projet'!$B$15,Paramètres!$A$1:$I$89,3,0)*VLOOKUP('Données projet'!$B$15,Paramètres!$A$1:$I$89,5,0)</f>
        <v>136.28159999999994</v>
      </c>
      <c r="EL162" s="13">
        <f t="shared" si="179"/>
        <v>35.443842312892279</v>
      </c>
      <c r="EM162" s="20">
        <f t="shared" si="180"/>
        <v>299.08847869495395</v>
      </c>
      <c r="EN162" s="59">
        <f t="shared" si="128"/>
        <v>589.86911332955333</v>
      </c>
      <c r="EO162" s="59">
        <f ca="1">AVERAGE(OFFSET($EN$3,0,0,'Données projet'!$E$15+1,1))-AVERAGE(OFFSET($H$3,0,0,'Données projet'!$E$15+1,1))</f>
        <v>205.83135724908942</v>
      </c>
      <c r="EP162" s="59">
        <f t="shared" si="154"/>
        <v>193.60053377311405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5.4106414723786731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5.4106414723786731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204.00000000000017</v>
      </c>
      <c r="FF162" s="17">
        <f>FE162*VLOOKUP('Données projet'!$B$16,Paramètres!$A$1:$I$89,3,0)*VLOOKUP('Données projet'!$B$16,Paramètres!$A$1:$I$89,5,0)</f>
        <v>133.66080000000011</v>
      </c>
      <c r="FG162" s="13">
        <f t="shared" si="182"/>
        <v>34.840890682716783</v>
      </c>
      <c r="FH162" s="20">
        <f t="shared" si="183"/>
        <v>293.4737779390652</v>
      </c>
      <c r="FI162" s="59">
        <f t="shared" si="131"/>
        <v>584.25441257366458</v>
      </c>
      <c r="FJ162" s="59">
        <f ca="1">AVERAGE(OFFSET($FI$3,0,0,'Données projet'!$E$16+1,1))-AVERAGE(OFFSET($H$3,0,0,'Données projet'!$E$16+1,1))</f>
        <v>242.76791261317206</v>
      </c>
      <c r="FK162" s="59">
        <f t="shared" si="156"/>
        <v>244.28580264867682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10.050291292540729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10.050291292540729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-0.57750000000000057</v>
      </c>
      <c r="FZ162" s="12">
        <f>IF('Données projet'!$A$244&gt;35,FZ161+FY162-GH161,IF(A162&lt;'Données projet'!$A$244,$FW$205^A162,IF(A162='Données projet'!$A$244,'Données projet'!$B$244,FZ161+FY162-GH161)))</f>
        <v>135.41499999999962</v>
      </c>
      <c r="GA162" s="17">
        <f>FZ162*VLOOKUP('Données projet'!$B$17,Paramètres!$A$1:$I$89,3,0)*VLOOKUP('Données projet'!$B$17,Paramètres!$A$1:$I$89,5,0)</f>
        <v>128.86091399999964</v>
      </c>
      <c r="GB162" s="13">
        <f t="shared" si="185"/>
        <v>33.733015336184529</v>
      </c>
      <c r="GC162" s="20">
        <f t="shared" si="186"/>
        <v>283.18442692718742</v>
      </c>
      <c r="GD162" s="59">
        <f t="shared" si="134"/>
        <v>573.9650615617868</v>
      </c>
      <c r="GE162" s="59">
        <f ca="1">AVERAGE(OFFSET($GD$3,0,0,'Données projet'!$E$17+1,1))-AVERAGE(OFFSET($H$3,0,0,'Données projet'!$E$17+1,1))</f>
        <v>512.71941256120977</v>
      </c>
      <c r="GF162" s="59">
        <f t="shared" si="158"/>
        <v>230.65031527019354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190.93068988983626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190.93068988983626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69.303809445799828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-5.6843418860808015E-14</v>
      </c>
      <c r="GV162" s="17">
        <f>GU162*VLOOKUP('Données projet'!$B$18,Paramètres!$A$1:$I$89,3,0)*VLOOKUP('Données projet'!$B$18,Paramètres!$A$1:$I$89,5,0)</f>
        <v>-2.5006556825246661E-14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180.68917161146683</v>
      </c>
      <c r="HA162" s="59">
        <f t="shared" si="160"/>
        <v>344.42126252322419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4.9692689325377781</v>
      </c>
      <c r="HH162" s="21">
        <f>EXP(-LN(2)/25)*HH161+(1-EXP(-LN(2)/25))/(LN(2)/25)*Calculateur!HC162*Calculateur!HE162*VLOOKUP('Données projet'!$B$18,Paramètres!$A$1:$I$89,3,0)*0.475*44/12</f>
        <v>0.46329907532324904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5.4325680078610272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2.25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8.25</v>
      </c>
      <c r="H163" s="66">
        <f t="shared" si="110"/>
        <v>223.66666666666666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-0.57750000000000057</v>
      </c>
      <c r="N163" s="13">
        <f>IF('Données projet'!$A$36&gt;35,N162+M163-V162,IF(A163&lt;'Données projet'!$A$36,$K$205^A163,IF(A163='Données projet'!$A$36,'Données projet'!$B$36,N162+M163-V162)))</f>
        <v>134.83749999999964</v>
      </c>
      <c r="O163" s="13">
        <f>N163*VLOOKUP('Données projet'!$B$9,Paramètres!$A$1:$I$89,3,0)*VLOOKUP('Données projet'!$B$9,Paramètres!$A$1:$I$89,5,0)</f>
        <v>122.00096999999967</v>
      </c>
      <c r="P163" s="13">
        <f t="shared" si="141"/>
        <v>32.141242560701933</v>
      </c>
      <c r="Q163" s="20">
        <f t="shared" si="162"/>
        <v>268.46435354322199</v>
      </c>
      <c r="R163" s="59">
        <f t="shared" si="109"/>
        <v>559.28927179326502</v>
      </c>
      <c r="S163" s="59">
        <f ca="1">AVERAGE(OFFSET($R$3,0,0,'Données projet'!$E$9+1,1))-AVERAGE(OFFSET($H$3,0,0,'Données projet'!$E$9+1,1))</f>
        <v>490.57849401500789</v>
      </c>
      <c r="T163" s="59">
        <f t="shared" si="142"/>
        <v>221.7570623669753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177.98075442630261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177.98075442630261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7.1291666666666673</v>
      </c>
      <c r="AI163" s="13">
        <f>IF('Données projet'!$A$62&gt;35,AI162+AH163-AQ162,IF(A163&lt;'Données projet'!$A$62,$AF$205^A163,IF(A163='Données projet'!$A$62,'Données projet'!$B$62,AI162+AH163-AQ162)))</f>
        <v>378.61666666666594</v>
      </c>
      <c r="AJ163" s="13">
        <f>AI163*VLOOKUP('Données projet'!$B$10,Paramètres!$A$1:$I$89,3,0)*VLOOKUP('Données projet'!$B$10,Paramètres!$A$1:$I$89,5,0)</f>
        <v>253.97605999999951</v>
      </c>
      <c r="AK163" s="13">
        <f t="shared" si="164"/>
        <v>61.436570793461613</v>
      </c>
      <c r="AL163" s="20">
        <f t="shared" si="165"/>
        <v>549.34366529861143</v>
      </c>
      <c r="AM163" s="59">
        <f t="shared" si="113"/>
        <v>840.16858354865451</v>
      </c>
      <c r="AN163" s="59">
        <f ca="1">AVERAGE(OFFSET($AM$3,0,0,'Données projet'!$E$10+1,1))-AVERAGE(OFFSET($H$3,0,0,'Données projet'!$E$10+1,1))</f>
        <v>377.00534440335832</v>
      </c>
      <c r="AO163" s="59">
        <f t="shared" si="144"/>
        <v>131.56029120000656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81.497351194207099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81.497351194207099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212.00000000000009</v>
      </c>
      <c r="BE163" s="13">
        <f>BD163*VLOOKUP('Données projet'!$B$11,Paramètres!$A$1:$I$89,3,0)*VLOOKUP('Données projet'!$B$11,Paramètres!$A$1:$I$89,5,0)</f>
        <v>185.20320000000009</v>
      </c>
      <c r="BF163" s="13">
        <f t="shared" si="167"/>
        <v>46.477875402099386</v>
      </c>
      <c r="BG163" s="20">
        <f t="shared" si="168"/>
        <v>403.5112063253232</v>
      </c>
      <c r="BH163" s="59">
        <f t="shared" si="116"/>
        <v>694.33612457536628</v>
      </c>
      <c r="BI163" s="59">
        <f ca="1">AVERAGE(OFFSET($BH$3,0,0,'Données projet'!$E$11+1,1))-AVERAGE(OFFSET($H$3,0,0,'Données projet'!$E$11+1,1))</f>
        <v>314.1123649635374</v>
      </c>
      <c r="BJ163" s="59">
        <f t="shared" si="146"/>
        <v>274.92342227914889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13.345855565840758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13.345855565840758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212.42519999999985</v>
      </c>
      <c r="CA163" s="13">
        <f t="shared" si="170"/>
        <v>52.465198231787184</v>
      </c>
      <c r="CB163" s="20">
        <f t="shared" si="171"/>
        <v>461.35077692036231</v>
      </c>
      <c r="CC163" s="59">
        <f t="shared" si="119"/>
        <v>752.17569517040533</v>
      </c>
      <c r="CD163" s="59">
        <f ca="1">AVERAGE(OFFSET($CC$3,0,0,'Données projet'!$E$12+1,1))-AVERAGE(OFFSET($H$3,0,0,'Données projet'!$E$12+1,1))</f>
        <v>309.86296291630748</v>
      </c>
      <c r="CE163" s="59">
        <f t="shared" si="148"/>
        <v>301.17633325088661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8.8979267689586656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8.8979267689586656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404.00000000000017</v>
      </c>
      <c r="CU163" s="17">
        <f>CT163*VLOOKUP('Données projet'!$B$13,Paramètres!$A$1:$I$89,3,0)*VLOOKUP('Données projet'!$B$13,Paramètres!$A$1:$I$89,5,0)</f>
        <v>346.63200000000018</v>
      </c>
      <c r="CV163" s="13">
        <f t="shared" si="173"/>
        <v>80.868615263336864</v>
      </c>
      <c r="CW163" s="20">
        <f t="shared" si="174"/>
        <v>744.56357158364528</v>
      </c>
      <c r="CX163" s="59">
        <f t="shared" si="122"/>
        <v>1035.3884898336883</v>
      </c>
      <c r="CY163" s="59">
        <f ca="1">AVERAGE(OFFSET($CX$3,0,0,'Données projet'!$E$13+1,1))-AVERAGE(OFFSET($H$3,0,0,'Données projet'!$E$13+1,1))</f>
        <v>462.66388549889928</v>
      </c>
      <c r="CZ163" s="59">
        <f t="shared" si="150"/>
        <v>265.3725203415089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45.266128011285069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45.266128011285069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210.25641030000014</v>
      </c>
      <c r="DP163" s="17">
        <f>DO163*VLOOKUP('Données projet'!$B$14,Paramètres!$A$1:$I$89,3,0)*VLOOKUP('Données projet'!$B$14,Paramètres!$A$1:$I$89,5,0)</f>
        <v>164.00000003400012</v>
      </c>
      <c r="DQ163" s="13">
        <f t="shared" si="176"/>
        <v>41.743425916009095</v>
      </c>
      <c r="DR163" s="20">
        <f t="shared" si="177"/>
        <v>358.3364668629327</v>
      </c>
      <c r="DS163" s="59">
        <f t="shared" si="125"/>
        <v>649.16138511297572</v>
      </c>
      <c r="DT163" s="59">
        <f ca="1">AVERAGE(OFFSET($DS$3,0,0,'Données projet'!$E$14+1,1))-AVERAGE(OFFSET($H$3,0,0,'Données projet'!$E$14+1,1))</f>
        <v>206.5241977687125</v>
      </c>
      <c r="DU163" s="59">
        <f t="shared" si="152"/>
        <v>205.25001043771269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5.3266882246881559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5.3266882246881559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155.99999999999991</v>
      </c>
      <c r="EK163" s="17">
        <f>EJ163*VLOOKUP('Données projet'!$B$15,Paramètres!$A$1:$I$89,3,0)*VLOOKUP('Données projet'!$B$15,Paramètres!$A$1:$I$89,5,0)</f>
        <v>136.28159999999994</v>
      </c>
      <c r="EL163" s="13">
        <f t="shared" si="179"/>
        <v>35.443842312892279</v>
      </c>
      <c r="EM163" s="20">
        <f t="shared" si="180"/>
        <v>299.08847869495395</v>
      </c>
      <c r="EN163" s="59">
        <f t="shared" si="128"/>
        <v>589.91339694499698</v>
      </c>
      <c r="EO163" s="59">
        <f ca="1">AVERAGE(OFFSET($EN$3,0,0,'Données projet'!$E$15+1,1))-AVERAGE(OFFSET($H$3,0,0,'Données projet'!$E$15+1,1))</f>
        <v>205.83135724908942</v>
      </c>
      <c r="EP163" s="59">
        <f t="shared" si="154"/>
        <v>193.60053377311405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5.3045420932707614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5.3045420932707614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204.00000000000017</v>
      </c>
      <c r="FF163" s="17">
        <f>FE163*VLOOKUP('Données projet'!$B$16,Paramètres!$A$1:$I$89,3,0)*VLOOKUP('Données projet'!$B$16,Paramètres!$A$1:$I$89,5,0)</f>
        <v>133.66080000000011</v>
      </c>
      <c r="FG163" s="13">
        <f t="shared" si="182"/>
        <v>34.840890682716783</v>
      </c>
      <c r="FH163" s="20">
        <f t="shared" si="183"/>
        <v>293.4737779390652</v>
      </c>
      <c r="FI163" s="59">
        <f t="shared" si="131"/>
        <v>584.29869618910834</v>
      </c>
      <c r="FJ163" s="59">
        <f ca="1">AVERAGE(OFFSET($FI$3,0,0,'Données projet'!$E$16+1,1))-AVERAGE(OFFSET($H$3,0,0,'Données projet'!$E$16+1,1))</f>
        <v>242.76791261317206</v>
      </c>
      <c r="FK163" s="59">
        <f t="shared" si="156"/>
        <v>244.28580264867682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9.8532112103663998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9.8532112103663998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-0.57750000000000057</v>
      </c>
      <c r="FZ163" s="12">
        <f>IF('Données projet'!$A$244&gt;35,FZ162+FY163-GH162,IF(A163&lt;'Données projet'!$A$244,$FW$205^A163,IF(A163='Données projet'!$A$244,'Données projet'!$B$244,FZ162+FY163-GH162)))</f>
        <v>134.83749999999964</v>
      </c>
      <c r="GA163" s="17">
        <f>FZ163*VLOOKUP('Données projet'!$B$17,Paramètres!$A$1:$I$89,3,0)*VLOOKUP('Données projet'!$B$17,Paramètres!$A$1:$I$89,5,0)</f>
        <v>128.31136499999965</v>
      </c>
      <c r="GB163" s="13">
        <f t="shared" si="185"/>
        <v>33.605868945311109</v>
      </c>
      <c r="GC163" s="20">
        <f t="shared" si="186"/>
        <v>282.00584912141625</v>
      </c>
      <c r="GD163" s="59">
        <f t="shared" si="134"/>
        <v>572.83076737145939</v>
      </c>
      <c r="GE163" s="59">
        <f ca="1">AVERAGE(OFFSET($GD$3,0,0,'Données projet'!$E$17+1,1))-AVERAGE(OFFSET($H$3,0,0,'Données projet'!$E$17+1,1))</f>
        <v>512.71941256120977</v>
      </c>
      <c r="GF163" s="59">
        <f t="shared" si="158"/>
        <v>230.65031527019354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187.18665551731831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187.18665551731831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69.315886795466298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-5.6843418860808015E-14</v>
      </c>
      <c r="GV163" s="17">
        <f>GU163*VLOOKUP('Données projet'!$B$18,Paramètres!$A$1:$I$89,3,0)*VLOOKUP('Données projet'!$B$18,Paramètres!$A$1:$I$89,5,0)</f>
        <v>-2.5006556825246661E-14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180.68917161146683</v>
      </c>
      <c r="HA163" s="59">
        <f t="shared" si="160"/>
        <v>344.42126252322419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4.8718245997254792</v>
      </c>
      <c r="HH163" s="21">
        <f>EXP(-LN(2)/25)*HH162+(1-EXP(-LN(2)/25))/(LN(2)/25)*Calculateur!HC163*Calculateur!HE163*VLOOKUP('Données projet'!$B$18,Paramètres!$A$1:$I$89,3,0)*0.475*44/12</f>
        <v>0.45063013774469529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5.3224547374701743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2.25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8.25</v>
      </c>
      <c r="H164" s="66">
        <f t="shared" si="110"/>
        <v>223.66666666666666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134.26</v>
      </c>
      <c r="L164" s="12">
        <f>VLOOKUP(A164,'Données projet'!$A$35:$I$55,9,0)</f>
        <v>-0.57750000000000057</v>
      </c>
      <c r="M164" s="12">
        <f t="array" ref="M164">INDEX(L:L,MIN(IF(ISNUMBER(L164:L360),ROW(L164:L360),"")))</f>
        <v>-0.57750000000000057</v>
      </c>
      <c r="N164" s="13">
        <f>IF('Données projet'!$A$36&gt;35,N163+M164-V163,IF(A164&lt;'Données projet'!$A$36,$K$205^A164,IF(A164='Données projet'!$A$36,'Données projet'!$B$36,N163+M164-V163)))</f>
        <v>134.25999999999965</v>
      </c>
      <c r="O164" s="13">
        <f>N164*VLOOKUP('Données projet'!$B$9,Paramètres!$A$1:$I$89,3,0)*VLOOKUP('Données projet'!$B$9,Paramètres!$A$1:$I$89,5,0)</f>
        <v>121.47844799999967</v>
      </c>
      <c r="P164" s="13">
        <f t="shared" si="141"/>
        <v>32.01957688263073</v>
      </c>
      <c r="Q164" s="20">
        <f t="shared" si="162"/>
        <v>267.34239333724798</v>
      </c>
      <c r="R164" s="59">
        <f t="shared" si="109"/>
        <v>558.2108269810102</v>
      </c>
      <c r="S164" s="59">
        <f ca="1">AVERAGE(OFFSET($R$3,0,0,'Données projet'!$E$9+1,1))-AVERAGE(OFFSET($H$3,0,0,'Données projet'!$E$9+1,1))</f>
        <v>490.57849401500789</v>
      </c>
      <c r="T164" s="59">
        <f t="shared" si="142"/>
        <v>221.7570623669753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115.43</v>
      </c>
      <c r="W164" s="16">
        <f>IF(ISNA(VLOOKUP(A164,'Données projet'!$A$35:$I$55,5,0)),0%,VLOOKUP(A164,'Données projet'!$A$35:$I$55,5,0)*VLOOKUP('Données projet'!$B$9,Paramètres!$A$1:$I$89,7,0))</f>
        <v>0.43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224.13695653287306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224.13695653287306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7.1291666666666673</v>
      </c>
      <c r="AI164" s="13">
        <f>IF('Données projet'!$A$62&gt;35,AI163+AH164-AQ163,IF(A164&lt;'Données projet'!$A$62,$AF$205^A164,IF(A164='Données projet'!$A$62,'Données projet'!$B$62,AI163+AH164-AQ163)))</f>
        <v>385.7458333333326</v>
      </c>
      <c r="AJ164" s="13">
        <f>AI164*VLOOKUP('Données projet'!$B$10,Paramètres!$A$1:$I$89,3,0)*VLOOKUP('Données projet'!$B$10,Paramètres!$A$1:$I$89,5,0)</f>
        <v>258.75830499999955</v>
      </c>
      <c r="AK164" s="13">
        <f t="shared" si="164"/>
        <v>62.45762506189245</v>
      </c>
      <c r="AL164" s="20">
        <f t="shared" si="165"/>
        <v>559.45107819112854</v>
      </c>
      <c r="AM164" s="59">
        <f t="shared" si="113"/>
        <v>850.31951183489082</v>
      </c>
      <c r="AN164" s="59">
        <f ca="1">AVERAGE(OFFSET($AM$3,0,0,'Données projet'!$E$10+1,1))-AVERAGE(OFFSET($H$3,0,0,'Données projet'!$E$10+1,1))</f>
        <v>377.00534440335832</v>
      </c>
      <c r="AO164" s="59">
        <f t="shared" si="144"/>
        <v>131.56029120000656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79.899237845764617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79.899237845764617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212.00000000000009</v>
      </c>
      <c r="BE164" s="13">
        <f>BD164*VLOOKUP('Données projet'!$B$11,Paramètres!$A$1:$I$89,3,0)*VLOOKUP('Données projet'!$B$11,Paramètres!$A$1:$I$89,5,0)</f>
        <v>185.20320000000009</v>
      </c>
      <c r="BF164" s="13">
        <f t="shared" si="167"/>
        <v>46.477875402099386</v>
      </c>
      <c r="BG164" s="20">
        <f t="shared" si="168"/>
        <v>403.5112063253232</v>
      </c>
      <c r="BH164" s="59">
        <f t="shared" si="116"/>
        <v>694.37963996908547</v>
      </c>
      <c r="BI164" s="59">
        <f ca="1">AVERAGE(OFFSET($BH$3,0,0,'Données projet'!$E$11+1,1))-AVERAGE(OFFSET($H$3,0,0,'Données projet'!$E$11+1,1))</f>
        <v>314.1123649635374</v>
      </c>
      <c r="BJ164" s="59">
        <f t="shared" si="146"/>
        <v>274.92342227914889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13.08415147836274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13.08415147836274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212.42519999999985</v>
      </c>
      <c r="CA164" s="13">
        <f t="shared" si="170"/>
        <v>52.465198231787184</v>
      </c>
      <c r="CB164" s="20">
        <f t="shared" si="171"/>
        <v>461.35077692036231</v>
      </c>
      <c r="CC164" s="59">
        <f t="shared" si="119"/>
        <v>752.21921056412452</v>
      </c>
      <c r="CD164" s="59">
        <f ca="1">AVERAGE(OFFSET($CC$3,0,0,'Données projet'!$E$12+1,1))-AVERAGE(OFFSET($H$3,0,0,'Données projet'!$E$12+1,1))</f>
        <v>309.86296291630748</v>
      </c>
      <c r="CE164" s="59">
        <f t="shared" si="148"/>
        <v>301.17633325088661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8.7234438522188231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8.7234438522188231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404.00000000000017</v>
      </c>
      <c r="CU164" s="17">
        <f>CT164*VLOOKUP('Données projet'!$B$13,Paramètres!$A$1:$I$89,3,0)*VLOOKUP('Données projet'!$B$13,Paramètres!$A$1:$I$89,5,0)</f>
        <v>346.63200000000018</v>
      </c>
      <c r="CV164" s="13">
        <f t="shared" si="173"/>
        <v>80.868615263336864</v>
      </c>
      <c r="CW164" s="20">
        <f t="shared" si="174"/>
        <v>744.56357158364528</v>
      </c>
      <c r="CX164" s="59">
        <f t="shared" si="122"/>
        <v>1035.4320052274074</v>
      </c>
      <c r="CY164" s="59">
        <f ca="1">AVERAGE(OFFSET($CX$3,0,0,'Données projet'!$E$13+1,1))-AVERAGE(OFFSET($H$3,0,0,'Données projet'!$E$13+1,1))</f>
        <v>462.66388549889928</v>
      </c>
      <c r="CZ164" s="59">
        <f t="shared" si="150"/>
        <v>265.3725203415089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44.378486850595635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44.378486850595635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210.25641030000014</v>
      </c>
      <c r="DP164" s="17">
        <f>DO164*VLOOKUP('Données projet'!$B$14,Paramètres!$A$1:$I$89,3,0)*VLOOKUP('Données projet'!$B$14,Paramètres!$A$1:$I$89,5,0)</f>
        <v>164.00000003400012</v>
      </c>
      <c r="DQ164" s="13">
        <f t="shared" si="176"/>
        <v>41.743425916009095</v>
      </c>
      <c r="DR164" s="20">
        <f t="shared" si="177"/>
        <v>358.3364668629327</v>
      </c>
      <c r="DS164" s="59">
        <f t="shared" si="125"/>
        <v>649.20490050669491</v>
      </c>
      <c r="DT164" s="59">
        <f ca="1">AVERAGE(OFFSET($DS$3,0,0,'Données projet'!$E$14+1,1))-AVERAGE(OFFSET($H$3,0,0,'Données projet'!$E$14+1,1))</f>
        <v>206.5241977687125</v>
      </c>
      <c r="DU164" s="59">
        <f t="shared" si="152"/>
        <v>205.25001043771269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5.2222351175610306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5.2222351175610306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155.99999999999991</v>
      </c>
      <c r="EK164" s="17">
        <f>EJ164*VLOOKUP('Données projet'!$B$15,Paramètres!$A$1:$I$89,3,0)*VLOOKUP('Données projet'!$B$15,Paramètres!$A$1:$I$89,5,0)</f>
        <v>136.28159999999994</v>
      </c>
      <c r="EL164" s="13">
        <f t="shared" si="179"/>
        <v>35.443842312892279</v>
      </c>
      <c r="EM164" s="20">
        <f t="shared" si="180"/>
        <v>299.08847869495395</v>
      </c>
      <c r="EN164" s="59">
        <f t="shared" si="128"/>
        <v>589.95691233871617</v>
      </c>
      <c r="EO164" s="59">
        <f ca="1">AVERAGE(OFFSET($EN$3,0,0,'Données projet'!$E$15+1,1))-AVERAGE(OFFSET($H$3,0,0,'Données projet'!$E$15+1,1))</f>
        <v>205.83135724908942</v>
      </c>
      <c r="EP164" s="59">
        <f t="shared" si="154"/>
        <v>193.60053377311405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5.2005232582729244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5.2005232582729244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204.00000000000017</v>
      </c>
      <c r="FF164" s="17">
        <f>FE164*VLOOKUP('Données projet'!$B$16,Paramètres!$A$1:$I$89,3,0)*VLOOKUP('Données projet'!$B$16,Paramètres!$A$1:$I$89,5,0)</f>
        <v>133.66080000000011</v>
      </c>
      <c r="FG164" s="13">
        <f t="shared" si="182"/>
        <v>34.840890682716783</v>
      </c>
      <c r="FH164" s="20">
        <f t="shared" si="183"/>
        <v>293.4737779390652</v>
      </c>
      <c r="FI164" s="59">
        <f t="shared" si="131"/>
        <v>584.34221158282742</v>
      </c>
      <c r="FJ164" s="59">
        <f ca="1">AVERAGE(OFFSET($FI$3,0,0,'Données projet'!$E$16+1,1))-AVERAGE(OFFSET($H$3,0,0,'Données projet'!$E$16+1,1))</f>
        <v>242.76791261317206</v>
      </c>
      <c r="FK164" s="59">
        <f t="shared" si="156"/>
        <v>244.28580264867682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9.6599957483965273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9.6599957483965273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>
        <f>VLOOKUP(A164,'Données projet'!$A$243:$I$263,2,0)</f>
        <v>134.26</v>
      </c>
      <c r="FX164" s="12">
        <f>VLOOKUP(A164,'Données projet'!$A$243:$I$263,9,0)</f>
        <v>-0.57750000000000057</v>
      </c>
      <c r="FY164" s="12">
        <f t="array" ref="FY164">INDEX(FX:FX,MIN(IF(ISNUMBER(FX164:FX360),ROW(FX164:FX360),"")))</f>
        <v>-0.57750000000000057</v>
      </c>
      <c r="FZ164" s="12">
        <f>IF('Données projet'!$A$244&gt;35,FZ163+FY164-GH163,IF(A164&lt;'Données projet'!$A$244,$FW$205^A164,IF(A164='Données projet'!$A$244,'Données projet'!$B$244,FZ163+FY164-GH163)))</f>
        <v>134.25999999999965</v>
      </c>
      <c r="GA164" s="17">
        <f>FZ164*VLOOKUP('Données projet'!$B$17,Paramètres!$A$1:$I$89,3,0)*VLOOKUP('Données projet'!$B$17,Paramètres!$A$1:$I$89,5,0)</f>
        <v>127.76181599999967</v>
      </c>
      <c r="GB164" s="13">
        <f t="shared" si="185"/>
        <v>33.478659151704591</v>
      </c>
      <c r="GC164" s="20">
        <f t="shared" si="186"/>
        <v>280.82716088921825</v>
      </c>
      <c r="GD164" s="59">
        <f t="shared" si="134"/>
        <v>571.69559453298052</v>
      </c>
      <c r="GE164" s="59">
        <f ca="1">AVERAGE(OFFSET($GD$3,0,0,'Données projet'!$E$17+1,1))-AVERAGE(OFFSET($H$3,0,0,'Données projet'!$E$17+1,1))</f>
        <v>512.71941256120977</v>
      </c>
      <c r="GF164" s="59">
        <f t="shared" si="158"/>
        <v>230.65031527019354</v>
      </c>
      <c r="GG164" s="15">
        <f>IF(ISNA(VLOOKUP(A164,'Données projet'!$A$243:$I$263,3,0)),0,VLOOKUP(A164,'Données projet'!$A$243:$I$263,3,0))</f>
        <v>15</v>
      </c>
      <c r="GH164" s="15">
        <f>IF(ISNA(VLOOKUP(A164,'Données projet'!$A$243:$I$263,4,0)),0,VLOOKUP(A164,'Données projet'!$A$243:$I$263,4,0))</f>
        <v>115.43</v>
      </c>
      <c r="GI164" s="16">
        <f>IF(ISNA(VLOOKUP(A164,'Données projet'!$A$243:$I$263,5,0)),0%,VLOOKUP(A164,'Données projet'!$A$243:$I$263,5,0)*VLOOKUP('Données projet'!$B$17,Paramètres!$A$1:$I$89,7,0))</f>
        <v>0.43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235.73024738802172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235.73024738802172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69.327754630116971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-5.6843418860808015E-14</v>
      </c>
      <c r="GV164" s="17">
        <f>GU164*VLOOKUP('Données projet'!$B$18,Paramètres!$A$1:$I$89,3,0)*VLOOKUP('Données projet'!$B$18,Paramètres!$A$1:$I$89,5,0)</f>
        <v>-2.5006556825246661E-14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180.68917161146683</v>
      </c>
      <c r="HA164" s="59">
        <f t="shared" si="160"/>
        <v>344.42126252322419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4.7762910908444551</v>
      </c>
      <c r="HH164" s="21">
        <f>EXP(-LN(2)/25)*HH163+(1-EXP(-LN(2)/25))/(LN(2)/25)*Calculateur!HC164*Calculateur!HE164*VLOOKUP('Données projet'!$B$18,Paramètres!$A$1:$I$89,3,0)*0.475*44/12</f>
        <v>0.4383076329304576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5.2145987237749125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2.25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8.25</v>
      </c>
      <c r="H165" s="66">
        <f t="shared" si="110"/>
        <v>223.66666666666666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18.829999999999643</v>
      </c>
      <c r="O165" s="13">
        <f>N165*VLOOKUP('Données projet'!$B$9,Paramètres!$A$1:$I$89,3,0)*VLOOKUP('Données projet'!$B$9,Paramètres!$A$1:$I$89,5,0)</f>
        <v>17.037383999999676</v>
      </c>
      <c r="P165" s="13">
        <f t="shared" si="141"/>
        <v>5.644424624466958</v>
      </c>
      <c r="Q165" s="20">
        <f t="shared" si="162"/>
        <v>39.504150020946049</v>
      </c>
      <c r="R165" s="59">
        <f t="shared" si="109"/>
        <v>330.41534416363214</v>
      </c>
      <c r="S165" s="59">
        <f ca="1">AVERAGE(OFFSET($R$3,0,0,'Données projet'!$E$9+1,1))-AVERAGE(OFFSET($H$3,0,0,'Données projet'!$E$9+1,1))</f>
        <v>490.57849401500789</v>
      </c>
      <c r="T165" s="59">
        <f t="shared" si="142"/>
        <v>221.7570623669753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219.74176752530789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219.74176752530789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7.1291666666666673</v>
      </c>
      <c r="AI165" s="13">
        <f>IF('Données projet'!$A$62&gt;35,AI164+AH165-AQ164,IF(A165&lt;'Données projet'!$A$62,$AF$205^A165,IF(A165='Données projet'!$A$62,'Données projet'!$B$62,AI164+AH165-AQ164)))</f>
        <v>392.87499999999926</v>
      </c>
      <c r="AJ165" s="13">
        <f>AI165*VLOOKUP('Données projet'!$B$10,Paramètres!$A$1:$I$89,3,0)*VLOOKUP('Données projet'!$B$10,Paramètres!$A$1:$I$89,5,0)</f>
        <v>263.54054999999954</v>
      </c>
      <c r="AK165" s="13">
        <f t="shared" si="164"/>
        <v>63.476485018147606</v>
      </c>
      <c r="AL165" s="20">
        <f t="shared" si="165"/>
        <v>569.55466932327295</v>
      </c>
      <c r="AM165" s="59">
        <f t="shared" si="113"/>
        <v>860.46586346595905</v>
      </c>
      <c r="AN165" s="59">
        <f ca="1">AVERAGE(OFFSET($AM$3,0,0,'Données projet'!$E$10+1,1))-AVERAGE(OFFSET($H$3,0,0,'Données projet'!$E$10+1,1))</f>
        <v>377.00534440335832</v>
      </c>
      <c r="AO165" s="59">
        <f t="shared" si="144"/>
        <v>131.56029120000656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78.332462525332204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78.332462525332204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212.00000000000009</v>
      </c>
      <c r="BE165" s="13">
        <f>BD165*VLOOKUP('Données projet'!$B$11,Paramètres!$A$1:$I$89,3,0)*VLOOKUP('Données projet'!$B$11,Paramètres!$A$1:$I$89,5,0)</f>
        <v>185.20320000000009</v>
      </c>
      <c r="BF165" s="13">
        <f t="shared" si="167"/>
        <v>46.477875402099386</v>
      </c>
      <c r="BG165" s="20">
        <f t="shared" si="168"/>
        <v>403.5112063253232</v>
      </c>
      <c r="BH165" s="59">
        <f t="shared" si="116"/>
        <v>694.4224004680093</v>
      </c>
      <c r="BI165" s="59">
        <f ca="1">AVERAGE(OFFSET($BH$3,0,0,'Données projet'!$E$11+1,1))-AVERAGE(OFFSET($H$3,0,0,'Données projet'!$E$11+1,1))</f>
        <v>314.1123649635374</v>
      </c>
      <c r="BJ165" s="59">
        <f t="shared" si="146"/>
        <v>274.92342227914889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12.827579248416436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12.827579248416436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212.42519999999985</v>
      </c>
      <c r="CA165" s="13">
        <f t="shared" si="170"/>
        <v>52.465198231787184</v>
      </c>
      <c r="CB165" s="20">
        <f t="shared" si="171"/>
        <v>461.35077692036231</v>
      </c>
      <c r="CC165" s="59">
        <f t="shared" si="119"/>
        <v>752.26197106304835</v>
      </c>
      <c r="CD165" s="59">
        <f ca="1">AVERAGE(OFFSET($CC$3,0,0,'Données projet'!$E$12+1,1))-AVERAGE(OFFSET($H$3,0,0,'Données projet'!$E$12+1,1))</f>
        <v>309.86296291630748</v>
      </c>
      <c r="CE165" s="59">
        <f t="shared" si="148"/>
        <v>301.17633325088661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8.5523824390521792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8.5523824390521792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404.00000000000017</v>
      </c>
      <c r="CU165" s="17">
        <f>CT165*VLOOKUP('Données projet'!$B$13,Paramètres!$A$1:$I$89,3,0)*VLOOKUP('Données projet'!$B$13,Paramètres!$A$1:$I$89,5,0)</f>
        <v>346.63200000000018</v>
      </c>
      <c r="CV165" s="13">
        <f t="shared" si="173"/>
        <v>80.868615263336864</v>
      </c>
      <c r="CW165" s="20">
        <f t="shared" si="174"/>
        <v>744.56357158364528</v>
      </c>
      <c r="CX165" s="59">
        <f t="shared" si="122"/>
        <v>1035.4747657263315</v>
      </c>
      <c r="CY165" s="59">
        <f ca="1">AVERAGE(OFFSET($CX$3,0,0,'Données projet'!$E$13+1,1))-AVERAGE(OFFSET($H$3,0,0,'Données projet'!$E$13+1,1))</f>
        <v>462.66388549889928</v>
      </c>
      <c r="CZ165" s="59">
        <f t="shared" si="150"/>
        <v>265.3725203415089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43.508251791659667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43.508251791659667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210.25641030000014</v>
      </c>
      <c r="DP165" s="17">
        <f>DO165*VLOOKUP('Données projet'!$B$14,Paramètres!$A$1:$I$89,3,0)*VLOOKUP('Données projet'!$B$14,Paramètres!$A$1:$I$89,5,0)</f>
        <v>164.00000003400012</v>
      </c>
      <c r="DQ165" s="13">
        <f t="shared" si="176"/>
        <v>41.743425916009095</v>
      </c>
      <c r="DR165" s="20">
        <f t="shared" si="177"/>
        <v>358.3364668629327</v>
      </c>
      <c r="DS165" s="59">
        <f t="shared" si="125"/>
        <v>649.24766100561874</v>
      </c>
      <c r="DT165" s="59">
        <f ca="1">AVERAGE(OFFSET($DS$3,0,0,'Données projet'!$E$14+1,1))-AVERAGE(OFFSET($H$3,0,0,'Données projet'!$E$14+1,1))</f>
        <v>206.5241977687125</v>
      </c>
      <c r="DU165" s="59">
        <f t="shared" si="152"/>
        <v>205.25001043771269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5.1198302721545632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5.1198302721545632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155.99999999999991</v>
      </c>
      <c r="EK165" s="17">
        <f>EJ165*VLOOKUP('Données projet'!$B$15,Paramètres!$A$1:$I$89,3,0)*VLOOKUP('Données projet'!$B$15,Paramètres!$A$1:$I$89,5,0)</f>
        <v>136.28159999999994</v>
      </c>
      <c r="EL165" s="13">
        <f t="shared" si="179"/>
        <v>35.443842312892279</v>
      </c>
      <c r="EM165" s="20">
        <f t="shared" si="180"/>
        <v>299.08847869495395</v>
      </c>
      <c r="EN165" s="59">
        <f t="shared" si="128"/>
        <v>589.99967283763999</v>
      </c>
      <c r="EO165" s="59">
        <f ca="1">AVERAGE(OFFSET($EN$3,0,0,'Données projet'!$E$15+1,1))-AVERAGE(OFFSET($H$3,0,0,'Données projet'!$E$15+1,1))</f>
        <v>205.83135724908942</v>
      </c>
      <c r="EP165" s="59">
        <f t="shared" si="154"/>
        <v>193.60053377311405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5.0985441691841702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5.0985441691841702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204.00000000000017</v>
      </c>
      <c r="FF165" s="17">
        <f>FE165*VLOOKUP('Données projet'!$B$16,Paramètres!$A$1:$I$89,3,0)*VLOOKUP('Données projet'!$B$16,Paramètres!$A$1:$I$89,5,0)</f>
        <v>133.66080000000011</v>
      </c>
      <c r="FG165" s="13">
        <f t="shared" si="182"/>
        <v>34.840890682716783</v>
      </c>
      <c r="FH165" s="20">
        <f t="shared" si="183"/>
        <v>293.4737779390652</v>
      </c>
      <c r="FI165" s="59">
        <f t="shared" si="131"/>
        <v>584.38497208175136</v>
      </c>
      <c r="FJ165" s="59">
        <f ca="1">AVERAGE(OFFSET($FI$3,0,0,'Données projet'!$E$16+1,1))-AVERAGE(OFFSET($H$3,0,0,'Données projet'!$E$16+1,1))</f>
        <v>242.76791261317206</v>
      </c>
      <c r="FK165" s="59">
        <f t="shared" si="156"/>
        <v>244.28580264867682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9.4705691237860901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9.4705691237860901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18.829999999999643</v>
      </c>
      <c r="GA165" s="17">
        <f>FZ165*VLOOKUP('Données projet'!$B$17,Paramètres!$A$1:$I$89,3,0)*VLOOKUP('Données projet'!$B$17,Paramètres!$A$1:$I$89,5,0)</f>
        <v>17.918627999999661</v>
      </c>
      <c r="GB165" s="13">
        <f t="shared" si="185"/>
        <v>5.9016322671185755</v>
      </c>
      <c r="GC165" s="20">
        <f t="shared" si="186"/>
        <v>41.486953298564259</v>
      </c>
      <c r="GD165" s="59">
        <f t="shared" si="134"/>
        <v>332.39814744125033</v>
      </c>
      <c r="GE165" s="59">
        <f ca="1">AVERAGE(OFFSET($GD$3,0,0,'Données projet'!$E$17+1,1))-AVERAGE(OFFSET($H$3,0,0,'Données projet'!$E$17+1,1))</f>
        <v>512.71941256120977</v>
      </c>
      <c r="GF165" s="59">
        <f t="shared" si="158"/>
        <v>230.65031527019354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231.10772101799631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231.10772101799631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69.339416584368934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-5.6843418860808015E-14</v>
      </c>
      <c r="GV165" s="17">
        <f>GU165*VLOOKUP('Données projet'!$B$18,Paramètres!$A$1:$I$89,3,0)*VLOOKUP('Données projet'!$B$18,Paramètres!$A$1:$I$89,5,0)</f>
        <v>-2.5006556825246661E-14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180.68917161146683</v>
      </c>
      <c r="HA165" s="59">
        <f t="shared" si="160"/>
        <v>344.42126252322419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4.6826309358029015</v>
      </c>
      <c r="HH165" s="21">
        <f>EXP(-LN(2)/25)*HH164+(1-EXP(-LN(2)/25))/(LN(2)/25)*Calculateur!HC165*Calculateur!HE165*VLOOKUP('Données projet'!$B$18,Paramètres!$A$1:$I$89,3,0)*0.475*44/12</f>
        <v>0.42632208765837759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5.1089530234612788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2.25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8.25</v>
      </c>
      <c r="H166" s="66">
        <f t="shared" si="110"/>
        <v>223.66666666666666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18.829999999999643</v>
      </c>
      <c r="O166" s="13">
        <f>N166*VLOOKUP('Données projet'!$B$9,Paramètres!$A$1:$I$89,3,0)*VLOOKUP('Données projet'!$B$9,Paramètres!$A$1:$I$89,5,0)</f>
        <v>17.037383999999676</v>
      </c>
      <c r="P166" s="13">
        <f t="shared" si="141"/>
        <v>5.644424624466958</v>
      </c>
      <c r="Q166" s="20">
        <f t="shared" si="162"/>
        <v>39.504150020946049</v>
      </c>
      <c r="R166" s="59">
        <f t="shared" si="109"/>
        <v>330.45736286349791</v>
      </c>
      <c r="S166" s="59">
        <f ca="1">AVERAGE(OFFSET($R$3,0,0,'Données projet'!$E$9+1,1))-AVERAGE(OFFSET($H$3,0,0,'Données projet'!$E$9+1,1))</f>
        <v>490.57849401500789</v>
      </c>
      <c r="T166" s="59">
        <f t="shared" si="142"/>
        <v>221.7570623669753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215.43276549338051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215.43276549338051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7.1291666666666673</v>
      </c>
      <c r="AI166" s="13">
        <f>IF('Données projet'!$A$62&gt;35,AI165+AH166-AQ165,IF(A166&lt;'Données projet'!$A$62,$AF$205^A166,IF(A166='Données projet'!$A$62,'Données projet'!$B$62,AI165+AH166-AQ165)))</f>
        <v>400.00416666666592</v>
      </c>
      <c r="AJ166" s="13">
        <f>AI166*VLOOKUP('Données projet'!$B$10,Paramètres!$A$1:$I$89,3,0)*VLOOKUP('Données projet'!$B$10,Paramètres!$A$1:$I$89,5,0)</f>
        <v>268.32279499999953</v>
      </c>
      <c r="AK166" s="13">
        <f t="shared" si="164"/>
        <v>64.493195073385209</v>
      </c>
      <c r="AL166" s="20">
        <f t="shared" si="165"/>
        <v>579.65451604447833</v>
      </c>
      <c r="AM166" s="59">
        <f t="shared" si="113"/>
        <v>870.60772888703013</v>
      </c>
      <c r="AN166" s="59">
        <f ca="1">AVERAGE(OFFSET($AM$3,0,0,'Données projet'!$E$10+1,1))-AVERAGE(OFFSET($H$3,0,0,'Données projet'!$E$10+1,1))</f>
        <v>377.00534440335832</v>
      </c>
      <c r="AO166" s="59">
        <f t="shared" si="144"/>
        <v>131.56029120000656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76.79641071329489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76.79641071329489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212.00000000000009</v>
      </c>
      <c r="BE166" s="13">
        <f>BD166*VLOOKUP('Données projet'!$B$11,Paramètres!$A$1:$I$89,3,0)*VLOOKUP('Données projet'!$B$11,Paramètres!$A$1:$I$89,5,0)</f>
        <v>185.20320000000009</v>
      </c>
      <c r="BF166" s="13">
        <f t="shared" si="167"/>
        <v>46.477875402099386</v>
      </c>
      <c r="BG166" s="20">
        <f t="shared" si="168"/>
        <v>403.5112063253232</v>
      </c>
      <c r="BH166" s="59">
        <f t="shared" si="116"/>
        <v>694.46441916787512</v>
      </c>
      <c r="BI166" s="59">
        <f ca="1">AVERAGE(OFFSET($BH$3,0,0,'Données projet'!$E$11+1,1))-AVERAGE(OFFSET($H$3,0,0,'Données projet'!$E$11+1,1))</f>
        <v>314.1123649635374</v>
      </c>
      <c r="BJ166" s="59">
        <f t="shared" si="146"/>
        <v>274.92342227914889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12.576038243405771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12.576038243405771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212.42519999999985</v>
      </c>
      <c r="CA166" s="13">
        <f t="shared" si="170"/>
        <v>52.465198231787184</v>
      </c>
      <c r="CB166" s="20">
        <f t="shared" si="171"/>
        <v>461.35077692036231</v>
      </c>
      <c r="CC166" s="59">
        <f t="shared" si="119"/>
        <v>752.30398976291417</v>
      </c>
      <c r="CD166" s="59">
        <f ca="1">AVERAGE(OFFSET($CC$3,0,0,'Données projet'!$E$12+1,1))-AVERAGE(OFFSET($H$3,0,0,'Données projet'!$E$12+1,1))</f>
        <v>309.86296291630748</v>
      </c>
      <c r="CE166" s="59">
        <f t="shared" si="148"/>
        <v>301.17633325088661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8.384675435860574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8.384675435860574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404.00000000000017</v>
      </c>
      <c r="CU166" s="17">
        <f>CT166*VLOOKUP('Données projet'!$B$13,Paramètres!$A$1:$I$89,3,0)*VLOOKUP('Données projet'!$B$13,Paramètres!$A$1:$I$89,5,0)</f>
        <v>346.63200000000018</v>
      </c>
      <c r="CV166" s="13">
        <f t="shared" si="173"/>
        <v>80.868615263336864</v>
      </c>
      <c r="CW166" s="20">
        <f t="shared" si="174"/>
        <v>744.56357158364528</v>
      </c>
      <c r="CX166" s="59">
        <f t="shared" si="122"/>
        <v>1035.5167844261971</v>
      </c>
      <c r="CY166" s="59">
        <f ca="1">AVERAGE(OFFSET($CX$3,0,0,'Données projet'!$E$13+1,1))-AVERAGE(OFFSET($H$3,0,0,'Données projet'!$E$13+1,1))</f>
        <v>462.66388549889928</v>
      </c>
      <c r="CZ166" s="59">
        <f t="shared" si="150"/>
        <v>265.3725203415089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42.65508151143846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42.65508151143846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210.25641030000014</v>
      </c>
      <c r="DP166" s="17">
        <f>DO166*VLOOKUP('Données projet'!$B$14,Paramètres!$A$1:$I$89,3,0)*VLOOKUP('Données projet'!$B$14,Paramètres!$A$1:$I$89,5,0)</f>
        <v>164.00000003400012</v>
      </c>
      <c r="DQ166" s="13">
        <f t="shared" si="176"/>
        <v>41.743425916009095</v>
      </c>
      <c r="DR166" s="20">
        <f t="shared" si="177"/>
        <v>358.3364668629327</v>
      </c>
      <c r="DS166" s="59">
        <f t="shared" si="125"/>
        <v>649.28967970548456</v>
      </c>
      <c r="DT166" s="59">
        <f ca="1">AVERAGE(OFFSET($DS$3,0,0,'Données projet'!$E$14+1,1))-AVERAGE(OFFSET($H$3,0,0,'Données projet'!$E$14+1,1))</f>
        <v>206.5241977687125</v>
      </c>
      <c r="DU166" s="59">
        <f t="shared" si="152"/>
        <v>205.25001043771269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5.0194335233057288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5.0194335233057288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155.99999999999991</v>
      </c>
      <c r="EK166" s="17">
        <f>EJ166*VLOOKUP('Données projet'!$B$15,Paramètres!$A$1:$I$89,3,0)*VLOOKUP('Données projet'!$B$15,Paramètres!$A$1:$I$89,5,0)</f>
        <v>136.28159999999994</v>
      </c>
      <c r="EL166" s="13">
        <f t="shared" si="179"/>
        <v>35.443842312892279</v>
      </c>
      <c r="EM166" s="20">
        <f t="shared" si="180"/>
        <v>299.08847869495395</v>
      </c>
      <c r="EN166" s="59">
        <f t="shared" si="128"/>
        <v>590.04169153750581</v>
      </c>
      <c r="EO166" s="59">
        <f ca="1">AVERAGE(OFFSET($EN$3,0,0,'Données projet'!$E$15+1,1))-AVERAGE(OFFSET($H$3,0,0,'Données projet'!$E$15+1,1))</f>
        <v>205.83135724908942</v>
      </c>
      <c r="EP166" s="59">
        <f t="shared" si="154"/>
        <v>193.60053377311405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4.9985648278313439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4.9985648278313439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204.00000000000017</v>
      </c>
      <c r="FF166" s="17">
        <f>FE166*VLOOKUP('Données projet'!$B$16,Paramètres!$A$1:$I$89,3,0)*VLOOKUP('Données projet'!$B$16,Paramètres!$A$1:$I$89,5,0)</f>
        <v>133.66080000000011</v>
      </c>
      <c r="FG166" s="13">
        <f t="shared" si="182"/>
        <v>34.840890682716783</v>
      </c>
      <c r="FH166" s="20">
        <f t="shared" si="183"/>
        <v>293.4737779390652</v>
      </c>
      <c r="FI166" s="59">
        <f t="shared" si="131"/>
        <v>584.42699078161706</v>
      </c>
      <c r="FJ166" s="59">
        <f ca="1">AVERAGE(OFFSET($FI$3,0,0,'Données projet'!$E$16+1,1))-AVERAGE(OFFSET($H$3,0,0,'Données projet'!$E$16+1,1))</f>
        <v>242.76791261317206</v>
      </c>
      <c r="FK166" s="59">
        <f t="shared" si="156"/>
        <v>244.28580264867682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9.2848570397454306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9.2848570397454306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18.829999999999643</v>
      </c>
      <c r="GA166" s="17">
        <f>FZ166*VLOOKUP('Données projet'!$B$17,Paramètres!$A$1:$I$89,3,0)*VLOOKUP('Données projet'!$B$17,Paramètres!$A$1:$I$89,5,0)</f>
        <v>17.918627999999661</v>
      </c>
      <c r="GB166" s="13">
        <f t="shared" si="185"/>
        <v>5.9016322671185755</v>
      </c>
      <c r="GC166" s="20">
        <f t="shared" si="186"/>
        <v>41.486953298564259</v>
      </c>
      <c r="GD166" s="59">
        <f t="shared" si="134"/>
        <v>332.44016614111615</v>
      </c>
      <c r="GE166" s="59">
        <f ca="1">AVERAGE(OFFSET($GD$3,0,0,'Données projet'!$E$17+1,1))-AVERAGE(OFFSET($H$3,0,0,'Données projet'!$E$17+1,1))</f>
        <v>512.71941256120977</v>
      </c>
      <c r="GF166" s="59">
        <f t="shared" si="158"/>
        <v>230.65031527019354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226.5758395706244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226.5758395706244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69.350876229786863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-5.6843418860808015E-14</v>
      </c>
      <c r="GV166" s="17">
        <f>GU166*VLOOKUP('Données projet'!$B$18,Paramètres!$A$1:$I$89,3,0)*VLOOKUP('Données projet'!$B$18,Paramètres!$A$1:$I$89,5,0)</f>
        <v>-2.5006556825246661E-14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180.68917161146683</v>
      </c>
      <c r="HA166" s="59">
        <f t="shared" si="160"/>
        <v>344.42126252322419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4.5908073992746585</v>
      </c>
      <c r="HH166" s="21">
        <f>EXP(-LN(2)/25)*HH165+(1-EXP(-LN(2)/25))/(LN(2)/25)*Calculateur!HC166*Calculateur!HE166*VLOOKUP('Données projet'!$B$18,Paramètres!$A$1:$I$89,3,0)*0.475*44/12</f>
        <v>0.41466428775205505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5.0054716870267137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2.25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8.25</v>
      </c>
      <c r="H167" s="66">
        <f t="shared" si="110"/>
        <v>223.66666666666666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18.829999999999643</v>
      </c>
      <c r="O167" s="13">
        <f>N167*VLOOKUP('Données projet'!$B$9,Paramètres!$A$1:$I$89,3,0)*VLOOKUP('Données projet'!$B$9,Paramètres!$A$1:$I$89,5,0)</f>
        <v>17.037383999999676</v>
      </c>
      <c r="P167" s="13">
        <f t="shared" si="141"/>
        <v>5.644424624466958</v>
      </c>
      <c r="Q167" s="20">
        <f t="shared" si="162"/>
        <v>39.504150020946049</v>
      </c>
      <c r="R167" s="59">
        <f t="shared" si="109"/>
        <v>330.49865263286068</v>
      </c>
      <c r="S167" s="59">
        <f ca="1">AVERAGE(OFFSET($R$3,0,0,'Données projet'!$E$9+1,1))-AVERAGE(OFFSET($H$3,0,0,'Données projet'!$E$9+1,1))</f>
        <v>490.57849401500789</v>
      </c>
      <c r="T167" s="59">
        <f t="shared" si="142"/>
        <v>221.7570623669753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211.2082603630675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211.2082603630675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7.1291666666666673</v>
      </c>
      <c r="AI167" s="13">
        <f>IF('Données projet'!$A$62&gt;35,AI166+AH167-AQ166,IF(A167&lt;'Données projet'!$A$62,$AF$205^A167,IF(A167='Données projet'!$A$62,'Données projet'!$B$62,AI166+AH167-AQ166)))</f>
        <v>407.13333333333259</v>
      </c>
      <c r="AJ167" s="13">
        <f>AI167*VLOOKUP('Données projet'!$B$10,Paramètres!$A$1:$I$89,3,0)*VLOOKUP('Données projet'!$B$10,Paramètres!$A$1:$I$89,5,0)</f>
        <v>273.10503999999952</v>
      </c>
      <c r="AK167" s="13">
        <f t="shared" si="164"/>
        <v>65.507797965044517</v>
      </c>
      <c r="AL167" s="20">
        <f t="shared" si="165"/>
        <v>589.75069278911838</v>
      </c>
      <c r="AM167" s="59">
        <f t="shared" si="113"/>
        <v>880.74519540103302</v>
      </c>
      <c r="AN167" s="59">
        <f ca="1">AVERAGE(OFFSET($AM$3,0,0,'Données projet'!$E$10+1,1))-AVERAGE(OFFSET($H$3,0,0,'Données projet'!$E$10+1,1))</f>
        <v>377.00534440335832</v>
      </c>
      <c r="AO167" s="59">
        <f t="shared" si="144"/>
        <v>131.56029120000656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75.29047994039253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75.29047994039253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212.00000000000009</v>
      </c>
      <c r="BE167" s="13">
        <f>BD167*VLOOKUP('Données projet'!$B$11,Paramètres!$A$1:$I$89,3,0)*VLOOKUP('Données projet'!$B$11,Paramètres!$A$1:$I$89,5,0)</f>
        <v>185.20320000000009</v>
      </c>
      <c r="BF167" s="13">
        <f t="shared" si="167"/>
        <v>46.477875402099386</v>
      </c>
      <c r="BG167" s="20">
        <f t="shared" si="168"/>
        <v>403.5112063253232</v>
      </c>
      <c r="BH167" s="59">
        <f t="shared" si="116"/>
        <v>694.50570893723784</v>
      </c>
      <c r="BI167" s="59">
        <f ca="1">AVERAGE(OFFSET($BH$3,0,0,'Données projet'!$E$11+1,1))-AVERAGE(OFFSET($H$3,0,0,'Données projet'!$E$11+1,1))</f>
        <v>314.1123649635374</v>
      </c>
      <c r="BJ167" s="59">
        <f t="shared" si="146"/>
        <v>274.92342227914889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12.329429804078501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12.329429804078501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212.42519999999985</v>
      </c>
      <c r="CA167" s="13">
        <f t="shared" si="170"/>
        <v>52.465198231787184</v>
      </c>
      <c r="CB167" s="20">
        <f t="shared" si="171"/>
        <v>461.35077692036231</v>
      </c>
      <c r="CC167" s="59">
        <f t="shared" si="119"/>
        <v>752.34527953227689</v>
      </c>
      <c r="CD167" s="59">
        <f ca="1">AVERAGE(OFFSET($CC$3,0,0,'Données projet'!$E$12+1,1))-AVERAGE(OFFSET($H$3,0,0,'Données projet'!$E$12+1,1))</f>
        <v>309.86296291630748</v>
      </c>
      <c r="CE167" s="59">
        <f t="shared" si="148"/>
        <v>301.17633325088661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8.2202570647103848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8.2202570647103848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404.00000000000017</v>
      </c>
      <c r="CU167" s="17">
        <f>CT167*VLOOKUP('Données projet'!$B$13,Paramètres!$A$1:$I$89,3,0)*VLOOKUP('Données projet'!$B$13,Paramètres!$A$1:$I$89,5,0)</f>
        <v>346.63200000000018</v>
      </c>
      <c r="CV167" s="13">
        <f t="shared" si="173"/>
        <v>80.868615263336864</v>
      </c>
      <c r="CW167" s="20">
        <f t="shared" si="174"/>
        <v>744.56357158364528</v>
      </c>
      <c r="CX167" s="59">
        <f t="shared" si="122"/>
        <v>1035.55807419556</v>
      </c>
      <c r="CY167" s="59">
        <f ca="1">AVERAGE(OFFSET($CX$3,0,0,'Données projet'!$E$13+1,1))-AVERAGE(OFFSET($H$3,0,0,'Données projet'!$E$13+1,1))</f>
        <v>462.66388549889928</v>
      </c>
      <c r="CZ167" s="59">
        <f t="shared" si="150"/>
        <v>265.3725203415089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41.818641380029909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41.818641380029909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210.25641030000014</v>
      </c>
      <c r="DP167" s="17">
        <f>DO167*VLOOKUP('Données projet'!$B$14,Paramètres!$A$1:$I$89,3,0)*VLOOKUP('Données projet'!$B$14,Paramètres!$A$1:$I$89,5,0)</f>
        <v>164.00000003400012</v>
      </c>
      <c r="DQ167" s="13">
        <f t="shared" si="176"/>
        <v>41.743425916009095</v>
      </c>
      <c r="DR167" s="20">
        <f t="shared" si="177"/>
        <v>358.3364668629327</v>
      </c>
      <c r="DS167" s="59">
        <f t="shared" si="125"/>
        <v>649.33096947484728</v>
      </c>
      <c r="DT167" s="59">
        <f ca="1">AVERAGE(OFFSET($DS$3,0,0,'Données projet'!$E$14+1,1))-AVERAGE(OFFSET($H$3,0,0,'Données projet'!$E$14+1,1))</f>
        <v>206.5241977687125</v>
      </c>
      <c r="DU167" s="59">
        <f t="shared" si="152"/>
        <v>205.25001043771269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4.9210054934658496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4.9210054934658496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155.99999999999991</v>
      </c>
      <c r="EK167" s="17">
        <f>EJ167*VLOOKUP('Données projet'!$B$15,Paramètres!$A$1:$I$89,3,0)*VLOOKUP('Données projet'!$B$15,Paramètres!$A$1:$I$89,5,0)</f>
        <v>136.28159999999994</v>
      </c>
      <c r="EL167" s="13">
        <f t="shared" si="179"/>
        <v>35.443842312892279</v>
      </c>
      <c r="EM167" s="20">
        <f t="shared" si="180"/>
        <v>299.08847869495395</v>
      </c>
      <c r="EN167" s="59">
        <f t="shared" si="128"/>
        <v>590.08298130686853</v>
      </c>
      <c r="EO167" s="59">
        <f ca="1">AVERAGE(OFFSET($EN$3,0,0,'Données projet'!$E$15+1,1))-AVERAGE(OFFSET($H$3,0,0,'Données projet'!$E$15+1,1))</f>
        <v>205.83135724908942</v>
      </c>
      <c r="EP167" s="59">
        <f t="shared" si="154"/>
        <v>193.60053377311405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4.9005460203810696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4.9005460203810696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204.00000000000017</v>
      </c>
      <c r="FF167" s="17">
        <f>FE167*VLOOKUP('Données projet'!$B$16,Paramètres!$A$1:$I$89,3,0)*VLOOKUP('Données projet'!$B$16,Paramètres!$A$1:$I$89,5,0)</f>
        <v>133.66080000000011</v>
      </c>
      <c r="FG167" s="13">
        <f t="shared" si="182"/>
        <v>34.840890682716783</v>
      </c>
      <c r="FH167" s="20">
        <f t="shared" si="183"/>
        <v>293.4737779390652</v>
      </c>
      <c r="FI167" s="59">
        <f t="shared" si="131"/>
        <v>584.4682805509799</v>
      </c>
      <c r="FJ167" s="59">
        <f ca="1">AVERAGE(OFFSET($FI$3,0,0,'Données projet'!$E$16+1,1))-AVERAGE(OFFSET($H$3,0,0,'Données projet'!$E$16+1,1))</f>
        <v>242.76791261317206</v>
      </c>
      <c r="FK167" s="59">
        <f t="shared" si="156"/>
        <v>244.28580264867682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9.1027866563996227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9.1027866563996227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18.829999999999643</v>
      </c>
      <c r="GA167" s="17">
        <f>FZ167*VLOOKUP('Données projet'!$B$17,Paramètres!$A$1:$I$89,3,0)*VLOOKUP('Données projet'!$B$17,Paramètres!$A$1:$I$89,5,0)</f>
        <v>17.918627999999661</v>
      </c>
      <c r="GB167" s="13">
        <f t="shared" si="185"/>
        <v>5.9016322671185755</v>
      </c>
      <c r="GC167" s="20">
        <f t="shared" si="186"/>
        <v>41.486953298564259</v>
      </c>
      <c r="GD167" s="59">
        <f t="shared" si="134"/>
        <v>332.48145591047887</v>
      </c>
      <c r="GE167" s="59">
        <f ca="1">AVERAGE(OFFSET($GD$3,0,0,'Données projet'!$E$17+1,1))-AVERAGE(OFFSET($H$3,0,0,'Données projet'!$E$17+1,1))</f>
        <v>512.71941256120977</v>
      </c>
      <c r="GF167" s="59">
        <f t="shared" si="158"/>
        <v>230.65031527019354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222.13282555426071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222.13282555426071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69.362137075976719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-5.6843418860808015E-14</v>
      </c>
      <c r="GV167" s="17">
        <f>GU167*VLOOKUP('Données projet'!$B$18,Paramètres!$A$1:$I$89,3,0)*VLOOKUP('Données projet'!$B$18,Paramètres!$A$1:$I$89,5,0)</f>
        <v>-2.5006556825246661E-14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180.68917161146683</v>
      </c>
      <c r="HA167" s="59">
        <f t="shared" si="160"/>
        <v>344.42126252322419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4.5007844662909076</v>
      </c>
      <c r="HH167" s="21">
        <f>EXP(-LN(2)/25)*HH166+(1-EXP(-LN(2)/25))/(LN(2)/25)*Calculateur!HC167*Calculateur!HE167*VLOOKUP('Données projet'!$B$18,Paramètres!$A$1:$I$89,3,0)*0.475*44/12</f>
        <v>0.40332527099722792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4.9041097372881355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2.25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8.25</v>
      </c>
      <c r="H168" s="66">
        <f t="shared" si="110"/>
        <v>223.66666666666666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18.829999999999643</v>
      </c>
      <c r="O168" s="13">
        <f>N168*VLOOKUP('Données projet'!$B$9,Paramètres!$A$1:$I$89,3,0)*VLOOKUP('Données projet'!$B$9,Paramètres!$A$1:$I$89,5,0)</f>
        <v>17.037383999999676</v>
      </c>
      <c r="P168" s="13">
        <f t="shared" si="141"/>
        <v>5.644424624466958</v>
      </c>
      <c r="Q168" s="20">
        <f t="shared" si="162"/>
        <v>39.504150020946049</v>
      </c>
      <c r="R168" s="59">
        <f t="shared" si="109"/>
        <v>330.53922611703518</v>
      </c>
      <c r="S168" s="59">
        <f ca="1">AVERAGE(OFFSET($R$3,0,0,'Données projet'!$E$9+1,1))-AVERAGE(OFFSET($H$3,0,0,'Données projet'!$E$9+1,1))</f>
        <v>490.57849401500789</v>
      </c>
      <c r="T168" s="59">
        <f t="shared" si="142"/>
        <v>221.7570623669753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207.06659520166622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207.06659520166622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7.1291666666666673</v>
      </c>
      <c r="AI168" s="13">
        <f>IF('Données projet'!$A$62&gt;35,AI167+AH168-AQ167,IF(A168&lt;'Données projet'!$A$62,$AF$205^A168,IF(A168='Données projet'!$A$62,'Données projet'!$B$62,AI167+AH168-AQ167)))</f>
        <v>414.26249999999925</v>
      </c>
      <c r="AJ168" s="13">
        <f>AI168*VLOOKUP('Données projet'!$B$10,Paramètres!$A$1:$I$89,3,0)*VLOOKUP('Données projet'!$B$10,Paramètres!$A$1:$I$89,5,0)</f>
        <v>277.88728499999951</v>
      </c>
      <c r="AK168" s="13">
        <f t="shared" si="164"/>
        <v>66.520334848106671</v>
      </c>
      <c r="AL168" s="20">
        <f t="shared" si="165"/>
        <v>599.84327123545154</v>
      </c>
      <c r="AM168" s="59">
        <f t="shared" si="113"/>
        <v>890.87834733154068</v>
      </c>
      <c r="AN168" s="59">
        <f ca="1">AVERAGE(OFFSET($AM$3,0,0,'Données projet'!$E$10+1,1))-AVERAGE(OFFSET($H$3,0,0,'Données projet'!$E$10+1,1))</f>
        <v>377.00534440335832</v>
      </c>
      <c r="AO168" s="59">
        <f t="shared" si="144"/>
        <v>131.56029120000656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73.814079551419709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73.814079551419709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212.00000000000009</v>
      </c>
      <c r="BE168" s="13">
        <f>BD168*VLOOKUP('Données projet'!$B$11,Paramètres!$A$1:$I$89,3,0)*VLOOKUP('Données projet'!$B$11,Paramètres!$A$1:$I$89,5,0)</f>
        <v>185.20320000000009</v>
      </c>
      <c r="BF168" s="13">
        <f t="shared" si="167"/>
        <v>46.477875402099386</v>
      </c>
      <c r="BG168" s="20">
        <f t="shared" si="168"/>
        <v>403.5112063253232</v>
      </c>
      <c r="BH168" s="59">
        <f t="shared" si="116"/>
        <v>694.54628242141234</v>
      </c>
      <c r="BI168" s="59">
        <f ca="1">AVERAGE(OFFSET($BH$3,0,0,'Données projet'!$E$11+1,1))-AVERAGE(OFFSET($H$3,0,0,'Données projet'!$E$11+1,1))</f>
        <v>314.1123649635374</v>
      </c>
      <c r="BJ168" s="59">
        <f t="shared" si="146"/>
        <v>274.92342227914889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12.087657205830142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12.087657205830142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212.42519999999985</v>
      </c>
      <c r="CA168" s="13">
        <f t="shared" si="170"/>
        <v>52.465198231787184</v>
      </c>
      <c r="CB168" s="20">
        <f t="shared" si="171"/>
        <v>461.35077692036231</v>
      </c>
      <c r="CC168" s="59">
        <f t="shared" si="119"/>
        <v>752.38585301645139</v>
      </c>
      <c r="CD168" s="59">
        <f ca="1">AVERAGE(OFFSET($CC$3,0,0,'Données projet'!$E$12+1,1))-AVERAGE(OFFSET($H$3,0,0,'Données projet'!$E$12+1,1))</f>
        <v>309.86296291630748</v>
      </c>
      <c r="CE168" s="59">
        <f t="shared" si="148"/>
        <v>301.17633325088661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8.0590628375331459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8.0590628375331459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404.00000000000017</v>
      </c>
      <c r="CU168" s="17">
        <f>CT168*VLOOKUP('Données projet'!$B$13,Paramètres!$A$1:$I$89,3,0)*VLOOKUP('Données projet'!$B$13,Paramètres!$A$1:$I$89,5,0)</f>
        <v>346.63200000000018</v>
      </c>
      <c r="CV168" s="13">
        <f t="shared" si="173"/>
        <v>80.868615263336864</v>
      </c>
      <c r="CW168" s="20">
        <f t="shared" si="174"/>
        <v>744.56357158364528</v>
      </c>
      <c r="CX168" s="59">
        <f t="shared" si="122"/>
        <v>1035.5986476797343</v>
      </c>
      <c r="CY168" s="59">
        <f ca="1">AVERAGE(OFFSET($CX$3,0,0,'Données projet'!$E$13+1,1))-AVERAGE(OFFSET($H$3,0,0,'Données projet'!$E$13+1,1))</f>
        <v>462.66388549889928</v>
      </c>
      <c r="CZ168" s="59">
        <f t="shared" si="150"/>
        <v>265.3725203415089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40.99860332942017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40.99860332942017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210.25641030000014</v>
      </c>
      <c r="DP168" s="17">
        <f>DO168*VLOOKUP('Données projet'!$B$14,Paramètres!$A$1:$I$89,3,0)*VLOOKUP('Données projet'!$B$14,Paramètres!$A$1:$I$89,5,0)</f>
        <v>164.00000003400012</v>
      </c>
      <c r="DQ168" s="13">
        <f t="shared" si="176"/>
        <v>41.743425916009095</v>
      </c>
      <c r="DR168" s="20">
        <f t="shared" si="177"/>
        <v>358.3364668629327</v>
      </c>
      <c r="DS168" s="59">
        <f t="shared" si="125"/>
        <v>649.37154295902178</v>
      </c>
      <c r="DT168" s="59">
        <f ca="1">AVERAGE(OFFSET($DS$3,0,0,'Données projet'!$E$14+1,1))-AVERAGE(OFFSET($H$3,0,0,'Données projet'!$E$14+1,1))</f>
        <v>206.5241977687125</v>
      </c>
      <c r="DU168" s="59">
        <f t="shared" si="152"/>
        <v>205.25001043771269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4.82450757725596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4.82450757725596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155.99999999999991</v>
      </c>
      <c r="EK168" s="17">
        <f>EJ168*VLOOKUP('Données projet'!$B$15,Paramètres!$A$1:$I$89,3,0)*VLOOKUP('Données projet'!$B$15,Paramètres!$A$1:$I$89,5,0)</f>
        <v>136.28159999999994</v>
      </c>
      <c r="EL168" s="13">
        <f t="shared" si="179"/>
        <v>35.443842312892279</v>
      </c>
      <c r="EM168" s="20">
        <f t="shared" si="180"/>
        <v>299.08847869495395</v>
      </c>
      <c r="EN168" s="59">
        <f t="shared" si="128"/>
        <v>590.12355479104303</v>
      </c>
      <c r="EO168" s="59">
        <f ca="1">AVERAGE(OFFSET($EN$3,0,0,'Données projet'!$E$15+1,1))-AVERAGE(OFFSET($H$3,0,0,'Données projet'!$E$15+1,1))</f>
        <v>205.83135724908942</v>
      </c>
      <c r="EP168" s="59">
        <f t="shared" si="154"/>
        <v>193.60053377311405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4.804449301959326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4.804449301959326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204.00000000000017</v>
      </c>
      <c r="FF168" s="17">
        <f>FE168*VLOOKUP('Données projet'!$B$16,Paramètres!$A$1:$I$89,3,0)*VLOOKUP('Données projet'!$B$16,Paramètres!$A$1:$I$89,5,0)</f>
        <v>133.66080000000011</v>
      </c>
      <c r="FG168" s="13">
        <f t="shared" si="182"/>
        <v>34.840890682716783</v>
      </c>
      <c r="FH168" s="20">
        <f t="shared" si="183"/>
        <v>293.4737779390652</v>
      </c>
      <c r="FI168" s="59">
        <f t="shared" si="131"/>
        <v>584.5088540351544</v>
      </c>
      <c r="FJ168" s="59">
        <f ca="1">AVERAGE(OFFSET($FI$3,0,0,'Données projet'!$E$16+1,1))-AVERAGE(OFFSET($H$3,0,0,'Données projet'!$E$16+1,1))</f>
        <v>242.76791261317206</v>
      </c>
      <c r="FK168" s="59">
        <f t="shared" si="156"/>
        <v>244.28580264867682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8.9242865622192564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8.9242865622192564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18.829999999999643</v>
      </c>
      <c r="GA168" s="17">
        <f>FZ168*VLOOKUP('Données projet'!$B$17,Paramètres!$A$1:$I$89,3,0)*VLOOKUP('Données projet'!$B$17,Paramètres!$A$1:$I$89,5,0)</f>
        <v>17.918627999999661</v>
      </c>
      <c r="GB168" s="13">
        <f t="shared" si="185"/>
        <v>5.9016322671185755</v>
      </c>
      <c r="GC168" s="20">
        <f t="shared" si="186"/>
        <v>41.486953298564259</v>
      </c>
      <c r="GD168" s="59">
        <f t="shared" si="134"/>
        <v>332.52202939465337</v>
      </c>
      <c r="GE168" s="59">
        <f ca="1">AVERAGE(OFFSET($GD$3,0,0,'Données projet'!$E$17+1,1))-AVERAGE(OFFSET($H$3,0,0,'Données projet'!$E$17+1,1))</f>
        <v>512.71941256120977</v>
      </c>
      <c r="GF168" s="59">
        <f t="shared" si="158"/>
        <v>230.65031527019354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217.77693633278696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217.77693633278696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69.37320257166067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-5.6843418860808015E-14</v>
      </c>
      <c r="GV168" s="17">
        <f>GU168*VLOOKUP('Données projet'!$B$18,Paramètres!$A$1:$I$89,3,0)*VLOOKUP('Données projet'!$B$18,Paramètres!$A$1:$I$89,5,0)</f>
        <v>-2.5006556825246661E-14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180.68917161146683</v>
      </c>
      <c r="HA168" s="59">
        <f t="shared" si="160"/>
        <v>344.42126252322419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4.4125268281144008</v>
      </c>
      <c r="HH168" s="21">
        <f>EXP(-LN(2)/25)*HH167+(1-EXP(-LN(2)/25))/(LN(2)/25)*Calculateur!HC168*Calculateur!HE168*VLOOKUP('Données projet'!$B$18,Paramètres!$A$1:$I$89,3,0)*0.475*44/12</f>
        <v>0.39229632025185451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4.8048231483662551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2.25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8.25</v>
      </c>
      <c r="H169" s="66">
        <f t="shared" si="110"/>
        <v>223.66666666666666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18.829999999999643</v>
      </c>
      <c r="O169" s="13">
        <f>N169*VLOOKUP('Données projet'!$B$9,Paramètres!$A$1:$I$89,3,0)*VLOOKUP('Données projet'!$B$9,Paramètres!$A$1:$I$89,5,0)</f>
        <v>17.037383999999676</v>
      </c>
      <c r="P169" s="13">
        <f t="shared" si="141"/>
        <v>5.644424624466958</v>
      </c>
      <c r="Q169" s="20">
        <f t="shared" si="162"/>
        <v>39.504150020946049</v>
      </c>
      <c r="R169" s="59">
        <f t="shared" si="109"/>
        <v>330.57909574196793</v>
      </c>
      <c r="S169" s="59">
        <f ca="1">AVERAGE(OFFSET($R$3,0,0,'Données projet'!$E$9+1,1))-AVERAGE(OFFSET($H$3,0,0,'Données projet'!$E$9+1,1))</f>
        <v>490.57849401500789</v>
      </c>
      <c r="T169" s="59">
        <f t="shared" si="142"/>
        <v>221.7570623669753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203.00614556791371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203.00614556791371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7.1291666666666673</v>
      </c>
      <c r="AI169" s="13">
        <f>IF('Données projet'!$A$62&gt;35,AI168+AH169-AQ168,IF(A169&lt;'Données projet'!$A$62,$AF$205^A169,IF(A169='Données projet'!$A$62,'Données projet'!$B$62,AI168+AH169-AQ168)))</f>
        <v>421.39166666666591</v>
      </c>
      <c r="AJ169" s="13">
        <f>AI169*VLOOKUP('Données projet'!$B$10,Paramètres!$A$1:$I$89,3,0)*VLOOKUP('Données projet'!$B$10,Paramètres!$A$1:$I$89,5,0)</f>
        <v>282.6695299999995</v>
      </c>
      <c r="AK169" s="13">
        <f t="shared" si="164"/>
        <v>67.53084537989514</v>
      </c>
      <c r="AL169" s="20">
        <f t="shared" si="165"/>
        <v>609.93232045331649</v>
      </c>
      <c r="AM169" s="59">
        <f t="shared" si="113"/>
        <v>901.00726617433838</v>
      </c>
      <c r="AN169" s="59">
        <f ca="1">AVERAGE(OFFSET($AM$3,0,0,'Données projet'!$E$10+1,1))-AVERAGE(OFFSET($H$3,0,0,'Données projet'!$E$10+1,1))</f>
        <v>377.00534440335832</v>
      </c>
      <c r="AO169" s="59">
        <f t="shared" si="144"/>
        <v>131.56029120000656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72.366630473559326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72.366630473559326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212.00000000000009</v>
      </c>
      <c r="BE169" s="13">
        <f>BD169*VLOOKUP('Données projet'!$B$11,Paramètres!$A$1:$I$89,3,0)*VLOOKUP('Données projet'!$B$11,Paramètres!$A$1:$I$89,5,0)</f>
        <v>185.20320000000009</v>
      </c>
      <c r="BF169" s="13">
        <f t="shared" si="167"/>
        <v>46.477875402099386</v>
      </c>
      <c r="BG169" s="20">
        <f t="shared" si="168"/>
        <v>403.5112063253232</v>
      </c>
      <c r="BH169" s="59">
        <f t="shared" si="116"/>
        <v>694.58615204634509</v>
      </c>
      <c r="BI169" s="59">
        <f ca="1">AVERAGE(OFFSET($BH$3,0,0,'Données projet'!$E$11+1,1))-AVERAGE(OFFSET($H$3,0,0,'Données projet'!$E$11+1,1))</f>
        <v>314.1123649635374</v>
      </c>
      <c r="BJ169" s="59">
        <f t="shared" si="146"/>
        <v>274.92342227914889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11.850625620766712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11.850625620766712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212.42519999999985</v>
      </c>
      <c r="CA169" s="13">
        <f t="shared" si="170"/>
        <v>52.465198231787184</v>
      </c>
      <c r="CB169" s="20">
        <f t="shared" si="171"/>
        <v>461.35077692036231</v>
      </c>
      <c r="CC169" s="59">
        <f t="shared" si="119"/>
        <v>752.42572264138425</v>
      </c>
      <c r="CD169" s="59">
        <f ca="1">AVERAGE(OFFSET($CC$3,0,0,'Données projet'!$E$12+1,1))-AVERAGE(OFFSET($H$3,0,0,'Données projet'!$E$12+1,1))</f>
        <v>309.86296291630748</v>
      </c>
      <c r="CE169" s="59">
        <f t="shared" si="148"/>
        <v>301.17633325088661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7.9010295308320826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7.9010295308320826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404.00000000000017</v>
      </c>
      <c r="CU169" s="17">
        <f>CT169*VLOOKUP('Données projet'!$B$13,Paramètres!$A$1:$I$89,3,0)*VLOOKUP('Données projet'!$B$13,Paramètres!$A$1:$I$89,5,0)</f>
        <v>346.63200000000018</v>
      </c>
      <c r="CV169" s="13">
        <f t="shared" si="173"/>
        <v>80.868615263336864</v>
      </c>
      <c r="CW169" s="20">
        <f t="shared" si="174"/>
        <v>744.56357158364528</v>
      </c>
      <c r="CX169" s="59">
        <f t="shared" si="122"/>
        <v>1035.6385173046672</v>
      </c>
      <c r="CY169" s="59">
        <f ca="1">AVERAGE(OFFSET($CX$3,0,0,'Données projet'!$E$13+1,1))-AVERAGE(OFFSET($H$3,0,0,'Données projet'!$E$13+1,1))</f>
        <v>462.66388549889928</v>
      </c>
      <c r="CZ169" s="59">
        <f t="shared" si="150"/>
        <v>265.3725203415089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40.194645724809064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40.194645724809064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210.25641030000014</v>
      </c>
      <c r="DP169" s="17">
        <f>DO169*VLOOKUP('Données projet'!$B$14,Paramètres!$A$1:$I$89,3,0)*VLOOKUP('Données projet'!$B$14,Paramètres!$A$1:$I$89,5,0)</f>
        <v>164.00000003400012</v>
      </c>
      <c r="DQ169" s="13">
        <f t="shared" si="176"/>
        <v>41.743425916009095</v>
      </c>
      <c r="DR169" s="20">
        <f t="shared" si="177"/>
        <v>358.3364668629327</v>
      </c>
      <c r="DS169" s="59">
        <f t="shared" si="125"/>
        <v>649.41141258395464</v>
      </c>
      <c r="DT169" s="59">
        <f ca="1">AVERAGE(OFFSET($DS$3,0,0,'Données projet'!$E$14+1,1))-AVERAGE(OFFSET($H$3,0,0,'Données projet'!$E$14+1,1))</f>
        <v>206.5241977687125</v>
      </c>
      <c r="DU169" s="59">
        <f t="shared" si="152"/>
        <v>205.25001043771269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4.729901926325029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4.729901926325029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155.99999999999991</v>
      </c>
      <c r="EK169" s="17">
        <f>EJ169*VLOOKUP('Données projet'!$B$15,Paramètres!$A$1:$I$89,3,0)*VLOOKUP('Données projet'!$B$15,Paramètres!$A$1:$I$89,5,0)</f>
        <v>136.28159999999994</v>
      </c>
      <c r="EL169" s="13">
        <f t="shared" si="179"/>
        <v>35.443842312892279</v>
      </c>
      <c r="EM169" s="20">
        <f t="shared" si="180"/>
        <v>299.08847869495395</v>
      </c>
      <c r="EN169" s="59">
        <f t="shared" si="128"/>
        <v>590.1634244159759</v>
      </c>
      <c r="EO169" s="59">
        <f ca="1">AVERAGE(OFFSET($EN$3,0,0,'Données projet'!$E$15+1,1))-AVERAGE(OFFSET($H$3,0,0,'Données projet'!$E$15+1,1))</f>
        <v>205.83135724908942</v>
      </c>
      <c r="EP169" s="59">
        <f t="shared" si="154"/>
        <v>193.60053377311405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4.7102369815726224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4.7102369815726224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204.00000000000017</v>
      </c>
      <c r="FF169" s="17">
        <f>FE169*VLOOKUP('Données projet'!$B$16,Paramètres!$A$1:$I$89,3,0)*VLOOKUP('Données projet'!$B$16,Paramètres!$A$1:$I$89,5,0)</f>
        <v>133.66080000000011</v>
      </c>
      <c r="FG169" s="13">
        <f t="shared" si="182"/>
        <v>34.840890682716783</v>
      </c>
      <c r="FH169" s="20">
        <f t="shared" si="183"/>
        <v>293.4737779390652</v>
      </c>
      <c r="FI169" s="59">
        <f t="shared" si="131"/>
        <v>584.54872366008703</v>
      </c>
      <c r="FJ169" s="59">
        <f ca="1">AVERAGE(OFFSET($FI$3,0,0,'Données projet'!$E$16+1,1))-AVERAGE(OFFSET($H$3,0,0,'Données projet'!$E$16+1,1))</f>
        <v>242.76791261317206</v>
      </c>
      <c r="FK169" s="59">
        <f t="shared" si="156"/>
        <v>244.28580264867682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8.7492867460114603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8.7492867460114603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18.829999999999643</v>
      </c>
      <c r="GA169" s="17">
        <f>FZ169*VLOOKUP('Données projet'!$B$17,Paramètres!$A$1:$I$89,3,0)*VLOOKUP('Données projet'!$B$17,Paramètres!$A$1:$I$89,5,0)</f>
        <v>17.918627999999661</v>
      </c>
      <c r="GB169" s="13">
        <f t="shared" si="185"/>
        <v>5.9016322671185755</v>
      </c>
      <c r="GC169" s="20">
        <f t="shared" si="186"/>
        <v>41.486953298564259</v>
      </c>
      <c r="GD169" s="59">
        <f t="shared" si="134"/>
        <v>332.56189901958612</v>
      </c>
      <c r="GE169" s="59">
        <f ca="1">AVERAGE(OFFSET($GD$3,0,0,'Données projet'!$E$17+1,1))-AVERAGE(OFFSET($H$3,0,0,'Données projet'!$E$17+1,1))</f>
        <v>512.71941256120977</v>
      </c>
      <c r="GF169" s="59">
        <f t="shared" si="158"/>
        <v>230.65031527019354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213.50646344211623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213.50646344211623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69.384076105733243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-5.6843418860808015E-14</v>
      </c>
      <c r="GV169" s="17">
        <f>GU169*VLOOKUP('Données projet'!$B$18,Paramètres!$A$1:$I$89,3,0)*VLOOKUP('Données projet'!$B$18,Paramètres!$A$1:$I$89,5,0)</f>
        <v>-2.5006556825246661E-14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180.68917161146683</v>
      </c>
      <c r="HA169" s="59">
        <f t="shared" si="160"/>
        <v>344.42126252322419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4.3259998683906913</v>
      </c>
      <c r="HH169" s="21">
        <f>EXP(-LN(2)/25)*HH168+(1-EXP(-LN(2)/25))/(LN(2)/25)*Calculateur!HC169*Calculateur!HE169*VLOOKUP('Données projet'!$B$18,Paramètres!$A$1:$I$89,3,0)*0.475*44/12</f>
        <v>0.38156895674460067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4.7075688251352918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2.25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8.25</v>
      </c>
      <c r="H170" s="66">
        <f t="shared" si="110"/>
        <v>223.66666666666666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18.829999999999643</v>
      </c>
      <c r="O170" s="13">
        <f>N170*VLOOKUP('Données projet'!$B$9,Paramètres!$A$1:$I$89,3,0)*VLOOKUP('Données projet'!$B$9,Paramètres!$A$1:$I$89,5,0)</f>
        <v>17.037383999999676</v>
      </c>
      <c r="P170" s="13">
        <f t="shared" si="141"/>
        <v>5.644424624466958</v>
      </c>
      <c r="Q170" s="20">
        <f t="shared" si="162"/>
        <v>39.504150020946049</v>
      </c>
      <c r="R170" s="59">
        <f t="shared" si="109"/>
        <v>330.61827371804321</v>
      </c>
      <c r="S170" s="59">
        <f ca="1">AVERAGE(OFFSET($R$3,0,0,'Données projet'!$E$9+1,1))-AVERAGE(OFFSET($H$3,0,0,'Données projet'!$E$9+1,1))</f>
        <v>490.57849401500789</v>
      </c>
      <c r="T170" s="59">
        <f t="shared" si="142"/>
        <v>221.7570623669753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199.02531887484935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199.02531887484935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7.1291666666666673</v>
      </c>
      <c r="AI170" s="13">
        <f>IF('Données projet'!$A$62&gt;35,AI169+AH170-AQ169,IF(A170&lt;'Données projet'!$A$62,$AF$205^A170,IF(A170='Données projet'!$A$62,'Données projet'!$B$62,AI169+AH170-AQ169)))</f>
        <v>428.52083333333258</v>
      </c>
      <c r="AJ170" s="13">
        <f>AI170*VLOOKUP('Données projet'!$B$10,Paramètres!$A$1:$I$89,3,0)*VLOOKUP('Données projet'!$B$10,Paramètres!$A$1:$I$89,5,0)</f>
        <v>287.45177499999949</v>
      </c>
      <c r="AK170" s="13">
        <f t="shared" si="164"/>
        <v>68.539367798975292</v>
      </c>
      <c r="AL170" s="20">
        <f t="shared" si="165"/>
        <v>620.0179070415478</v>
      </c>
      <c r="AM170" s="59">
        <f t="shared" si="113"/>
        <v>911.13203073864497</v>
      </c>
      <c r="AN170" s="59">
        <f ca="1">AVERAGE(OFFSET($AM$3,0,0,'Données projet'!$E$10+1,1))-AVERAGE(OFFSET($H$3,0,0,'Données projet'!$E$10+1,1))</f>
        <v>377.00534440335832</v>
      </c>
      <c r="AO170" s="59">
        <f t="shared" si="144"/>
        <v>131.56029120000656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70.947564989259021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70.947564989259021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212.00000000000009</v>
      </c>
      <c r="BE170" s="13">
        <f>BD170*VLOOKUP('Données projet'!$B$11,Paramètres!$A$1:$I$89,3,0)*VLOOKUP('Données projet'!$B$11,Paramètres!$A$1:$I$89,5,0)</f>
        <v>185.20320000000009</v>
      </c>
      <c r="BF170" s="13">
        <f t="shared" si="167"/>
        <v>46.477875402099386</v>
      </c>
      <c r="BG170" s="20">
        <f t="shared" si="168"/>
        <v>403.5112063253232</v>
      </c>
      <c r="BH170" s="59">
        <f t="shared" si="116"/>
        <v>694.62533002242037</v>
      </c>
      <c r="BI170" s="59">
        <f ca="1">AVERAGE(OFFSET($BH$3,0,0,'Données projet'!$E$11+1,1))-AVERAGE(OFFSET($H$3,0,0,'Données projet'!$E$11+1,1))</f>
        <v>314.1123649635374</v>
      </c>
      <c r="BJ170" s="59">
        <f t="shared" si="146"/>
        <v>274.92342227914889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11.618242080511383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11.618242080511383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212.42519999999985</v>
      </c>
      <c r="CA170" s="13">
        <f t="shared" si="170"/>
        <v>52.465198231787184</v>
      </c>
      <c r="CB170" s="20">
        <f t="shared" si="171"/>
        <v>461.35077692036231</v>
      </c>
      <c r="CC170" s="59">
        <f t="shared" si="119"/>
        <v>752.46490061745953</v>
      </c>
      <c r="CD170" s="59">
        <f ca="1">AVERAGE(OFFSET($CC$3,0,0,'Données projet'!$E$12+1,1))-AVERAGE(OFFSET($H$3,0,0,'Données projet'!$E$12+1,1))</f>
        <v>309.86296291630748</v>
      </c>
      <c r="CE170" s="59">
        <f t="shared" si="148"/>
        <v>301.17633325088661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7.7460951608846278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7.7460951608846278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404.00000000000017</v>
      </c>
      <c r="CU170" s="17">
        <f>CT170*VLOOKUP('Données projet'!$B$13,Paramètres!$A$1:$I$89,3,0)*VLOOKUP('Données projet'!$B$13,Paramètres!$A$1:$I$89,5,0)</f>
        <v>346.63200000000018</v>
      </c>
      <c r="CV170" s="13">
        <f t="shared" si="173"/>
        <v>80.868615263336864</v>
      </c>
      <c r="CW170" s="20">
        <f t="shared" si="174"/>
        <v>744.56357158364528</v>
      </c>
      <c r="CX170" s="59">
        <f t="shared" si="122"/>
        <v>1035.6776952807425</v>
      </c>
      <c r="CY170" s="59">
        <f ca="1">AVERAGE(OFFSET($CX$3,0,0,'Données projet'!$E$13+1,1))-AVERAGE(OFFSET($H$3,0,0,'Données projet'!$E$13+1,1))</f>
        <v>462.66388549889928</v>
      </c>
      <c r="CZ170" s="59">
        <f t="shared" si="150"/>
        <v>265.3725203415089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39.406453238458667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39.406453238458667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210.25641030000014</v>
      </c>
      <c r="DP170" s="17">
        <f>DO170*VLOOKUP('Données projet'!$B$14,Paramètres!$A$1:$I$89,3,0)*VLOOKUP('Données projet'!$B$14,Paramètres!$A$1:$I$89,5,0)</f>
        <v>164.00000003400012</v>
      </c>
      <c r="DQ170" s="13">
        <f t="shared" si="176"/>
        <v>41.743425916009095</v>
      </c>
      <c r="DR170" s="20">
        <f t="shared" si="177"/>
        <v>358.3364668629327</v>
      </c>
      <c r="DS170" s="59">
        <f t="shared" si="125"/>
        <v>649.45059056002992</v>
      </c>
      <c r="DT170" s="59">
        <f ca="1">AVERAGE(OFFSET($DS$3,0,0,'Données projet'!$E$14+1,1))-AVERAGE(OFFSET($H$3,0,0,'Données projet'!$E$14+1,1))</f>
        <v>206.5241977687125</v>
      </c>
      <c r="DU170" s="59">
        <f t="shared" si="152"/>
        <v>205.25001043771269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4.637151434505105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4.637151434505105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155.99999999999991</v>
      </c>
      <c r="EK170" s="17">
        <f>EJ170*VLOOKUP('Données projet'!$B$15,Paramètres!$A$1:$I$89,3,0)*VLOOKUP('Données projet'!$B$15,Paramètres!$A$1:$I$89,5,0)</f>
        <v>136.28159999999994</v>
      </c>
      <c r="EL170" s="13">
        <f t="shared" si="179"/>
        <v>35.443842312892279</v>
      </c>
      <c r="EM170" s="20">
        <f t="shared" si="180"/>
        <v>299.08847869495395</v>
      </c>
      <c r="EN170" s="59">
        <f t="shared" si="128"/>
        <v>590.20260239205118</v>
      </c>
      <c r="EO170" s="59">
        <f ca="1">AVERAGE(OFFSET($EN$3,0,0,'Données projet'!$E$15+1,1))-AVERAGE(OFFSET($H$3,0,0,'Données projet'!$E$15+1,1))</f>
        <v>205.83135724908942</v>
      </c>
      <c r="EP170" s="59">
        <f t="shared" si="154"/>
        <v>193.60053377311405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4.6178721073248603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4.6178721073248603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204.00000000000017</v>
      </c>
      <c r="FF170" s="17">
        <f>FE170*VLOOKUP('Données projet'!$B$16,Paramètres!$A$1:$I$89,3,0)*VLOOKUP('Données projet'!$B$16,Paramètres!$A$1:$I$89,5,0)</f>
        <v>133.66080000000011</v>
      </c>
      <c r="FG170" s="13">
        <f t="shared" si="182"/>
        <v>34.840890682716783</v>
      </c>
      <c r="FH170" s="20">
        <f t="shared" si="183"/>
        <v>293.4737779390652</v>
      </c>
      <c r="FI170" s="59">
        <f t="shared" si="131"/>
        <v>584.58790163616231</v>
      </c>
      <c r="FJ170" s="59">
        <f ca="1">AVERAGE(OFFSET($FI$3,0,0,'Données projet'!$E$16+1,1))-AVERAGE(OFFSET($H$3,0,0,'Données projet'!$E$16+1,1))</f>
        <v>242.76791261317206</v>
      </c>
      <c r="FK170" s="59">
        <f t="shared" si="156"/>
        <v>244.28580264867682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8.577718569460151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8.577718569460151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18.829999999999643</v>
      </c>
      <c r="GA170" s="17">
        <f>FZ170*VLOOKUP('Données projet'!$B$17,Paramètres!$A$1:$I$89,3,0)*VLOOKUP('Données projet'!$B$17,Paramètres!$A$1:$I$89,5,0)</f>
        <v>17.918627999999661</v>
      </c>
      <c r="GB170" s="13">
        <f t="shared" si="185"/>
        <v>5.9016322671185755</v>
      </c>
      <c r="GC170" s="20">
        <f t="shared" si="186"/>
        <v>41.486953298564259</v>
      </c>
      <c r="GD170" s="59">
        <f t="shared" si="134"/>
        <v>332.6010769956614</v>
      </c>
      <c r="GE170" s="59">
        <f ca="1">AVERAGE(OFFSET($GD$3,0,0,'Données projet'!$E$17+1,1))-AVERAGE(OFFSET($H$3,0,0,'Données projet'!$E$17+1,1))</f>
        <v>512.71941256120977</v>
      </c>
      <c r="GF170" s="59">
        <f t="shared" si="158"/>
        <v>230.65031527019354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209.31973192010028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209.31973192010028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69.394761008299227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-5.6843418860808015E-14</v>
      </c>
      <c r="GV170" s="17">
        <f>GU170*VLOOKUP('Données projet'!$B$18,Paramètres!$A$1:$I$89,3,0)*VLOOKUP('Données projet'!$B$18,Paramètres!$A$1:$I$89,5,0)</f>
        <v>-2.5006556825246661E-14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180.68917161146683</v>
      </c>
      <c r="HA170" s="59">
        <f t="shared" si="160"/>
        <v>344.42126252322419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4.2411696495709297</v>
      </c>
      <c r="HH170" s="21">
        <f>EXP(-LN(2)/25)*HH169+(1-EXP(-LN(2)/25))/(LN(2)/25)*Calculateur!HC170*Calculateur!HE170*VLOOKUP('Données projet'!$B$18,Paramètres!$A$1:$I$89,3,0)*0.475*44/12</f>
        <v>0.37113493355658023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4.6123045831275098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2.25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8.25</v>
      </c>
      <c r="H171" s="66">
        <f t="shared" si="110"/>
        <v>223.66666666666666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18.829999999999643</v>
      </c>
      <c r="O171" s="13">
        <f>N171*VLOOKUP('Données projet'!$B$9,Paramètres!$A$1:$I$89,3,0)*VLOOKUP('Données projet'!$B$9,Paramètres!$A$1:$I$89,5,0)</f>
        <v>17.037383999999676</v>
      </c>
      <c r="P171" s="13">
        <f t="shared" si="141"/>
        <v>5.644424624466958</v>
      </c>
      <c r="Q171" s="20">
        <f t="shared" si="162"/>
        <v>39.504150020946049</v>
      </c>
      <c r="R171" s="59">
        <f t="shared" si="109"/>
        <v>330.65677204382246</v>
      </c>
      <c r="S171" s="59">
        <f ca="1">AVERAGE(OFFSET($R$3,0,0,'Données projet'!$E$9+1,1))-AVERAGE(OFFSET($H$3,0,0,'Données projet'!$E$9+1,1))</f>
        <v>490.57849401500789</v>
      </c>
      <c r="T171" s="59">
        <f t="shared" si="142"/>
        <v>221.7570623669753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195.12255376517146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195.12255376517146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>
        <f>VLOOKUP(A171,'Données projet'!$A$61:$I$81,2,0)</f>
        <v>435.65</v>
      </c>
      <c r="AG171" s="12">
        <f>VLOOKUP(A171,'Données projet'!$A$61:$I$81,9,0)</f>
        <v>7.1291666666666673</v>
      </c>
      <c r="AH171" s="12">
        <f t="array" ref="AH171">INDEX(AG:AG,MIN(IF(ISNUMBER(AG171:AG367),ROW(AG171:AG367),"")))</f>
        <v>7.1291666666666673</v>
      </c>
      <c r="AI171" s="13">
        <f>IF('Données projet'!$A$62&gt;35,AI170+AH171-AQ170,IF(A171&lt;'Données projet'!$A$62,$AF$205^A171,IF(A171='Données projet'!$A$62,'Données projet'!$B$62,AI170+AH171-AQ170)))</f>
        <v>435.64999999999924</v>
      </c>
      <c r="AJ171" s="13">
        <f>AI171*VLOOKUP('Données projet'!$B$10,Paramètres!$A$1:$I$89,3,0)*VLOOKUP('Données projet'!$B$10,Paramètres!$A$1:$I$89,5,0)</f>
        <v>292.23401999999953</v>
      </c>
      <c r="AK171" s="13">
        <f t="shared" si="164"/>
        <v>69.545938998654321</v>
      </c>
      <c r="AL171" s="20">
        <f t="shared" si="165"/>
        <v>630.10009525598878</v>
      </c>
      <c r="AM171" s="59">
        <f t="shared" si="113"/>
        <v>921.25271727886525</v>
      </c>
      <c r="AN171" s="59">
        <f ca="1">AVERAGE(OFFSET($AM$3,0,0,'Données projet'!$E$10+1,1))-AVERAGE(OFFSET($H$3,0,0,'Données projet'!$E$10+1,1))</f>
        <v>377.00534440335832</v>
      </c>
      <c r="AO171" s="59">
        <f t="shared" si="144"/>
        <v>131.56029120000656</v>
      </c>
      <c r="AP171" s="15">
        <f>IF(ISNA(VLOOKUP(A171,'Données projet'!$A$61:$I$81,3,0)),0,VLOOKUP(A171,'Données projet'!$A$61:$I$81,3,0))</f>
        <v>12</v>
      </c>
      <c r="AQ171" s="15">
        <f>IF(ISNA(VLOOKUP(A171,'Données projet'!$A$61:$I$81,4,0)),0,VLOOKUP(A171,'Données projet'!$A$61:$I$81,4,0))</f>
        <v>63.91</v>
      </c>
      <c r="AR171" s="16">
        <f>IF(ISNA(VLOOKUP(A171,'Données projet'!$A$61:$I$81,5,0)),0%,VLOOKUP(A171,'Données projet'!$A$61:$I$81,5,0)*VLOOKUP('Données projet'!$B$10,Paramètres!$A$1:$I$89,7,0))</f>
        <v>0.53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94.674314678588843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94.674314678588843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212.00000000000009</v>
      </c>
      <c r="BE171" s="13">
        <f>BD171*VLOOKUP('Données projet'!$B$11,Paramètres!$A$1:$I$89,3,0)*VLOOKUP('Données projet'!$B$11,Paramètres!$A$1:$I$89,5,0)</f>
        <v>185.20320000000009</v>
      </c>
      <c r="BF171" s="13">
        <f t="shared" si="167"/>
        <v>46.477875402099386</v>
      </c>
      <c r="BG171" s="20">
        <f t="shared" si="168"/>
        <v>403.5112063253232</v>
      </c>
      <c r="BH171" s="59">
        <f t="shared" si="116"/>
        <v>694.66382834819956</v>
      </c>
      <c r="BI171" s="59">
        <f ca="1">AVERAGE(OFFSET($BH$3,0,0,'Données projet'!$E$11+1,1))-AVERAGE(OFFSET($H$3,0,0,'Données projet'!$E$11+1,1))</f>
        <v>314.1123649635374</v>
      </c>
      <c r="BJ171" s="59">
        <f t="shared" si="146"/>
        <v>274.92342227914889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11.390415439740497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11.390415439740497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212.42519999999985</v>
      </c>
      <c r="CA171" s="13">
        <f t="shared" si="170"/>
        <v>52.465198231787184</v>
      </c>
      <c r="CB171" s="20">
        <f t="shared" si="171"/>
        <v>461.35077692036231</v>
      </c>
      <c r="CC171" s="59">
        <f t="shared" si="119"/>
        <v>752.50339894323872</v>
      </c>
      <c r="CD171" s="59">
        <f ca="1">AVERAGE(OFFSET($CC$3,0,0,'Données projet'!$E$12+1,1))-AVERAGE(OFFSET($H$3,0,0,'Données projet'!$E$12+1,1))</f>
        <v>309.86296291630748</v>
      </c>
      <c r="CE171" s="59">
        <f t="shared" si="148"/>
        <v>301.17633325088661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7.5941989594312078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7.5941989594312078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404.00000000000017</v>
      </c>
      <c r="CU171" s="17">
        <f>CT171*VLOOKUP('Données projet'!$B$13,Paramètres!$A$1:$I$89,3,0)*VLOOKUP('Données projet'!$B$13,Paramètres!$A$1:$I$89,5,0)</f>
        <v>346.63200000000018</v>
      </c>
      <c r="CV171" s="13">
        <f t="shared" si="173"/>
        <v>80.868615263336864</v>
      </c>
      <c r="CW171" s="20">
        <f t="shared" si="174"/>
        <v>744.56357158364528</v>
      </c>
      <c r="CX171" s="59">
        <f t="shared" si="122"/>
        <v>1035.7161936065218</v>
      </c>
      <c r="CY171" s="59">
        <f ca="1">AVERAGE(OFFSET($CX$3,0,0,'Données projet'!$E$13+1,1))-AVERAGE(OFFSET($H$3,0,0,'Données projet'!$E$13+1,1))</f>
        <v>462.66388549889928</v>
      </c>
      <c r="CZ171" s="59">
        <f t="shared" si="150"/>
        <v>265.3725203415089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38.633716726015656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38.633716726015656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210.25641030000014</v>
      </c>
      <c r="DP171" s="17">
        <f>DO171*VLOOKUP('Données projet'!$B$14,Paramètres!$A$1:$I$89,3,0)*VLOOKUP('Données projet'!$B$14,Paramètres!$A$1:$I$89,5,0)</f>
        <v>164.00000003400012</v>
      </c>
      <c r="DQ171" s="13">
        <f t="shared" si="176"/>
        <v>41.743425916009095</v>
      </c>
      <c r="DR171" s="20">
        <f t="shared" si="177"/>
        <v>358.3364668629327</v>
      </c>
      <c r="DS171" s="59">
        <f t="shared" si="125"/>
        <v>649.48908888580911</v>
      </c>
      <c r="DT171" s="59">
        <f ca="1">AVERAGE(OFFSET($DS$3,0,0,'Données projet'!$E$14+1,1))-AVERAGE(OFFSET($H$3,0,0,'Données projet'!$E$14+1,1))</f>
        <v>206.5241977687125</v>
      </c>
      <c r="DU171" s="59">
        <f t="shared" si="152"/>
        <v>205.25001043771269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4.546219723257555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4.546219723257555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155.99999999999991</v>
      </c>
      <c r="EK171" s="17">
        <f>EJ171*VLOOKUP('Données projet'!$B$15,Paramètres!$A$1:$I$89,3,0)*VLOOKUP('Données projet'!$B$15,Paramètres!$A$1:$I$89,5,0)</f>
        <v>136.28159999999994</v>
      </c>
      <c r="EL171" s="13">
        <f t="shared" si="179"/>
        <v>35.443842312892279</v>
      </c>
      <c r="EM171" s="20">
        <f t="shared" si="180"/>
        <v>299.08847869495395</v>
      </c>
      <c r="EN171" s="59">
        <f t="shared" si="128"/>
        <v>590.24110071783036</v>
      </c>
      <c r="EO171" s="59">
        <f ca="1">AVERAGE(OFFSET($EN$3,0,0,'Données projet'!$E$15+1,1))-AVERAGE(OFFSET($H$3,0,0,'Données projet'!$E$15+1,1))</f>
        <v>205.83135724908942</v>
      </c>
      <c r="EP171" s="59">
        <f t="shared" si="154"/>
        <v>193.60053377311405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4.5273184519240868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4.5273184519240868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204.00000000000017</v>
      </c>
      <c r="FF171" s="17">
        <f>FE171*VLOOKUP('Données projet'!$B$16,Paramètres!$A$1:$I$89,3,0)*VLOOKUP('Données projet'!$B$16,Paramètres!$A$1:$I$89,5,0)</f>
        <v>133.66080000000011</v>
      </c>
      <c r="FG171" s="13">
        <f t="shared" si="182"/>
        <v>34.840890682716783</v>
      </c>
      <c r="FH171" s="20">
        <f t="shared" si="183"/>
        <v>293.4737779390652</v>
      </c>
      <c r="FI171" s="59">
        <f t="shared" si="131"/>
        <v>584.62639996194162</v>
      </c>
      <c r="FJ171" s="59">
        <f ca="1">AVERAGE(OFFSET($FI$3,0,0,'Données projet'!$E$16+1,1))-AVERAGE(OFFSET($H$3,0,0,'Données projet'!$E$16+1,1))</f>
        <v>242.76791261317206</v>
      </c>
      <c r="FK171" s="59">
        <f t="shared" si="156"/>
        <v>244.28580264867682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8.4095147402047576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8.4095147402047576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18.829999999999643</v>
      </c>
      <c r="GA171" s="17">
        <f>FZ171*VLOOKUP('Données projet'!$B$17,Paramètres!$A$1:$I$89,3,0)*VLOOKUP('Données projet'!$B$17,Paramètres!$A$1:$I$89,5,0)</f>
        <v>17.918627999999661</v>
      </c>
      <c r="GB171" s="13">
        <f t="shared" si="185"/>
        <v>5.9016322671185755</v>
      </c>
      <c r="GC171" s="20">
        <f t="shared" si="186"/>
        <v>41.486953298564259</v>
      </c>
      <c r="GD171" s="59">
        <f t="shared" si="134"/>
        <v>332.6395753214407</v>
      </c>
      <c r="GE171" s="59">
        <f ca="1">AVERAGE(OFFSET($GD$3,0,0,'Données projet'!$E$17+1,1))-AVERAGE(OFFSET($H$3,0,0,'Données projet'!$E$17+1,1))</f>
        <v>512.71941256120977</v>
      </c>
      <c r="GF171" s="59">
        <f t="shared" si="158"/>
        <v>230.65031527019354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205.21509964957698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205.21509964957698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69.405260551693559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-5.6843418860808015E-14</v>
      </c>
      <c r="GV171" s="17">
        <f>GU171*VLOOKUP('Données projet'!$B$18,Paramètres!$A$1:$I$89,3,0)*VLOOKUP('Données projet'!$B$18,Paramètres!$A$1:$I$89,5,0)</f>
        <v>-2.5006556825246661E-14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180.68917161146683</v>
      </c>
      <c r="HA171" s="59">
        <f t="shared" si="160"/>
        <v>344.42126252322419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4.1580028996008993</v>
      </c>
      <c r="HH171" s="21">
        <f>EXP(-LN(2)/25)*HH170+(1-EXP(-LN(2)/25))/(LN(2)/25)*Calculateur!HC171*Calculateur!HE171*VLOOKUP('Données projet'!$B$18,Paramètres!$A$1:$I$89,3,0)*0.475*44/12</f>
        <v>0.36098622928133761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4.5189891288822368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2.25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8.25</v>
      </c>
      <c r="H172" s="66">
        <f t="shared" si="110"/>
        <v>223.66666666666666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18.829999999999643</v>
      </c>
      <c r="O172" s="13">
        <f>N172*VLOOKUP('Données projet'!$B$9,Paramètres!$A$1:$I$89,3,0)*VLOOKUP('Données projet'!$B$9,Paramètres!$A$1:$I$89,5,0)</f>
        <v>17.037383999999676</v>
      </c>
      <c r="P172" s="13">
        <f t="shared" si="141"/>
        <v>5.644424624466958</v>
      </c>
      <c r="Q172" s="20">
        <f t="shared" si="162"/>
        <v>39.504150020946049</v>
      </c>
      <c r="R172" s="59">
        <f t="shared" si="109"/>
        <v>330.69460250971878</v>
      </c>
      <c r="S172" s="59">
        <f ca="1">AVERAGE(OFFSET($R$3,0,0,'Données projet'!$E$9+1,1))-AVERAGE(OFFSET($H$3,0,0,'Données projet'!$E$9+1,1))</f>
        <v>490.57849401500789</v>
      </c>
      <c r="T172" s="59">
        <f t="shared" si="142"/>
        <v>221.7570623669753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191.29631949884268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191.29631949884268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7.0666666666666673</v>
      </c>
      <c r="AI172" s="13">
        <f>IF('Données projet'!$A$62&gt;35,AI171+AH172-AQ171,IF(A172&lt;'Données projet'!$A$62,$AF$205^A172,IF(A172='Données projet'!$A$62,'Données projet'!$B$62,AI171+AH172-AQ171)))</f>
        <v>378.80666666666593</v>
      </c>
      <c r="AJ172" s="13">
        <f>AI172*VLOOKUP('Données projet'!$B$10,Paramètres!$A$1:$I$89,3,0)*VLOOKUP('Données projet'!$B$10,Paramètres!$A$1:$I$89,5,0)</f>
        <v>254.10351199999951</v>
      </c>
      <c r="AK172" s="13">
        <f t="shared" si="164"/>
        <v>61.463811844833636</v>
      </c>
      <c r="AL172" s="20">
        <f t="shared" si="165"/>
        <v>549.61308902975099</v>
      </c>
      <c r="AM172" s="59">
        <f t="shared" si="113"/>
        <v>840.80354151852373</v>
      </c>
      <c r="AN172" s="59">
        <f ca="1">AVERAGE(OFFSET($AM$3,0,0,'Données projet'!$E$10+1,1))-AVERAGE(OFFSET($H$3,0,0,'Données projet'!$E$10+1,1))</f>
        <v>377.00534440335832</v>
      </c>
      <c r="AO172" s="59">
        <f t="shared" si="144"/>
        <v>131.56029120000656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92.817809113371766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92.817809113371766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212.00000000000009</v>
      </c>
      <c r="BE172" s="13">
        <f>BD172*VLOOKUP('Données projet'!$B$11,Paramètres!$A$1:$I$89,3,0)*VLOOKUP('Données projet'!$B$11,Paramètres!$A$1:$I$89,5,0)</f>
        <v>185.20320000000009</v>
      </c>
      <c r="BF172" s="13">
        <f t="shared" si="167"/>
        <v>46.477875402099386</v>
      </c>
      <c r="BG172" s="20">
        <f t="shared" si="168"/>
        <v>403.5112063253232</v>
      </c>
      <c r="BH172" s="59">
        <f t="shared" si="116"/>
        <v>694.70165881409594</v>
      </c>
      <c r="BI172" s="59">
        <f ca="1">AVERAGE(OFFSET($BH$3,0,0,'Données projet'!$E$11+1,1))-AVERAGE(OFFSET($H$3,0,0,'Données projet'!$E$11+1,1))</f>
        <v>314.1123649635374</v>
      </c>
      <c r="BJ172" s="59">
        <f t="shared" si="146"/>
        <v>274.92342227914889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11.167056340434598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11.167056340434598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212.42519999999985</v>
      </c>
      <c r="CA172" s="13">
        <f t="shared" si="170"/>
        <v>52.465198231787184</v>
      </c>
      <c r="CB172" s="20">
        <f t="shared" si="171"/>
        <v>461.35077692036231</v>
      </c>
      <c r="CC172" s="59">
        <f t="shared" si="119"/>
        <v>752.54122940913498</v>
      </c>
      <c r="CD172" s="59">
        <f ca="1">AVERAGE(OFFSET($CC$3,0,0,'Données projet'!$E$12+1,1))-AVERAGE(OFFSET($H$3,0,0,'Données projet'!$E$12+1,1))</f>
        <v>309.86296291630748</v>
      </c>
      <c r="CE172" s="59">
        <f t="shared" si="148"/>
        <v>301.17633325088661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7.4452813498407551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7.4452813498407551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404.00000000000017</v>
      </c>
      <c r="CU172" s="17">
        <f>CT172*VLOOKUP('Données projet'!$B$13,Paramètres!$A$1:$I$89,3,0)*VLOOKUP('Données projet'!$B$13,Paramètres!$A$1:$I$89,5,0)</f>
        <v>346.63200000000018</v>
      </c>
      <c r="CV172" s="13">
        <f t="shared" si="173"/>
        <v>80.868615263336864</v>
      </c>
      <c r="CW172" s="20">
        <f t="shared" si="174"/>
        <v>744.56357158364528</v>
      </c>
      <c r="CX172" s="59">
        <f t="shared" si="122"/>
        <v>1035.7540240724179</v>
      </c>
      <c r="CY172" s="59">
        <f ca="1">AVERAGE(OFFSET($CX$3,0,0,'Données projet'!$E$13+1,1))-AVERAGE(OFFSET($H$3,0,0,'Données projet'!$E$13+1,1))</f>
        <v>462.66388549889928</v>
      </c>
      <c r="CZ172" s="59">
        <f t="shared" si="150"/>
        <v>265.3725203415089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37.876133105258916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37.876133105258916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210.25641030000014</v>
      </c>
      <c r="DP172" s="17">
        <f>DO172*VLOOKUP('Données projet'!$B$14,Paramètres!$A$1:$I$89,3,0)*VLOOKUP('Données projet'!$B$14,Paramètres!$A$1:$I$89,5,0)</f>
        <v>164.00000003400012</v>
      </c>
      <c r="DQ172" s="13">
        <f t="shared" si="176"/>
        <v>41.743425916009095</v>
      </c>
      <c r="DR172" s="20">
        <f t="shared" si="177"/>
        <v>358.3364668629327</v>
      </c>
      <c r="DS172" s="59">
        <f t="shared" si="125"/>
        <v>649.52691935170537</v>
      </c>
      <c r="DT172" s="59">
        <f ca="1">AVERAGE(OFFSET($DS$3,0,0,'Données projet'!$E$14+1,1))-AVERAGE(OFFSET($H$3,0,0,'Données projet'!$E$14+1,1))</f>
        <v>206.5241977687125</v>
      </c>
      <c r="DU172" s="59">
        <f t="shared" si="152"/>
        <v>205.25001043771269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4.4570711274047028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4.4570711274047028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155.99999999999991</v>
      </c>
      <c r="EK172" s="17">
        <f>EJ172*VLOOKUP('Données projet'!$B$15,Paramètres!$A$1:$I$89,3,0)*VLOOKUP('Données projet'!$B$15,Paramètres!$A$1:$I$89,5,0)</f>
        <v>136.28159999999994</v>
      </c>
      <c r="EL172" s="13">
        <f t="shared" si="179"/>
        <v>35.443842312892279</v>
      </c>
      <c r="EM172" s="20">
        <f t="shared" si="180"/>
        <v>299.08847869495395</v>
      </c>
      <c r="EN172" s="59">
        <f t="shared" si="128"/>
        <v>590.27893118372663</v>
      </c>
      <c r="EO172" s="59">
        <f ca="1">AVERAGE(OFFSET($EN$3,0,0,'Données projet'!$E$15+1,1))-AVERAGE(OFFSET($H$3,0,0,'Données projet'!$E$15+1,1))</f>
        <v>205.83135724908942</v>
      </c>
      <c r="EP172" s="59">
        <f t="shared" si="154"/>
        <v>193.60053377311405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4.4385404984734462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4.4385404984734462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204.00000000000017</v>
      </c>
      <c r="FF172" s="17">
        <f>FE172*VLOOKUP('Données projet'!$B$16,Paramètres!$A$1:$I$89,3,0)*VLOOKUP('Données projet'!$B$16,Paramètres!$A$1:$I$89,5,0)</f>
        <v>133.66080000000011</v>
      </c>
      <c r="FG172" s="13">
        <f t="shared" si="182"/>
        <v>34.840890682716783</v>
      </c>
      <c r="FH172" s="20">
        <f t="shared" si="183"/>
        <v>293.4737779390652</v>
      </c>
      <c r="FI172" s="59">
        <f t="shared" si="131"/>
        <v>584.66423042783799</v>
      </c>
      <c r="FJ172" s="59">
        <f ca="1">AVERAGE(OFFSET($FI$3,0,0,'Données projet'!$E$16+1,1))-AVERAGE(OFFSET($H$3,0,0,'Données projet'!$E$16+1,1))</f>
        <v>242.76791261317206</v>
      </c>
      <c r="FK172" s="59">
        <f t="shared" si="156"/>
        <v>244.28580264867682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8.2446092854468578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8.2446092854468578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18.829999999999643</v>
      </c>
      <c r="GA172" s="17">
        <f>FZ172*VLOOKUP('Données projet'!$B$17,Paramètres!$A$1:$I$89,3,0)*VLOOKUP('Données projet'!$B$17,Paramètres!$A$1:$I$89,5,0)</f>
        <v>17.918627999999661</v>
      </c>
      <c r="GB172" s="13">
        <f t="shared" si="185"/>
        <v>5.9016322671185755</v>
      </c>
      <c r="GC172" s="20">
        <f t="shared" si="186"/>
        <v>41.486953298564259</v>
      </c>
      <c r="GD172" s="59">
        <f t="shared" si="134"/>
        <v>332.67740578733697</v>
      </c>
      <c r="GE172" s="59">
        <f ca="1">AVERAGE(OFFSET($GD$3,0,0,'Données projet'!$E$17+1,1))-AVERAGE(OFFSET($H$3,0,0,'Données projet'!$E$17+1,1))</f>
        <v>512.71941256120977</v>
      </c>
      <c r="GF172" s="59">
        <f t="shared" si="158"/>
        <v>230.65031527019354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201.19095671430017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201.19095671430017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69.415577951483471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-5.6843418860808015E-14</v>
      </c>
      <c r="GV172" s="17">
        <f>GU172*VLOOKUP('Données projet'!$B$18,Paramètres!$A$1:$I$89,3,0)*VLOOKUP('Données projet'!$B$18,Paramètres!$A$1:$I$89,5,0)</f>
        <v>-2.5006556825246661E-14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180.68917161146683</v>
      </c>
      <c r="HA172" s="59">
        <f t="shared" si="160"/>
        <v>344.42126252322419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4.076466998871072</v>
      </c>
      <c r="HH172" s="21">
        <f>EXP(-LN(2)/25)*HH171+(1-EXP(-LN(2)/25))/(LN(2)/25)*Calculateur!HC172*Calculateur!HE172*VLOOKUP('Données projet'!$B$18,Paramètres!$A$1:$I$89,3,0)*0.475*44/12</f>
        <v>0.3511150418581987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4.4275820407292708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2.25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8.25</v>
      </c>
      <c r="H173" s="66">
        <f t="shared" si="110"/>
        <v>223.66666666666666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18.829999999999643</v>
      </c>
      <c r="O173" s="13">
        <f>N173*VLOOKUP('Données projet'!$B$9,Paramètres!$A$1:$I$89,3,0)*VLOOKUP('Données projet'!$B$9,Paramètres!$A$1:$I$89,5,0)</f>
        <v>17.037383999999676</v>
      </c>
      <c r="P173" s="13">
        <f t="shared" si="141"/>
        <v>5.644424624466958</v>
      </c>
      <c r="Q173" s="20">
        <f t="shared" si="162"/>
        <v>39.504150020946049</v>
      </c>
      <c r="R173" s="59">
        <f t="shared" si="109"/>
        <v>330.731776701608</v>
      </c>
      <c r="S173" s="59">
        <f ca="1">AVERAGE(OFFSET($R$3,0,0,'Données projet'!$E$9+1,1))-AVERAGE(OFFSET($H$3,0,0,'Données projet'!$E$9+1,1))</f>
        <v>490.57849401500789</v>
      </c>
      <c r="T173" s="59">
        <f t="shared" si="142"/>
        <v>221.7570623669753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187.54511535270416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187.54511535270416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7.0666666666666673</v>
      </c>
      <c r="AI173" s="13">
        <f>IF('Données projet'!$A$62&gt;35,AI172+AH173-AQ172,IF(A173&lt;'Données projet'!$A$62,$AF$205^A173,IF(A173='Données projet'!$A$62,'Données projet'!$B$62,AI172+AH173-AQ172)))</f>
        <v>385.8733333333326</v>
      </c>
      <c r="AJ173" s="13">
        <f>AI173*VLOOKUP('Données projet'!$B$10,Paramètres!$A$1:$I$89,3,0)*VLOOKUP('Données projet'!$B$10,Paramètres!$A$1:$I$89,5,0)</f>
        <v>258.84383199999951</v>
      </c>
      <c r="AK173" s="13">
        <f t="shared" si="164"/>
        <v>62.475865772828712</v>
      </c>
      <c r="AL173" s="20">
        <f t="shared" si="165"/>
        <v>559.63180695434255</v>
      </c>
      <c r="AM173" s="59">
        <f t="shared" si="113"/>
        <v>850.85943363500451</v>
      </c>
      <c r="AN173" s="59">
        <f ca="1">AVERAGE(OFFSET($AM$3,0,0,'Données projet'!$E$10+1,1))-AVERAGE(OFFSET($H$3,0,0,'Données projet'!$E$10+1,1))</f>
        <v>377.00534440335832</v>
      </c>
      <c r="AO173" s="59">
        <f t="shared" si="144"/>
        <v>131.56029120000656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90.997708489932009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90.997708489932009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212.00000000000009</v>
      </c>
      <c r="BE173" s="13">
        <f>BD173*VLOOKUP('Données projet'!$B$11,Paramètres!$A$1:$I$89,3,0)*VLOOKUP('Données projet'!$B$11,Paramètres!$A$1:$I$89,5,0)</f>
        <v>185.20320000000009</v>
      </c>
      <c r="BF173" s="13">
        <f t="shared" si="167"/>
        <v>46.477875402099386</v>
      </c>
      <c r="BG173" s="20">
        <f t="shared" si="168"/>
        <v>403.5112063253232</v>
      </c>
      <c r="BH173" s="59">
        <f t="shared" si="116"/>
        <v>694.73883300598516</v>
      </c>
      <c r="BI173" s="59">
        <f ca="1">AVERAGE(OFFSET($BH$3,0,0,'Données projet'!$E$11+1,1))-AVERAGE(OFFSET($H$3,0,0,'Données projet'!$E$11+1,1))</f>
        <v>314.1123649635374</v>
      </c>
      <c r="BJ173" s="59">
        <f t="shared" si="146"/>
        <v>274.92342227914889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10.948077176830489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10.948077176830489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212.42519999999985</v>
      </c>
      <c r="CA173" s="13">
        <f t="shared" si="170"/>
        <v>52.465198231787184</v>
      </c>
      <c r="CB173" s="20">
        <f t="shared" si="171"/>
        <v>461.35077692036231</v>
      </c>
      <c r="CC173" s="59">
        <f t="shared" si="119"/>
        <v>752.57840360102432</v>
      </c>
      <c r="CD173" s="59">
        <f ca="1">AVERAGE(OFFSET($CC$3,0,0,'Données projet'!$E$12+1,1))-AVERAGE(OFFSET($H$3,0,0,'Données projet'!$E$12+1,1))</f>
        <v>309.86296291630748</v>
      </c>
      <c r="CE173" s="59">
        <f t="shared" si="148"/>
        <v>301.17633325088661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7.299283923743598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7.299283923743598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404.00000000000017</v>
      </c>
      <c r="CU173" s="17">
        <f>CT173*VLOOKUP('Données projet'!$B$13,Paramètres!$A$1:$I$89,3,0)*VLOOKUP('Données projet'!$B$13,Paramètres!$A$1:$I$89,5,0)</f>
        <v>346.63200000000018</v>
      </c>
      <c r="CV173" s="13">
        <f t="shared" si="173"/>
        <v>80.868615263336864</v>
      </c>
      <c r="CW173" s="20">
        <f t="shared" si="174"/>
        <v>744.56357158364528</v>
      </c>
      <c r="CX173" s="59">
        <f t="shared" si="122"/>
        <v>1035.7911982643072</v>
      </c>
      <c r="CY173" s="59">
        <f ca="1">AVERAGE(OFFSET($CX$3,0,0,'Données projet'!$E$13+1,1))-AVERAGE(OFFSET($H$3,0,0,'Données projet'!$E$13+1,1))</f>
        <v>462.66388549889928</v>
      </c>
      <c r="CZ173" s="59">
        <f t="shared" si="150"/>
        <v>265.3725203415089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37.133405237224835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37.133405237224835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210.25641030000014</v>
      </c>
      <c r="DP173" s="17">
        <f>DO173*VLOOKUP('Données projet'!$B$14,Paramètres!$A$1:$I$89,3,0)*VLOOKUP('Données projet'!$B$14,Paramètres!$A$1:$I$89,5,0)</f>
        <v>164.00000003400012</v>
      </c>
      <c r="DQ173" s="13">
        <f t="shared" si="176"/>
        <v>41.743425916009095</v>
      </c>
      <c r="DR173" s="20">
        <f t="shared" si="177"/>
        <v>358.3364668629327</v>
      </c>
      <c r="DS173" s="59">
        <f t="shared" si="125"/>
        <v>649.56409354359471</v>
      </c>
      <c r="DT173" s="59">
        <f ca="1">AVERAGE(OFFSET($DS$3,0,0,'Données projet'!$E$14+1,1))-AVERAGE(OFFSET($H$3,0,0,'Données projet'!$E$14+1,1))</f>
        <v>206.5241977687125</v>
      </c>
      <c r="DU173" s="59">
        <f t="shared" si="152"/>
        <v>205.25001043771269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4.3696706811412502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4.3696706811412502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155.99999999999991</v>
      </c>
      <c r="EK173" s="17">
        <f>EJ173*VLOOKUP('Données projet'!$B$15,Paramètres!$A$1:$I$89,3,0)*VLOOKUP('Données projet'!$B$15,Paramètres!$A$1:$I$89,5,0)</f>
        <v>136.28159999999994</v>
      </c>
      <c r="EL173" s="13">
        <f t="shared" si="179"/>
        <v>35.443842312892279</v>
      </c>
      <c r="EM173" s="20">
        <f t="shared" si="180"/>
        <v>299.08847869495395</v>
      </c>
      <c r="EN173" s="59">
        <f t="shared" si="128"/>
        <v>590.31610537561596</v>
      </c>
      <c r="EO173" s="59">
        <f ca="1">AVERAGE(OFFSET($EN$3,0,0,'Données projet'!$E$15+1,1))-AVERAGE(OFFSET($H$3,0,0,'Données projet'!$E$15+1,1))</f>
        <v>205.83135724908942</v>
      </c>
      <c r="EP173" s="59">
        <f t="shared" si="154"/>
        <v>193.60053377311405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4.3515034265407682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4.3515034265407682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204.00000000000017</v>
      </c>
      <c r="FF173" s="17">
        <f>FE173*VLOOKUP('Données projet'!$B$16,Paramètres!$A$1:$I$89,3,0)*VLOOKUP('Données projet'!$B$16,Paramètres!$A$1:$I$89,5,0)</f>
        <v>133.66080000000011</v>
      </c>
      <c r="FG173" s="13">
        <f t="shared" si="182"/>
        <v>34.840890682716783</v>
      </c>
      <c r="FH173" s="20">
        <f t="shared" si="183"/>
        <v>293.4737779390652</v>
      </c>
      <c r="FI173" s="59">
        <f t="shared" si="131"/>
        <v>584.7014046197271</v>
      </c>
      <c r="FJ173" s="59">
        <f ca="1">AVERAGE(OFFSET($FI$3,0,0,'Données projet'!$E$16+1,1))-AVERAGE(OFFSET($H$3,0,0,'Données projet'!$E$16+1,1))</f>
        <v>242.76791261317206</v>
      </c>
      <c r="FK173" s="59">
        <f t="shared" si="156"/>
        <v>244.28580264867682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8.0829375260743639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8.0829375260743639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18.829999999999643</v>
      </c>
      <c r="GA173" s="17">
        <f>FZ173*VLOOKUP('Données projet'!$B$17,Paramètres!$A$1:$I$89,3,0)*VLOOKUP('Données projet'!$B$17,Paramètres!$A$1:$I$89,5,0)</f>
        <v>17.918627999999661</v>
      </c>
      <c r="GB173" s="13">
        <f t="shared" si="185"/>
        <v>5.9016322671185755</v>
      </c>
      <c r="GC173" s="20">
        <f t="shared" si="186"/>
        <v>41.486953298564259</v>
      </c>
      <c r="GD173" s="59">
        <f t="shared" si="134"/>
        <v>332.71457997922619</v>
      </c>
      <c r="GE173" s="59">
        <f ca="1">AVERAGE(OFFSET($GD$3,0,0,'Données projet'!$E$17+1,1))-AVERAGE(OFFSET($H$3,0,0,'Données projet'!$E$17+1,1))</f>
        <v>512.71941256120977</v>
      </c>
      <c r="GF173" s="59">
        <f t="shared" si="158"/>
        <v>230.65031527019354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197.2457247674993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197.2457247674993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69.425716367453262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-5.6843418860808015E-14</v>
      </c>
      <c r="GV173" s="17">
        <f>GU173*VLOOKUP('Données projet'!$B$18,Paramètres!$A$1:$I$89,3,0)*VLOOKUP('Données projet'!$B$18,Paramètres!$A$1:$I$89,5,0)</f>
        <v>-2.5006556825246661E-14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180.68917161146683</v>
      </c>
      <c r="HA173" s="59">
        <f t="shared" si="160"/>
        <v>344.42126252322419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3.9965299674225681</v>
      </c>
      <c r="HH173" s="21">
        <f>EXP(-LN(2)/25)*HH172+(1-EXP(-LN(2)/25))/(LN(2)/25)*Calculateur!HC173*Calculateur!HE173*VLOOKUP('Données projet'!$B$18,Paramètres!$A$1:$I$89,3,0)*0.475*44/12</f>
        <v>0.34151378257424869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4.3380437499968165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2.25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8.25</v>
      </c>
      <c r="H174" s="66">
        <f t="shared" si="110"/>
        <v>223.66666666666666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18.829999999999643</v>
      </c>
      <c r="O174" s="13">
        <f>N174*VLOOKUP('Données projet'!$B$9,Paramètres!$A$1:$I$89,3,0)*VLOOKUP('Données projet'!$B$9,Paramètres!$A$1:$I$89,5,0)</f>
        <v>17.037383999999676</v>
      </c>
      <c r="P174" s="13">
        <f t="shared" si="141"/>
        <v>5.644424624466958</v>
      </c>
      <c r="Q174" s="20">
        <f t="shared" si="162"/>
        <v>39.504150020946049</v>
      </c>
      <c r="R174" s="59">
        <f t="shared" si="109"/>
        <v>330.768306004377</v>
      </c>
      <c r="S174" s="59">
        <f ca="1">AVERAGE(OFFSET($R$3,0,0,'Données projet'!$E$9+1,1))-AVERAGE(OFFSET($H$3,0,0,'Données projet'!$E$9+1,1))</f>
        <v>490.57849401500789</v>
      </c>
      <c r="T174" s="59">
        <f t="shared" si="142"/>
        <v>221.7570623669753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183.86747003186281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183.86747003186281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7.0666666666666673</v>
      </c>
      <c r="AI174" s="13">
        <f>IF('Données projet'!$A$62&gt;35,AI173+AH174-AQ173,IF(A174&lt;'Données projet'!$A$62,$AF$205^A174,IF(A174='Données projet'!$A$62,'Données projet'!$B$62,AI173+AH174-AQ173)))</f>
        <v>392.93999999999926</v>
      </c>
      <c r="AJ174" s="13">
        <f>AI174*VLOOKUP('Données projet'!$B$10,Paramètres!$A$1:$I$89,3,0)*VLOOKUP('Données projet'!$B$10,Paramètres!$A$1:$I$89,5,0)</f>
        <v>263.58415199999951</v>
      </c>
      <c r="AK174" s="13">
        <f t="shared" si="164"/>
        <v>63.48576449212306</v>
      </c>
      <c r="AL174" s="20">
        <f t="shared" si="165"/>
        <v>569.64677122378009</v>
      </c>
      <c r="AM174" s="59">
        <f t="shared" si="113"/>
        <v>860.91092720721099</v>
      </c>
      <c r="AN174" s="59">
        <f ca="1">AVERAGE(OFFSET($AM$3,0,0,'Données projet'!$E$10+1,1))-AVERAGE(OFFSET($H$3,0,0,'Données projet'!$E$10+1,1))</f>
        <v>377.00534440335832</v>
      </c>
      <c r="AO174" s="59">
        <f t="shared" si="144"/>
        <v>131.56029120000656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89.213298929566136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89.213298929566136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212.00000000000009</v>
      </c>
      <c r="BE174" s="13">
        <f>BD174*VLOOKUP('Données projet'!$B$11,Paramètres!$A$1:$I$89,3,0)*VLOOKUP('Données projet'!$B$11,Paramètres!$A$1:$I$89,5,0)</f>
        <v>185.20320000000009</v>
      </c>
      <c r="BF174" s="13">
        <f t="shared" si="167"/>
        <v>46.477875402099386</v>
      </c>
      <c r="BG174" s="20">
        <f t="shared" si="168"/>
        <v>403.5112063253232</v>
      </c>
      <c r="BH174" s="59">
        <f t="shared" si="116"/>
        <v>694.77536230875421</v>
      </c>
      <c r="BI174" s="59">
        <f ca="1">AVERAGE(OFFSET($BH$3,0,0,'Données projet'!$E$11+1,1))-AVERAGE(OFFSET($H$3,0,0,'Données projet'!$E$11+1,1))</f>
        <v>314.1123649635374</v>
      </c>
      <c r="BJ174" s="59">
        <f t="shared" si="146"/>
        <v>274.92342227914889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10.733392061060556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10.733392061060556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212.42519999999985</v>
      </c>
      <c r="CA174" s="13">
        <f t="shared" si="170"/>
        <v>52.465198231787184</v>
      </c>
      <c r="CB174" s="20">
        <f t="shared" si="171"/>
        <v>461.35077692036231</v>
      </c>
      <c r="CC174" s="59">
        <f t="shared" si="119"/>
        <v>752.61493290379326</v>
      </c>
      <c r="CD174" s="59">
        <f ca="1">AVERAGE(OFFSET($CC$3,0,0,'Données projet'!$E$12+1,1))-AVERAGE(OFFSET($H$3,0,0,'Données projet'!$E$12+1,1))</f>
        <v>309.86296291630748</v>
      </c>
      <c r="CE174" s="59">
        <f t="shared" si="148"/>
        <v>301.17633325088661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7.1561494181225687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7.1561494181225687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404.00000000000017</v>
      </c>
      <c r="CU174" s="17">
        <f>CT174*VLOOKUP('Données projet'!$B$13,Paramètres!$A$1:$I$89,3,0)*VLOOKUP('Données projet'!$B$13,Paramètres!$A$1:$I$89,5,0)</f>
        <v>346.63200000000018</v>
      </c>
      <c r="CV174" s="13">
        <f t="shared" si="173"/>
        <v>80.868615263336864</v>
      </c>
      <c r="CW174" s="20">
        <f t="shared" si="174"/>
        <v>744.56357158364528</v>
      </c>
      <c r="CX174" s="59">
        <f t="shared" si="122"/>
        <v>1035.8277275670762</v>
      </c>
      <c r="CY174" s="59">
        <f ca="1">AVERAGE(OFFSET($CX$3,0,0,'Données projet'!$E$13+1,1))-AVERAGE(OFFSET($H$3,0,0,'Données projet'!$E$13+1,1))</f>
        <v>462.66388549889928</v>
      </c>
      <c r="CZ174" s="59">
        <f t="shared" si="150"/>
        <v>265.3725203415089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36.405241809663636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36.405241809663636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210.25641030000014</v>
      </c>
      <c r="DP174" s="17">
        <f>DO174*VLOOKUP('Données projet'!$B$14,Paramètres!$A$1:$I$89,3,0)*VLOOKUP('Données projet'!$B$14,Paramètres!$A$1:$I$89,5,0)</f>
        <v>164.00000003400012</v>
      </c>
      <c r="DQ174" s="13">
        <f t="shared" si="176"/>
        <v>41.743425916009095</v>
      </c>
      <c r="DR174" s="20">
        <f t="shared" si="177"/>
        <v>358.3364668629327</v>
      </c>
      <c r="DS174" s="59">
        <f t="shared" si="125"/>
        <v>649.60062284636365</v>
      </c>
      <c r="DT174" s="59">
        <f ca="1">AVERAGE(OFFSET($DS$3,0,0,'Données projet'!$E$14+1,1))-AVERAGE(OFFSET($H$3,0,0,'Données projet'!$E$14+1,1))</f>
        <v>206.5241977687125</v>
      </c>
      <c r="DU174" s="59">
        <f t="shared" si="152"/>
        <v>205.25001043771269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4.283984104320016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4.283984104320016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155.99999999999991</v>
      </c>
      <c r="EK174" s="17">
        <f>EJ174*VLOOKUP('Données projet'!$B$15,Paramètres!$A$1:$I$89,3,0)*VLOOKUP('Données projet'!$B$15,Paramètres!$A$1:$I$89,5,0)</f>
        <v>136.28159999999994</v>
      </c>
      <c r="EL174" s="13">
        <f t="shared" si="179"/>
        <v>35.443842312892279</v>
      </c>
      <c r="EM174" s="20">
        <f t="shared" si="180"/>
        <v>299.08847869495395</v>
      </c>
      <c r="EN174" s="59">
        <f t="shared" si="128"/>
        <v>590.3526346783849</v>
      </c>
      <c r="EO174" s="59">
        <f ca="1">AVERAGE(OFFSET($EN$3,0,0,'Données projet'!$E$15+1,1))-AVERAGE(OFFSET($H$3,0,0,'Données projet'!$E$15+1,1))</f>
        <v>205.83135724908942</v>
      </c>
      <c r="EP174" s="59">
        <f t="shared" si="154"/>
        <v>193.60053377311405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4.2661730985013175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4.2661730985013175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204.00000000000017</v>
      </c>
      <c r="FF174" s="17">
        <f>FE174*VLOOKUP('Données projet'!$B$16,Paramètres!$A$1:$I$89,3,0)*VLOOKUP('Données projet'!$B$16,Paramètres!$A$1:$I$89,5,0)</f>
        <v>133.66080000000011</v>
      </c>
      <c r="FG174" s="13">
        <f t="shared" si="182"/>
        <v>34.840890682716783</v>
      </c>
      <c r="FH174" s="20">
        <f t="shared" si="183"/>
        <v>293.4737779390652</v>
      </c>
      <c r="FI174" s="59">
        <f t="shared" si="131"/>
        <v>584.73793392249615</v>
      </c>
      <c r="FJ174" s="59">
        <f ca="1">AVERAGE(OFFSET($FI$3,0,0,'Données projet'!$E$16+1,1))-AVERAGE(OFFSET($H$3,0,0,'Données projet'!$E$16+1,1))</f>
        <v>242.76791261317206</v>
      </c>
      <c r="FK174" s="59">
        <f t="shared" si="156"/>
        <v>244.28580264867682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7.9244360512931289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7.9244360512931289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18.829999999999643</v>
      </c>
      <c r="GA174" s="17">
        <f>FZ174*VLOOKUP('Données projet'!$B$17,Paramètres!$A$1:$I$89,3,0)*VLOOKUP('Données projet'!$B$17,Paramètres!$A$1:$I$89,5,0)</f>
        <v>17.918627999999661</v>
      </c>
      <c r="GB174" s="13">
        <f t="shared" si="185"/>
        <v>5.9016322671185755</v>
      </c>
      <c r="GC174" s="20">
        <f t="shared" si="186"/>
        <v>41.486953298564259</v>
      </c>
      <c r="GD174" s="59">
        <f t="shared" si="134"/>
        <v>332.75110928199524</v>
      </c>
      <c r="GE174" s="59">
        <f ca="1">AVERAGE(OFFSET($GD$3,0,0,'Données projet'!$E$17+1,1))-AVERAGE(OFFSET($H$3,0,0,'Données projet'!$E$17+1,1))</f>
        <v>512.71941256120977</v>
      </c>
      <c r="GF174" s="59">
        <f t="shared" si="158"/>
        <v>230.65031527019354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193.3778564128213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193.3778564128213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69.435678904572086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-5.6843418860808015E-14</v>
      </c>
      <c r="GV174" s="17">
        <f>GU174*VLOOKUP('Données projet'!$B$18,Paramètres!$A$1:$I$89,3,0)*VLOOKUP('Données projet'!$B$18,Paramètres!$A$1:$I$89,5,0)</f>
        <v>-2.5006556825246661E-14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180.68917161146683</v>
      </c>
      <c r="HA174" s="59">
        <f t="shared" si="160"/>
        <v>344.42126252322419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3.9181604524039946</v>
      </c>
      <c r="HH174" s="21">
        <f>EXP(-LN(2)/25)*HH173+(1-EXP(-LN(2)/25))/(LN(2)/25)*Calculateur!HC174*Calculateur!HE174*VLOOKUP('Données projet'!$B$18,Paramètres!$A$1:$I$89,3,0)*0.475*44/12</f>
        <v>0.33217507023032655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4.2503355226343214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2.25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8.25</v>
      </c>
      <c r="H175" s="66">
        <f t="shared" si="110"/>
        <v>223.66666666666666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18.829999999999643</v>
      </c>
      <c r="O175" s="13">
        <f>N175*VLOOKUP('Données projet'!$B$9,Paramètres!$A$1:$I$89,3,0)*VLOOKUP('Données projet'!$B$9,Paramètres!$A$1:$I$89,5,0)</f>
        <v>17.037383999999676</v>
      </c>
      <c r="P175" s="13">
        <f t="shared" si="141"/>
        <v>5.644424624466958</v>
      </c>
      <c r="Q175" s="20">
        <f t="shared" si="162"/>
        <v>39.504150020946049</v>
      </c>
      <c r="R175" s="59">
        <f t="shared" si="109"/>
        <v>330.8042016054103</v>
      </c>
      <c r="S175" s="59">
        <f ca="1">AVERAGE(OFFSET($R$3,0,0,'Données projet'!$E$9+1,1))-AVERAGE(OFFSET($H$3,0,0,'Données projet'!$E$9+1,1))</f>
        <v>490.57849401500789</v>
      </c>
      <c r="T175" s="59">
        <f t="shared" si="142"/>
        <v>221.7570623669753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180.26194109262099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180.26194109262099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7.0666666666666673</v>
      </c>
      <c r="AI175" s="13">
        <f>IF('Données projet'!$A$62&gt;35,AI174+AH175-AQ174,IF(A175&lt;'Données projet'!$A$62,$AF$205^A175,IF(A175='Données projet'!$A$62,'Données projet'!$B$62,AI174+AH175-AQ174)))</f>
        <v>400.00666666666592</v>
      </c>
      <c r="AJ175" s="13">
        <f>AI175*VLOOKUP('Données projet'!$B$10,Paramètres!$A$1:$I$89,3,0)*VLOOKUP('Données projet'!$B$10,Paramètres!$A$1:$I$89,5,0)</f>
        <v>268.3244719999995</v>
      </c>
      <c r="AK175" s="13">
        <f t="shared" si="164"/>
        <v>64.49355123321547</v>
      </c>
      <c r="AL175" s="20">
        <f t="shared" si="165"/>
        <v>579.65805713118277</v>
      </c>
      <c r="AM175" s="59">
        <f t="shared" si="113"/>
        <v>870.95810871564709</v>
      </c>
      <c r="AN175" s="59">
        <f ca="1">AVERAGE(OFFSET($AM$3,0,0,'Données projet'!$E$10+1,1))-AVERAGE(OFFSET($H$3,0,0,'Données projet'!$E$10+1,1))</f>
        <v>377.00534440335832</v>
      </c>
      <c r="AO175" s="59">
        <f t="shared" si="144"/>
        <v>131.56029120000656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87.463880552296686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87.463880552296686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212.00000000000009</v>
      </c>
      <c r="BE175" s="13">
        <f>BD175*VLOOKUP('Données projet'!$B$11,Paramètres!$A$1:$I$89,3,0)*VLOOKUP('Données projet'!$B$11,Paramètres!$A$1:$I$89,5,0)</f>
        <v>185.20320000000009</v>
      </c>
      <c r="BF175" s="13">
        <f t="shared" si="167"/>
        <v>46.477875402099386</v>
      </c>
      <c r="BG175" s="20">
        <f t="shared" si="168"/>
        <v>403.5112063253232</v>
      </c>
      <c r="BH175" s="59">
        <f t="shared" si="116"/>
        <v>694.8112579097874</v>
      </c>
      <c r="BI175" s="59">
        <f ca="1">AVERAGE(OFFSET($BH$3,0,0,'Données projet'!$E$11+1,1))-AVERAGE(OFFSET($H$3,0,0,'Données projet'!$E$11+1,1))</f>
        <v>314.1123649635374</v>
      </c>
      <c r="BJ175" s="59">
        <f t="shared" si="146"/>
        <v>274.92342227914889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10.52291678946588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10.52291678946588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212.42519999999985</v>
      </c>
      <c r="CA175" s="13">
        <f t="shared" si="170"/>
        <v>52.465198231787184</v>
      </c>
      <c r="CB175" s="20">
        <f t="shared" si="171"/>
        <v>461.35077692036231</v>
      </c>
      <c r="CC175" s="59">
        <f t="shared" si="119"/>
        <v>752.65082850482656</v>
      </c>
      <c r="CD175" s="59">
        <f ca="1">AVERAGE(OFFSET($CC$3,0,0,'Données projet'!$E$12+1,1))-AVERAGE(OFFSET($H$3,0,0,'Données projet'!$E$12+1,1))</f>
        <v>309.86296291630748</v>
      </c>
      <c r="CE175" s="59">
        <f t="shared" si="148"/>
        <v>301.17633325088661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7.0158216928533399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7.0158216928533399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404.00000000000017</v>
      </c>
      <c r="CU175" s="17">
        <f>CT175*VLOOKUP('Données projet'!$B$13,Paramètres!$A$1:$I$89,3,0)*VLOOKUP('Données projet'!$B$13,Paramètres!$A$1:$I$89,5,0)</f>
        <v>346.63200000000018</v>
      </c>
      <c r="CV175" s="13">
        <f t="shared" si="173"/>
        <v>80.868615263336864</v>
      </c>
      <c r="CW175" s="20">
        <f t="shared" si="174"/>
        <v>744.56357158364528</v>
      </c>
      <c r="CX175" s="59">
        <f t="shared" si="122"/>
        <v>1035.8636231681096</v>
      </c>
      <c r="CY175" s="59">
        <f ca="1">AVERAGE(OFFSET($CX$3,0,0,'Données projet'!$E$13+1,1))-AVERAGE(OFFSET($H$3,0,0,'Données projet'!$E$13+1,1))</f>
        <v>462.66388549889928</v>
      </c>
      <c r="CZ175" s="59">
        <f t="shared" si="150"/>
        <v>265.3725203415089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35.691357222781072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35.691357222781072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210.25641030000014</v>
      </c>
      <c r="DP175" s="17">
        <f>DO175*VLOOKUP('Données projet'!$B$14,Paramètres!$A$1:$I$89,3,0)*VLOOKUP('Données projet'!$B$14,Paramètres!$A$1:$I$89,5,0)</f>
        <v>164.00000003400012</v>
      </c>
      <c r="DQ175" s="13">
        <f t="shared" si="176"/>
        <v>41.743425916009095</v>
      </c>
      <c r="DR175" s="20">
        <f t="shared" si="177"/>
        <v>358.3364668629327</v>
      </c>
      <c r="DS175" s="59">
        <f t="shared" si="125"/>
        <v>649.63651844739695</v>
      </c>
      <c r="DT175" s="59">
        <f ca="1">AVERAGE(OFFSET($DS$3,0,0,'Données projet'!$E$14+1,1))-AVERAGE(OFFSET($H$3,0,0,'Données projet'!$E$14+1,1))</f>
        <v>206.5241977687125</v>
      </c>
      <c r="DU175" s="59">
        <f t="shared" si="152"/>
        <v>205.25001043771269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4.1999777890065948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4.1999777890065948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155.99999999999991</v>
      </c>
      <c r="EK175" s="17">
        <f>EJ175*VLOOKUP('Données projet'!$B$15,Paramètres!$A$1:$I$89,3,0)*VLOOKUP('Données projet'!$B$15,Paramètres!$A$1:$I$89,5,0)</f>
        <v>136.28159999999994</v>
      </c>
      <c r="EL175" s="13">
        <f t="shared" si="179"/>
        <v>35.443842312892279</v>
      </c>
      <c r="EM175" s="20">
        <f t="shared" si="180"/>
        <v>299.08847869495395</v>
      </c>
      <c r="EN175" s="59">
        <f t="shared" si="128"/>
        <v>590.38853027941821</v>
      </c>
      <c r="EO175" s="59">
        <f ca="1">AVERAGE(OFFSET($EN$3,0,0,'Données projet'!$E$15+1,1))-AVERAGE(OFFSET($H$3,0,0,'Données projet'!$E$15+1,1))</f>
        <v>205.83135724908942</v>
      </c>
      <c r="EP175" s="59">
        <f t="shared" si="154"/>
        <v>193.60053377311405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4.1825160461483595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4.1825160461483595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204.00000000000017</v>
      </c>
      <c r="FF175" s="17">
        <f>FE175*VLOOKUP('Données projet'!$B$16,Paramètres!$A$1:$I$89,3,0)*VLOOKUP('Données projet'!$B$16,Paramètres!$A$1:$I$89,5,0)</f>
        <v>133.66080000000011</v>
      </c>
      <c r="FG175" s="13">
        <f t="shared" si="182"/>
        <v>34.840890682716783</v>
      </c>
      <c r="FH175" s="20">
        <f t="shared" si="183"/>
        <v>293.4737779390652</v>
      </c>
      <c r="FI175" s="59">
        <f t="shared" si="131"/>
        <v>584.77382952352946</v>
      </c>
      <c r="FJ175" s="59">
        <f ca="1">AVERAGE(OFFSET($FI$3,0,0,'Données projet'!$E$16+1,1))-AVERAGE(OFFSET($H$3,0,0,'Données projet'!$E$16+1,1))</f>
        <v>242.76791261317206</v>
      </c>
      <c r="FK175" s="59">
        <f t="shared" si="156"/>
        <v>244.28580264867682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7.7690426937560009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7.7690426937560009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18.829999999999643</v>
      </c>
      <c r="GA175" s="17">
        <f>FZ175*VLOOKUP('Données projet'!$B$17,Paramètres!$A$1:$I$89,3,0)*VLOOKUP('Données projet'!$B$17,Paramètres!$A$1:$I$89,5,0)</f>
        <v>17.918627999999661</v>
      </c>
      <c r="GB175" s="13">
        <f t="shared" si="185"/>
        <v>5.9016322671185755</v>
      </c>
      <c r="GC175" s="20">
        <f t="shared" si="186"/>
        <v>41.486953298564259</v>
      </c>
      <c r="GD175" s="59">
        <f t="shared" si="134"/>
        <v>332.78700488302854</v>
      </c>
      <c r="GE175" s="59">
        <f ca="1">AVERAGE(OFFSET($GD$3,0,0,'Données projet'!$E$17+1,1))-AVERAGE(OFFSET($H$3,0,0,'Données projet'!$E$17+1,1))</f>
        <v>512.71941256120977</v>
      </c>
      <c r="GF175" s="59">
        <f t="shared" si="158"/>
        <v>230.65031527019354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189.5858345974118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189.5858345974118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69.445468613944797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-5.6843418860808015E-14</v>
      </c>
      <c r="GV175" s="17">
        <f>GU175*VLOOKUP('Données projet'!$B$18,Paramètres!$A$1:$I$89,3,0)*VLOOKUP('Données projet'!$B$18,Paramètres!$A$1:$I$89,5,0)</f>
        <v>-2.5006556825246661E-14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180.68917161146683</v>
      </c>
      <c r="HA175" s="59">
        <f t="shared" si="160"/>
        <v>344.42126252322419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3.8413277157742511</v>
      </c>
      <c r="HH175" s="21">
        <f>EXP(-LN(2)/25)*HH174+(1-EXP(-LN(2)/25))/(LN(2)/25)*Calculateur!HC175*Calculateur!HE175*VLOOKUP('Données projet'!$B$18,Paramètres!$A$1:$I$89,3,0)*0.475*44/12</f>
        <v>0.32309172546655052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4.1644194412408018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2.25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8.25</v>
      </c>
      <c r="H176" s="66">
        <f t="shared" si="110"/>
        <v>223.66666666666666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18.829999999999643</v>
      </c>
      <c r="O176" s="13">
        <f>N176*VLOOKUP('Données projet'!$B$9,Paramètres!$A$1:$I$89,3,0)*VLOOKUP('Données projet'!$B$9,Paramètres!$A$1:$I$89,5,0)</f>
        <v>17.037383999999676</v>
      </c>
      <c r="P176" s="13">
        <f t="shared" si="141"/>
        <v>5.644424624466958</v>
      </c>
      <c r="Q176" s="20">
        <f t="shared" si="162"/>
        <v>39.504150020946049</v>
      </c>
      <c r="R176" s="59">
        <f t="shared" si="109"/>
        <v>330.83947449801622</v>
      </c>
      <c r="S176" s="59">
        <f ca="1">AVERAGE(OFFSET($R$3,0,0,'Données projet'!$E$9+1,1))-AVERAGE(OFFSET($H$3,0,0,'Données projet'!$E$9+1,1))</f>
        <v>490.57849401500789</v>
      </c>
      <c r="T176" s="59">
        <f t="shared" si="142"/>
        <v>221.7570623669753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176.7271143767222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176.7271143767222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7.0666666666666673</v>
      </c>
      <c r="AI176" s="13">
        <f>IF('Données projet'!$A$62&gt;35,AI175+AH176-AQ175,IF(A176&lt;'Données projet'!$A$62,$AF$205^A176,IF(A176='Données projet'!$A$62,'Données projet'!$B$62,AI175+AH176-AQ175)))</f>
        <v>407.07333333333258</v>
      </c>
      <c r="AJ176" s="13">
        <f>AI176*VLOOKUP('Données projet'!$B$10,Paramètres!$A$1:$I$89,3,0)*VLOOKUP('Données projet'!$B$10,Paramètres!$A$1:$I$89,5,0)</f>
        <v>273.0647919999995</v>
      </c>
      <c r="AK176" s="13">
        <f t="shared" si="164"/>
        <v>65.499267611664052</v>
      </c>
      <c r="AL176" s="20">
        <f t="shared" si="165"/>
        <v>589.66573715698064</v>
      </c>
      <c r="AM176" s="59">
        <f t="shared" si="113"/>
        <v>881.00106163405076</v>
      </c>
      <c r="AN176" s="59">
        <f ca="1">AVERAGE(OFFSET($AM$3,0,0,'Données projet'!$E$10+1,1))-AVERAGE(OFFSET($H$3,0,0,'Données projet'!$E$10+1,1))</f>
        <v>377.00534440335832</v>
      </c>
      <c r="AO176" s="59">
        <f t="shared" si="144"/>
        <v>131.56029120000656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85.748767202365642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85.748767202365642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212.00000000000009</v>
      </c>
      <c r="BE176" s="13">
        <f>BD176*VLOOKUP('Données projet'!$B$11,Paramètres!$A$1:$I$89,3,0)*VLOOKUP('Données projet'!$B$11,Paramètres!$A$1:$I$89,5,0)</f>
        <v>185.20320000000009</v>
      </c>
      <c r="BF176" s="13">
        <f t="shared" si="167"/>
        <v>46.477875402099386</v>
      </c>
      <c r="BG176" s="20">
        <f t="shared" si="168"/>
        <v>403.5112063253232</v>
      </c>
      <c r="BH176" s="59">
        <f t="shared" si="116"/>
        <v>694.84653080239332</v>
      </c>
      <c r="BI176" s="59">
        <f ca="1">AVERAGE(OFFSET($BH$3,0,0,'Données projet'!$E$11+1,1))-AVERAGE(OFFSET($H$3,0,0,'Données projet'!$E$11+1,1))</f>
        <v>314.1123649635374</v>
      </c>
      <c r="BJ176" s="59">
        <f t="shared" si="146"/>
        <v>274.92342227914889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10.316568809569937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10.316568809569937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212.42519999999985</v>
      </c>
      <c r="CA176" s="13">
        <f t="shared" si="170"/>
        <v>52.465198231787184</v>
      </c>
      <c r="CB176" s="20">
        <f t="shared" si="171"/>
        <v>461.35077692036231</v>
      </c>
      <c r="CC176" s="59">
        <f t="shared" si="119"/>
        <v>752.68610139743248</v>
      </c>
      <c r="CD176" s="59">
        <f ca="1">AVERAGE(OFFSET($CC$3,0,0,'Données projet'!$E$12+1,1))-AVERAGE(OFFSET($H$3,0,0,'Données projet'!$E$12+1,1))</f>
        <v>309.86296291630748</v>
      </c>
      <c r="CE176" s="59">
        <f t="shared" si="148"/>
        <v>301.17633325088661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6.8782457086851796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6.8782457086851796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404.00000000000017</v>
      </c>
      <c r="CU176" s="17">
        <f>CT176*VLOOKUP('Données projet'!$B$13,Paramètres!$A$1:$I$89,3,0)*VLOOKUP('Données projet'!$B$13,Paramètres!$A$1:$I$89,5,0)</f>
        <v>346.63200000000018</v>
      </c>
      <c r="CV176" s="13">
        <f t="shared" si="173"/>
        <v>80.868615263336864</v>
      </c>
      <c r="CW176" s="20">
        <f t="shared" si="174"/>
        <v>744.56357158364528</v>
      </c>
      <c r="CX176" s="59">
        <f t="shared" si="122"/>
        <v>1035.8988960607155</v>
      </c>
      <c r="CY176" s="59">
        <f ca="1">AVERAGE(OFFSET($CX$3,0,0,'Données projet'!$E$13+1,1))-AVERAGE(OFFSET($H$3,0,0,'Données projet'!$E$13+1,1))</f>
        <v>462.66388549889928</v>
      </c>
      <c r="CZ176" s="59">
        <f t="shared" si="150"/>
        <v>265.3725203415089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34.991471477220671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34.991471477220671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210.25641030000014</v>
      </c>
      <c r="DP176" s="17">
        <f>DO176*VLOOKUP('Données projet'!$B$14,Paramètres!$A$1:$I$89,3,0)*VLOOKUP('Données projet'!$B$14,Paramètres!$A$1:$I$89,5,0)</f>
        <v>164.00000003400012</v>
      </c>
      <c r="DQ176" s="13">
        <f t="shared" si="176"/>
        <v>41.743425916009095</v>
      </c>
      <c r="DR176" s="20">
        <f t="shared" si="177"/>
        <v>358.3364668629327</v>
      </c>
      <c r="DS176" s="59">
        <f t="shared" si="125"/>
        <v>649.67179134000287</v>
      </c>
      <c r="DT176" s="59">
        <f ca="1">AVERAGE(OFFSET($DS$3,0,0,'Données projet'!$E$14+1,1))-AVERAGE(OFFSET($H$3,0,0,'Données projet'!$E$14+1,1))</f>
        <v>206.5241977687125</v>
      </c>
      <c r="DU176" s="59">
        <f t="shared" si="152"/>
        <v>205.25001043771269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4.117618786297677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4.117618786297677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155.99999999999991</v>
      </c>
      <c r="EK176" s="17">
        <f>EJ176*VLOOKUP('Données projet'!$B$15,Paramètres!$A$1:$I$89,3,0)*VLOOKUP('Données projet'!$B$15,Paramètres!$A$1:$I$89,5,0)</f>
        <v>136.28159999999994</v>
      </c>
      <c r="EL176" s="13">
        <f t="shared" si="179"/>
        <v>35.443842312892279</v>
      </c>
      <c r="EM176" s="20">
        <f t="shared" si="180"/>
        <v>299.08847869495395</v>
      </c>
      <c r="EN176" s="59">
        <f t="shared" si="128"/>
        <v>590.42380317202412</v>
      </c>
      <c r="EO176" s="59">
        <f ca="1">AVERAGE(OFFSET($EN$3,0,0,'Données projet'!$E$15+1,1))-AVERAGE(OFFSET($H$3,0,0,'Données projet'!$E$15+1,1))</f>
        <v>205.83135724908942</v>
      </c>
      <c r="EP176" s="59">
        <f t="shared" si="154"/>
        <v>193.60053377311405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4.1004994575662801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4.1004994575662801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204.00000000000017</v>
      </c>
      <c r="FF176" s="17">
        <f>FE176*VLOOKUP('Données projet'!$B$16,Paramètres!$A$1:$I$89,3,0)*VLOOKUP('Données projet'!$B$16,Paramètres!$A$1:$I$89,5,0)</f>
        <v>133.66080000000011</v>
      </c>
      <c r="FG176" s="13">
        <f t="shared" si="182"/>
        <v>34.840890682716783</v>
      </c>
      <c r="FH176" s="20">
        <f t="shared" si="183"/>
        <v>293.4737779390652</v>
      </c>
      <c r="FI176" s="59">
        <f t="shared" si="131"/>
        <v>584.80910241613537</v>
      </c>
      <c r="FJ176" s="59">
        <f ca="1">AVERAGE(OFFSET($FI$3,0,0,'Données projet'!$E$16+1,1))-AVERAGE(OFFSET($H$3,0,0,'Données projet'!$E$16+1,1))</f>
        <v>242.76791261317206</v>
      </c>
      <c r="FK176" s="59">
        <f t="shared" si="156"/>
        <v>244.28580264867682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7.6166965051795863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7.6166965051795863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18.829999999999643</v>
      </c>
      <c r="GA176" s="17">
        <f>FZ176*VLOOKUP('Données projet'!$B$17,Paramètres!$A$1:$I$89,3,0)*VLOOKUP('Données projet'!$B$17,Paramètres!$A$1:$I$89,5,0)</f>
        <v>17.918627999999661</v>
      </c>
      <c r="GB176" s="13">
        <f t="shared" si="185"/>
        <v>5.9016322671185755</v>
      </c>
      <c r="GC176" s="20">
        <f t="shared" si="186"/>
        <v>41.486953298564259</v>
      </c>
      <c r="GD176" s="59">
        <f t="shared" si="134"/>
        <v>332.82227777563446</v>
      </c>
      <c r="GE176" s="59">
        <f ca="1">AVERAGE(OFFSET($GD$3,0,0,'Données projet'!$E$17+1,1))-AVERAGE(OFFSET($H$3,0,0,'Données projet'!$E$17+1,1))</f>
        <v>512.71941256120977</v>
      </c>
      <c r="GF176" s="59">
        <f t="shared" si="158"/>
        <v>230.65031527019354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185.86817201689757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185.86817201689757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69.455088493746402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-5.6843418860808015E-14</v>
      </c>
      <c r="GV176" s="17">
        <f>GU176*VLOOKUP('Données projet'!$B$18,Paramètres!$A$1:$I$89,3,0)*VLOOKUP('Données projet'!$B$18,Paramètres!$A$1:$I$89,5,0)</f>
        <v>-2.5006556825246661E-14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180.68917161146683</v>
      </c>
      <c r="HA176" s="59">
        <f t="shared" si="160"/>
        <v>344.42126252322419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3.7660016222464749</v>
      </c>
      <c r="HH176" s="21">
        <f>EXP(-LN(2)/25)*HH175+(1-EXP(-LN(2)/25))/(LN(2)/25)*Calculateur!HC176*Calculateur!HE176*VLOOKUP('Données projet'!$B$18,Paramètres!$A$1:$I$89,3,0)*0.475*44/12</f>
        <v>0.31425676524301227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4.0802583874894873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2.25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8.25</v>
      </c>
      <c r="H177" s="66">
        <f t="shared" si="110"/>
        <v>223.66666666666666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18.829999999999643</v>
      </c>
      <c r="O177" s="13">
        <f>N177*VLOOKUP('Données projet'!$B$9,Paramètres!$A$1:$I$89,3,0)*VLOOKUP('Données projet'!$B$9,Paramètres!$A$1:$I$89,5,0)</f>
        <v>17.037383999999676</v>
      </c>
      <c r="P177" s="13">
        <f t="shared" si="141"/>
        <v>5.644424624466958</v>
      </c>
      <c r="Q177" s="20">
        <f t="shared" si="162"/>
        <v>39.504150020946049</v>
      </c>
      <c r="R177" s="59">
        <f t="shared" si="109"/>
        <v>330.87413548479373</v>
      </c>
      <c r="S177" s="59">
        <f ca="1">AVERAGE(OFFSET($R$3,0,0,'Données projet'!$E$9+1,1))-AVERAGE(OFFSET($H$3,0,0,'Données projet'!$E$9+1,1))</f>
        <v>490.57849401500789</v>
      </c>
      <c r="T177" s="59">
        <f t="shared" si="142"/>
        <v>221.7570623669753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173.26160345669078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173.26160345669078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7.0666666666666673</v>
      </c>
      <c r="AI177" s="13">
        <f>IF('Données projet'!$A$62&gt;35,AI176+AH177-AQ176,IF(A177&lt;'Données projet'!$A$62,$AF$205^A177,IF(A177='Données projet'!$A$62,'Données projet'!$B$62,AI176+AH177-AQ176)))</f>
        <v>414.13999999999925</v>
      </c>
      <c r="AJ177" s="13">
        <f>AI177*VLOOKUP('Données projet'!$B$10,Paramètres!$A$1:$I$89,3,0)*VLOOKUP('Données projet'!$B$10,Paramètres!$A$1:$I$89,5,0)</f>
        <v>277.8051119999995</v>
      </c>
      <c r="AK177" s="13">
        <f t="shared" si="164"/>
        <v>66.502953715383811</v>
      </c>
      <c r="AL177" s="20">
        <f t="shared" si="165"/>
        <v>599.66988112095919</v>
      </c>
      <c r="AM177" s="59">
        <f t="shared" si="113"/>
        <v>891.03986658480687</v>
      </c>
      <c r="AN177" s="59">
        <f ca="1">AVERAGE(OFFSET($AM$3,0,0,'Données projet'!$E$10+1,1))-AVERAGE(OFFSET($H$3,0,0,'Données projet'!$E$10+1,1))</f>
        <v>377.00534440335832</v>
      </c>
      <c r="AO177" s="59">
        <f t="shared" si="144"/>
        <v>131.56029120000656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84.067286179110894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84.067286179110894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212.00000000000009</v>
      </c>
      <c r="BE177" s="13">
        <f>BD177*VLOOKUP('Données projet'!$B$11,Paramètres!$A$1:$I$89,3,0)*VLOOKUP('Données projet'!$B$11,Paramètres!$A$1:$I$89,5,0)</f>
        <v>185.20320000000009</v>
      </c>
      <c r="BF177" s="13">
        <f t="shared" si="167"/>
        <v>46.477875402099386</v>
      </c>
      <c r="BG177" s="20">
        <f t="shared" si="168"/>
        <v>403.5112063253232</v>
      </c>
      <c r="BH177" s="59">
        <f t="shared" si="116"/>
        <v>694.88119178917088</v>
      </c>
      <c r="BI177" s="59">
        <f ca="1">AVERAGE(OFFSET($BH$3,0,0,'Données projet'!$E$11+1,1))-AVERAGE(OFFSET($H$3,0,0,'Données projet'!$E$11+1,1))</f>
        <v>314.1123649635374</v>
      </c>
      <c r="BJ177" s="59">
        <f t="shared" si="146"/>
        <v>274.92342227914889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10.114267187699912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10.114267187699912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212.42519999999985</v>
      </c>
      <c r="CA177" s="13">
        <f t="shared" si="170"/>
        <v>52.465198231787184</v>
      </c>
      <c r="CB177" s="20">
        <f t="shared" si="171"/>
        <v>461.35077692036231</v>
      </c>
      <c r="CC177" s="59">
        <f t="shared" si="119"/>
        <v>752.72076238421005</v>
      </c>
      <c r="CD177" s="59">
        <f ca="1">AVERAGE(OFFSET($CC$3,0,0,'Données projet'!$E$12+1,1))-AVERAGE(OFFSET($H$3,0,0,'Données projet'!$E$12+1,1))</f>
        <v>309.86296291630748</v>
      </c>
      <c r="CE177" s="59">
        <f t="shared" si="148"/>
        <v>301.17633325088661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6.7433675056534925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6.7433675056534925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404.00000000000017</v>
      </c>
      <c r="CU177" s="17">
        <f>CT177*VLOOKUP('Données projet'!$B$13,Paramètres!$A$1:$I$89,3,0)*VLOOKUP('Données projet'!$B$13,Paramètres!$A$1:$I$89,5,0)</f>
        <v>346.63200000000018</v>
      </c>
      <c r="CV177" s="13">
        <f t="shared" si="173"/>
        <v>80.868615263336864</v>
      </c>
      <c r="CW177" s="20">
        <f t="shared" si="174"/>
        <v>744.56357158364528</v>
      </c>
      <c r="CX177" s="59">
        <f t="shared" si="122"/>
        <v>1035.933557047493</v>
      </c>
      <c r="CY177" s="59">
        <f ca="1">AVERAGE(OFFSET($CX$3,0,0,'Données projet'!$E$13+1,1))-AVERAGE(OFFSET($H$3,0,0,'Données projet'!$E$13+1,1))</f>
        <v>462.66388549889928</v>
      </c>
      <c r="CZ177" s="59">
        <f t="shared" si="150"/>
        <v>265.3725203415089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34.305310064242562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34.305310064242562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210.25641030000014</v>
      </c>
      <c r="DP177" s="17">
        <f>DO177*VLOOKUP('Données projet'!$B$14,Paramètres!$A$1:$I$89,3,0)*VLOOKUP('Données projet'!$B$14,Paramètres!$A$1:$I$89,5,0)</f>
        <v>164.00000003400012</v>
      </c>
      <c r="DQ177" s="13">
        <f t="shared" si="176"/>
        <v>41.743425916009095</v>
      </c>
      <c r="DR177" s="20">
        <f t="shared" si="177"/>
        <v>358.3364668629327</v>
      </c>
      <c r="DS177" s="59">
        <f t="shared" si="125"/>
        <v>649.70645232678044</v>
      </c>
      <c r="DT177" s="59">
        <f ca="1">AVERAGE(OFFSET($DS$3,0,0,'Données projet'!$E$14+1,1))-AVERAGE(OFFSET($H$3,0,0,'Données projet'!$E$14+1,1))</f>
        <v>206.5241977687125</v>
      </c>
      <c r="DU177" s="59">
        <f t="shared" si="152"/>
        <v>205.25001043771269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4.0368747933978488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4.0368747933978488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155.99999999999991</v>
      </c>
      <c r="EK177" s="17">
        <f>EJ177*VLOOKUP('Données projet'!$B$15,Paramètres!$A$1:$I$89,3,0)*VLOOKUP('Données projet'!$B$15,Paramètres!$A$1:$I$89,5,0)</f>
        <v>136.28159999999994</v>
      </c>
      <c r="EL177" s="13">
        <f t="shared" si="179"/>
        <v>35.443842312892279</v>
      </c>
      <c r="EM177" s="20">
        <f t="shared" si="180"/>
        <v>299.08847869495395</v>
      </c>
      <c r="EN177" s="59">
        <f t="shared" si="128"/>
        <v>590.45846415880169</v>
      </c>
      <c r="EO177" s="59">
        <f ca="1">AVERAGE(OFFSET($EN$3,0,0,'Données projet'!$E$15+1,1))-AVERAGE(OFFSET($H$3,0,0,'Données projet'!$E$15+1,1))</f>
        <v>205.83135724908942</v>
      </c>
      <c r="EP177" s="59">
        <f t="shared" si="154"/>
        <v>193.60053377311405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4.0200911642611157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4.0200911642611157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204.00000000000017</v>
      </c>
      <c r="FF177" s="17">
        <f>FE177*VLOOKUP('Données projet'!$B$16,Paramètres!$A$1:$I$89,3,0)*VLOOKUP('Données projet'!$B$16,Paramètres!$A$1:$I$89,5,0)</f>
        <v>133.66080000000011</v>
      </c>
      <c r="FG177" s="13">
        <f t="shared" si="182"/>
        <v>34.840890682716783</v>
      </c>
      <c r="FH177" s="20">
        <f t="shared" si="183"/>
        <v>293.4737779390652</v>
      </c>
      <c r="FI177" s="59">
        <f t="shared" si="131"/>
        <v>584.84376340291283</v>
      </c>
      <c r="FJ177" s="59">
        <f ca="1">AVERAGE(OFFSET($FI$3,0,0,'Données projet'!$E$16+1,1))-AVERAGE(OFFSET($H$3,0,0,'Données projet'!$E$16+1,1))</f>
        <v>242.76791261317206</v>
      </c>
      <c r="FK177" s="59">
        <f t="shared" si="156"/>
        <v>244.28580264867682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7.4673377324391552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7.4673377324391552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18.829999999999643</v>
      </c>
      <c r="GA177" s="17">
        <f>FZ177*VLOOKUP('Données projet'!$B$17,Paramètres!$A$1:$I$89,3,0)*VLOOKUP('Données projet'!$B$17,Paramètres!$A$1:$I$89,5,0)</f>
        <v>17.918627999999661</v>
      </c>
      <c r="GB177" s="13">
        <f t="shared" si="185"/>
        <v>5.9016322671185755</v>
      </c>
      <c r="GC177" s="20">
        <f t="shared" si="186"/>
        <v>41.486953298564259</v>
      </c>
      <c r="GD177" s="59">
        <f t="shared" si="134"/>
        <v>332.85693876241191</v>
      </c>
      <c r="GE177" s="59">
        <f ca="1">AVERAGE(OFFSET($GD$3,0,0,'Données projet'!$E$17+1,1))-AVERAGE(OFFSET($H$3,0,0,'Données projet'!$E$17+1,1))</f>
        <v>512.71941256120977</v>
      </c>
      <c r="GF177" s="59">
        <f t="shared" si="158"/>
        <v>230.65031527019354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182.22341053203695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182.22341053203695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69.464541490140277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-5.6843418860808015E-14</v>
      </c>
      <c r="GV177" s="17">
        <f>GU177*VLOOKUP('Données projet'!$B$18,Paramètres!$A$1:$I$89,3,0)*VLOOKUP('Données projet'!$B$18,Paramètres!$A$1:$I$89,5,0)</f>
        <v>-2.5006556825246661E-14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180.68917161146683</v>
      </c>
      <c r="HA177" s="59">
        <f t="shared" si="160"/>
        <v>344.42126252322419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3.6921526274683978</v>
      </c>
      <c r="HH177" s="21">
        <f>EXP(-LN(2)/25)*HH176+(1-EXP(-LN(2)/25))/(LN(2)/25)*Calculateur!HC177*Calculateur!HE177*VLOOKUP('Données projet'!$B$18,Paramètres!$A$1:$I$89,3,0)*0.475*44/12</f>
        <v>0.30566339747139704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3.9978160249397949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2.25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8.25</v>
      </c>
      <c r="H178" s="66">
        <f t="shared" si="110"/>
        <v>223.66666666666666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18.829999999999643</v>
      </c>
      <c r="O178" s="13">
        <f>N178*VLOOKUP('Données projet'!$B$9,Paramètres!$A$1:$I$89,3,0)*VLOOKUP('Données projet'!$B$9,Paramètres!$A$1:$I$89,5,0)</f>
        <v>17.037383999999676</v>
      </c>
      <c r="P178" s="13">
        <f t="shared" si="141"/>
        <v>5.644424624466958</v>
      </c>
      <c r="Q178" s="20">
        <f t="shared" si="162"/>
        <v>39.504150020946049</v>
      </c>
      <c r="R178" s="59">
        <f t="shared" si="109"/>
        <v>330.90819518094111</v>
      </c>
      <c r="S178" s="59">
        <f ca="1">AVERAGE(OFFSET($R$3,0,0,'Données projet'!$E$9+1,1))-AVERAGE(OFFSET($H$3,0,0,'Données projet'!$E$9+1,1))</f>
        <v>490.57849401500789</v>
      </c>
      <c r="T178" s="59">
        <f t="shared" si="142"/>
        <v>221.7570623669753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169.86404909204822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169.86404909204822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7.0666666666666673</v>
      </c>
      <c r="AI178" s="13">
        <f>IF('Données projet'!$A$62&gt;35,AI177+AH178-AQ177,IF(A178&lt;'Données projet'!$A$62,$AF$205^A178,IF(A178='Données projet'!$A$62,'Données projet'!$B$62,AI177+AH178-AQ177)))</f>
        <v>421.20666666666591</v>
      </c>
      <c r="AJ178" s="13">
        <f>AI178*VLOOKUP('Données projet'!$B$10,Paramètres!$A$1:$I$89,3,0)*VLOOKUP('Données projet'!$B$10,Paramètres!$A$1:$I$89,5,0)</f>
        <v>282.54543199999949</v>
      </c>
      <c r="AK178" s="13">
        <f t="shared" si="164"/>
        <v>67.50464818581608</v>
      </c>
      <c r="AL178" s="20">
        <f t="shared" si="165"/>
        <v>609.6705563236286</v>
      </c>
      <c r="AM178" s="59">
        <f t="shared" si="113"/>
        <v>901.07460148362361</v>
      </c>
      <c r="AN178" s="59">
        <f ca="1">AVERAGE(OFFSET($AM$3,0,0,'Données projet'!$E$10+1,1))-AVERAGE(OFFSET($H$3,0,0,'Données projet'!$E$10+1,1))</f>
        <v>377.00534440335832</v>
      </c>
      <c r="AO178" s="59">
        <f t="shared" si="144"/>
        <v>131.56029120000656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82.418777973120015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82.418777973120015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212.00000000000009</v>
      </c>
      <c r="BE178" s="13">
        <f>BD178*VLOOKUP('Données projet'!$B$11,Paramètres!$A$1:$I$89,3,0)*VLOOKUP('Données projet'!$B$11,Paramètres!$A$1:$I$89,5,0)</f>
        <v>185.20320000000009</v>
      </c>
      <c r="BF178" s="13">
        <f t="shared" si="167"/>
        <v>46.477875402099386</v>
      </c>
      <c r="BG178" s="20">
        <f t="shared" si="168"/>
        <v>403.5112063253232</v>
      </c>
      <c r="BH178" s="59">
        <f t="shared" si="116"/>
        <v>694.91525148531832</v>
      </c>
      <c r="BI178" s="59">
        <f ca="1">AVERAGE(OFFSET($BH$3,0,0,'Données projet'!$E$11+1,1))-AVERAGE(OFFSET($H$3,0,0,'Données projet'!$E$11+1,1))</f>
        <v>314.1123649635374</v>
      </c>
      <c r="BJ178" s="59">
        <f t="shared" si="146"/>
        <v>274.92342227914889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9.9159325772429536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9.9159325772429536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212.42519999999985</v>
      </c>
      <c r="CA178" s="13">
        <f t="shared" si="170"/>
        <v>52.465198231787184</v>
      </c>
      <c r="CB178" s="20">
        <f t="shared" si="171"/>
        <v>461.35077692036231</v>
      </c>
      <c r="CC178" s="59">
        <f t="shared" si="119"/>
        <v>752.75482208035737</v>
      </c>
      <c r="CD178" s="59">
        <f ca="1">AVERAGE(OFFSET($CC$3,0,0,'Données projet'!$E$12+1,1))-AVERAGE(OFFSET($H$3,0,0,'Données projet'!$E$12+1,1))</f>
        <v>309.86296291630748</v>
      </c>
      <c r="CE178" s="59">
        <f t="shared" si="148"/>
        <v>301.17633325088661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6.6111341819156761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6.6111341819156761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404.00000000000017</v>
      </c>
      <c r="CU178" s="17">
        <f>CT178*VLOOKUP('Données projet'!$B$13,Paramètres!$A$1:$I$89,3,0)*VLOOKUP('Données projet'!$B$13,Paramètres!$A$1:$I$89,5,0)</f>
        <v>346.63200000000018</v>
      </c>
      <c r="CV178" s="13">
        <f t="shared" si="173"/>
        <v>80.868615263336864</v>
      </c>
      <c r="CW178" s="20">
        <f t="shared" si="174"/>
        <v>744.56357158364528</v>
      </c>
      <c r="CX178" s="59">
        <f t="shared" si="122"/>
        <v>1035.9676167436403</v>
      </c>
      <c r="CY178" s="59">
        <f ca="1">AVERAGE(OFFSET($CX$3,0,0,'Données projet'!$E$13+1,1))-AVERAGE(OFFSET($H$3,0,0,'Données projet'!$E$13+1,1))</f>
        <v>462.66388549889928</v>
      </c>
      <c r="CZ178" s="59">
        <f t="shared" si="150"/>
        <v>265.3725203415089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33.632603858055816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33.632603858055816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210.25641030000014</v>
      </c>
      <c r="DP178" s="17">
        <f>DO178*VLOOKUP('Données projet'!$B$14,Paramètres!$A$1:$I$89,3,0)*VLOOKUP('Données projet'!$B$14,Paramètres!$A$1:$I$89,5,0)</f>
        <v>164.00000003400012</v>
      </c>
      <c r="DQ178" s="13">
        <f t="shared" si="176"/>
        <v>41.743425916009095</v>
      </c>
      <c r="DR178" s="20">
        <f t="shared" si="177"/>
        <v>358.3364668629327</v>
      </c>
      <c r="DS178" s="59">
        <f t="shared" si="125"/>
        <v>649.74051202292776</v>
      </c>
      <c r="DT178" s="59">
        <f ca="1">AVERAGE(OFFSET($DS$3,0,0,'Données projet'!$E$14+1,1))-AVERAGE(OFFSET($H$3,0,0,'Données projet'!$E$14+1,1))</f>
        <v>206.5241977687125</v>
      </c>
      <c r="DU178" s="59">
        <f t="shared" si="152"/>
        <v>205.25001043771269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3.9577141409498138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3.9577141409498138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155.99999999999991</v>
      </c>
      <c r="EK178" s="17">
        <f>EJ178*VLOOKUP('Données projet'!$B$15,Paramètres!$A$1:$I$89,3,0)*VLOOKUP('Données projet'!$B$15,Paramètres!$A$1:$I$89,5,0)</f>
        <v>136.28159999999994</v>
      </c>
      <c r="EL178" s="13">
        <f t="shared" si="179"/>
        <v>35.443842312892279</v>
      </c>
      <c r="EM178" s="20">
        <f t="shared" si="180"/>
        <v>299.08847869495395</v>
      </c>
      <c r="EN178" s="59">
        <f t="shared" si="128"/>
        <v>590.49252385494901</v>
      </c>
      <c r="EO178" s="59">
        <f ca="1">AVERAGE(OFFSET($EN$3,0,0,'Données projet'!$E$15+1,1))-AVERAGE(OFFSET($H$3,0,0,'Données projet'!$E$15+1,1))</f>
        <v>205.83135724908942</v>
      </c>
      <c r="EP178" s="59">
        <f t="shared" si="154"/>
        <v>193.60053377311405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3.9412596285434494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3.9412596285434494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204.00000000000017</v>
      </c>
      <c r="FF178" s="17">
        <f>FE178*VLOOKUP('Données projet'!$B$16,Paramètres!$A$1:$I$89,3,0)*VLOOKUP('Données projet'!$B$16,Paramètres!$A$1:$I$89,5,0)</f>
        <v>133.66080000000011</v>
      </c>
      <c r="FG178" s="13">
        <f t="shared" si="182"/>
        <v>34.840890682716783</v>
      </c>
      <c r="FH178" s="20">
        <f t="shared" si="183"/>
        <v>293.4737779390652</v>
      </c>
      <c r="FI178" s="59">
        <f t="shared" si="131"/>
        <v>584.87782309906027</v>
      </c>
      <c r="FJ178" s="59">
        <f ca="1">AVERAGE(OFFSET($FI$3,0,0,'Données projet'!$E$16+1,1))-AVERAGE(OFFSET($H$3,0,0,'Données projet'!$E$16+1,1))</f>
        <v>242.76791261317206</v>
      </c>
      <c r="FK178" s="59">
        <f t="shared" si="156"/>
        <v>244.28580264867682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7.3209077941323084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7.3209077941323084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18.829999999999643</v>
      </c>
      <c r="GA178" s="17">
        <f>FZ178*VLOOKUP('Données projet'!$B$17,Paramètres!$A$1:$I$89,3,0)*VLOOKUP('Données projet'!$B$17,Paramètres!$A$1:$I$89,5,0)</f>
        <v>17.918627999999661</v>
      </c>
      <c r="GB178" s="13">
        <f t="shared" si="185"/>
        <v>5.9016322671185755</v>
      </c>
      <c r="GC178" s="20">
        <f t="shared" si="186"/>
        <v>41.486953298564259</v>
      </c>
      <c r="GD178" s="59">
        <f t="shared" si="134"/>
        <v>332.89099845855935</v>
      </c>
      <c r="GE178" s="59">
        <f ca="1">AVERAGE(OFFSET($GD$3,0,0,'Données projet'!$E$17+1,1))-AVERAGE(OFFSET($H$3,0,0,'Données projet'!$E$17+1,1))</f>
        <v>512.71941256120977</v>
      </c>
      <c r="GF178" s="59">
        <f t="shared" si="158"/>
        <v>230.65031527019354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178.65012059680944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178.65012059680944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69.473830498180462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-5.6843418860808015E-14</v>
      </c>
      <c r="GV178" s="17">
        <f>GU178*VLOOKUP('Données projet'!$B$18,Paramètres!$A$1:$I$89,3,0)*VLOOKUP('Données projet'!$B$18,Paramètres!$A$1:$I$89,5,0)</f>
        <v>-2.5006556825246661E-14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180.68917161146683</v>
      </c>
      <c r="HA178" s="59">
        <f t="shared" si="160"/>
        <v>344.42126252322419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3.6197517664344798</v>
      </c>
      <c r="HH178" s="21">
        <f>EXP(-LN(2)/25)*HH177+(1-EXP(-LN(2)/25))/(LN(2)/25)*Calculateur!HC178*Calculateur!HE178*VLOOKUP('Données projet'!$B$18,Paramètres!$A$1:$I$89,3,0)*0.475*44/12</f>
        <v>0.29730501579340224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3.9170567822278821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2.25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8.25</v>
      </c>
      <c r="H179" s="66">
        <f t="shared" si="110"/>
        <v>223.66666666666666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18.829999999999643</v>
      </c>
      <c r="O179" s="13">
        <f>N179*VLOOKUP('Données projet'!$B$9,Paramètres!$A$1:$I$89,3,0)*VLOOKUP('Données projet'!$B$9,Paramètres!$A$1:$I$89,5,0)</f>
        <v>17.037383999999676</v>
      </c>
      <c r="P179" s="13">
        <f t="shared" si="141"/>
        <v>5.644424624466958</v>
      </c>
      <c r="Q179" s="20">
        <f t="shared" si="162"/>
        <v>39.504150020946049</v>
      </c>
      <c r="R179" s="59">
        <f t="shared" si="109"/>
        <v>330.9416640175063</v>
      </c>
      <c r="S179" s="59">
        <f ca="1">AVERAGE(OFFSET($R$3,0,0,'Données projet'!$E$9+1,1))-AVERAGE(OFFSET($H$3,0,0,'Données projet'!$E$9+1,1))</f>
        <v>490.57849401500789</v>
      </c>
      <c r="T179" s="59">
        <f t="shared" si="142"/>
        <v>221.7570623669753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166.53311869619279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166.53311869619279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7.0666666666666673</v>
      </c>
      <c r="AI179" s="13">
        <f>IF('Données projet'!$A$62&gt;35,AI178+AH179-AQ178,IF(A179&lt;'Données projet'!$A$62,$AF$205^A179,IF(A179='Données projet'!$A$62,'Données projet'!$B$62,AI178+AH179-AQ178)))</f>
        <v>428.27333333333257</v>
      </c>
      <c r="AJ179" s="13">
        <f>AI179*VLOOKUP('Données projet'!$B$10,Paramètres!$A$1:$I$89,3,0)*VLOOKUP('Données projet'!$B$10,Paramètres!$A$1:$I$89,5,0)</f>
        <v>287.28575199999949</v>
      </c>
      <c r="AK179" s="13">
        <f t="shared" si="164"/>
        <v>68.504388293497314</v>
      </c>
      <c r="AL179" s="20">
        <f t="shared" si="165"/>
        <v>619.66782767784014</v>
      </c>
      <c r="AM179" s="59">
        <f t="shared" si="113"/>
        <v>911.10534167440039</v>
      </c>
      <c r="AN179" s="59">
        <f ca="1">AVERAGE(OFFSET($AM$3,0,0,'Données projet'!$E$10+1,1))-AVERAGE(OFFSET($H$3,0,0,'Données projet'!$E$10+1,1))</f>
        <v>377.00534440335832</v>
      </c>
      <c r="AO179" s="59">
        <f t="shared" si="144"/>
        <v>131.56029120000656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80.802596007557895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80.802596007557895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212.00000000000009</v>
      </c>
      <c r="BE179" s="13">
        <f>BD179*VLOOKUP('Données projet'!$B$11,Paramètres!$A$1:$I$89,3,0)*VLOOKUP('Données projet'!$B$11,Paramètres!$A$1:$I$89,5,0)</f>
        <v>185.20320000000009</v>
      </c>
      <c r="BF179" s="13">
        <f t="shared" si="167"/>
        <v>46.477875402099386</v>
      </c>
      <c r="BG179" s="20">
        <f t="shared" si="168"/>
        <v>403.5112063253232</v>
      </c>
      <c r="BH179" s="59">
        <f t="shared" si="116"/>
        <v>694.94872032188346</v>
      </c>
      <c r="BI179" s="59">
        <f ca="1">AVERAGE(OFFSET($BH$3,0,0,'Données projet'!$E$11+1,1))-AVERAGE(OFFSET($H$3,0,0,'Données projet'!$E$11+1,1))</f>
        <v>314.1123649635374</v>
      </c>
      <c r="BJ179" s="59">
        <f t="shared" si="146"/>
        <v>274.92342227914889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9.7214871875248896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9.7214871875248896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212.42519999999985</v>
      </c>
      <c r="CA179" s="13">
        <f t="shared" si="170"/>
        <v>52.465198231787184</v>
      </c>
      <c r="CB179" s="20">
        <f t="shared" si="171"/>
        <v>461.35077692036231</v>
      </c>
      <c r="CC179" s="59">
        <f t="shared" si="119"/>
        <v>752.78829091692251</v>
      </c>
      <c r="CD179" s="59">
        <f ca="1">AVERAGE(OFFSET($CC$3,0,0,'Données projet'!$E$12+1,1))-AVERAGE(OFFSET($H$3,0,0,'Données projet'!$E$12+1,1))</f>
        <v>309.86296291630748</v>
      </c>
      <c r="CE179" s="59">
        <f t="shared" si="148"/>
        <v>301.17633325088661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6.4814938730019946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6.4814938730019946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404.00000000000017</v>
      </c>
      <c r="CU179" s="17">
        <f>CT179*VLOOKUP('Données projet'!$B$13,Paramètres!$A$1:$I$89,3,0)*VLOOKUP('Données projet'!$B$13,Paramètres!$A$1:$I$89,5,0)</f>
        <v>346.63200000000018</v>
      </c>
      <c r="CV179" s="13">
        <f t="shared" si="173"/>
        <v>80.868615263336864</v>
      </c>
      <c r="CW179" s="20">
        <f t="shared" si="174"/>
        <v>744.56357158364528</v>
      </c>
      <c r="CX179" s="59">
        <f t="shared" si="122"/>
        <v>1036.0010855802057</v>
      </c>
      <c r="CY179" s="59">
        <f ca="1">AVERAGE(OFFSET($CX$3,0,0,'Données projet'!$E$13+1,1))-AVERAGE(OFFSET($H$3,0,0,'Données projet'!$E$13+1,1))</f>
        <v>462.66388549889928</v>
      </c>
      <c r="CZ179" s="59">
        <f t="shared" si="150"/>
        <v>265.3725203415089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32.973089010262122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32.973089010262122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210.25641030000014</v>
      </c>
      <c r="DP179" s="17">
        <f>DO179*VLOOKUP('Données projet'!$B$14,Paramètres!$A$1:$I$89,3,0)*VLOOKUP('Données projet'!$B$14,Paramètres!$A$1:$I$89,5,0)</f>
        <v>164.00000003400012</v>
      </c>
      <c r="DQ179" s="13">
        <f t="shared" si="176"/>
        <v>41.743425916009095</v>
      </c>
      <c r="DR179" s="20">
        <f t="shared" si="177"/>
        <v>358.3364668629327</v>
      </c>
      <c r="DS179" s="59">
        <f t="shared" si="125"/>
        <v>649.77398085949289</v>
      </c>
      <c r="DT179" s="59">
        <f ca="1">AVERAGE(OFFSET($DS$3,0,0,'Données projet'!$E$14+1,1))-AVERAGE(OFFSET($H$3,0,0,'Données projet'!$E$14+1,1))</f>
        <v>206.5241977687125</v>
      </c>
      <c r="DU179" s="59">
        <f t="shared" si="152"/>
        <v>205.25001043771269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3.8801057806130546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3.8801057806130546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155.99999999999991</v>
      </c>
      <c r="EK179" s="17">
        <f>EJ179*VLOOKUP('Données projet'!$B$15,Paramètres!$A$1:$I$89,3,0)*VLOOKUP('Données projet'!$B$15,Paramètres!$A$1:$I$89,5,0)</f>
        <v>136.28159999999994</v>
      </c>
      <c r="EL179" s="13">
        <f t="shared" si="179"/>
        <v>35.443842312892279</v>
      </c>
      <c r="EM179" s="20">
        <f t="shared" si="180"/>
        <v>299.08847869495395</v>
      </c>
      <c r="EN179" s="59">
        <f t="shared" si="128"/>
        <v>590.52599269151415</v>
      </c>
      <c r="EO179" s="59">
        <f ca="1">AVERAGE(OFFSET($EN$3,0,0,'Données projet'!$E$15+1,1))-AVERAGE(OFFSET($H$3,0,0,'Données projet'!$E$15+1,1))</f>
        <v>205.83135724908942</v>
      </c>
      <c r="EP179" s="59">
        <f t="shared" si="154"/>
        <v>193.60053377311405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3.8639739311587173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3.8639739311587173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204.00000000000017</v>
      </c>
      <c r="FF179" s="17">
        <f>FE179*VLOOKUP('Données projet'!$B$16,Paramètres!$A$1:$I$89,3,0)*VLOOKUP('Données projet'!$B$16,Paramètres!$A$1:$I$89,5,0)</f>
        <v>133.66080000000011</v>
      </c>
      <c r="FG179" s="13">
        <f t="shared" si="182"/>
        <v>34.840890682716783</v>
      </c>
      <c r="FH179" s="20">
        <f t="shared" si="183"/>
        <v>293.4737779390652</v>
      </c>
      <c r="FI179" s="59">
        <f t="shared" si="131"/>
        <v>584.91129193562551</v>
      </c>
      <c r="FJ179" s="59">
        <f ca="1">AVERAGE(OFFSET($FI$3,0,0,'Données projet'!$E$16+1,1))-AVERAGE(OFFSET($H$3,0,0,'Données projet'!$E$16+1,1))</f>
        <v>242.76791261317206</v>
      </c>
      <c r="FK179" s="59">
        <f t="shared" si="156"/>
        <v>244.28580264867682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7.1773492576022155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7.1773492576022155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18.829999999999643</v>
      </c>
      <c r="GA179" s="17">
        <f>FZ179*VLOOKUP('Données projet'!$B$17,Paramètres!$A$1:$I$89,3,0)*VLOOKUP('Données projet'!$B$17,Paramètres!$A$1:$I$89,5,0)</f>
        <v>17.918627999999661</v>
      </c>
      <c r="GB179" s="13">
        <f t="shared" si="185"/>
        <v>5.9016322671185755</v>
      </c>
      <c r="GC179" s="20">
        <f t="shared" si="186"/>
        <v>41.486953298564259</v>
      </c>
      <c r="GD179" s="59">
        <f t="shared" si="134"/>
        <v>332.92446729512449</v>
      </c>
      <c r="GE179" s="59">
        <f ca="1">AVERAGE(OFFSET($GD$3,0,0,'Données projet'!$E$17+1,1))-AVERAGE(OFFSET($H$3,0,0,'Données projet'!$E$17+1,1))</f>
        <v>512.71941256120977</v>
      </c>
      <c r="GF179" s="59">
        <f t="shared" si="158"/>
        <v>230.65031527019354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175.1469006977201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175.1469006977201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69.482958362698255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-5.6843418860808015E-14</v>
      </c>
      <c r="GV179" s="17">
        <f>GU179*VLOOKUP('Données projet'!$B$18,Paramètres!$A$1:$I$89,3,0)*VLOOKUP('Données projet'!$B$18,Paramètres!$A$1:$I$89,5,0)</f>
        <v>-2.5006556825246661E-14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180.68917161146683</v>
      </c>
      <c r="HA179" s="59">
        <f t="shared" si="160"/>
        <v>344.42126252322419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3.5487706421252718</v>
      </c>
      <c r="HH179" s="21">
        <f>EXP(-LN(2)/25)*HH178+(1-EXP(-LN(2)/25))/(LN(2)/25)*Calculateur!HC179*Calculateur!HE179*VLOOKUP('Données projet'!$B$18,Paramètres!$A$1:$I$89,3,0)*0.475*44/12</f>
        <v>0.28917519450194035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3.8379458366272123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2.25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8.25</v>
      </c>
      <c r="H180" s="66">
        <f t="shared" si="110"/>
        <v>223.66666666666666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18.829999999999643</v>
      </c>
      <c r="O180" s="13">
        <f>N180*VLOOKUP('Données projet'!$B$9,Paramètres!$A$1:$I$89,3,0)*VLOOKUP('Données projet'!$B$9,Paramètres!$A$1:$I$89,5,0)</f>
        <v>17.037383999999676</v>
      </c>
      <c r="P180" s="13">
        <f t="shared" si="141"/>
        <v>5.644424624466958</v>
      </c>
      <c r="Q180" s="20">
        <f t="shared" si="162"/>
        <v>39.504150020946049</v>
      </c>
      <c r="R180" s="59">
        <f t="shared" si="109"/>
        <v>330.97455224458224</v>
      </c>
      <c r="S180" s="59">
        <f ca="1">AVERAGE(OFFSET($R$3,0,0,'Données projet'!$E$9+1,1))-AVERAGE(OFFSET($H$3,0,0,'Données projet'!$E$9+1,1))</f>
        <v>490.57849401500789</v>
      </c>
      <c r="T180" s="59">
        <f t="shared" si="142"/>
        <v>221.7570623669753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163.26750581373312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163.26750581373312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7.0666666666666673</v>
      </c>
      <c r="AI180" s="13">
        <f>IF('Données projet'!$A$62&gt;35,AI179+AH180-AQ179,IF(A180&lt;'Données projet'!$A$62,$AF$205^A180,IF(A180='Données projet'!$A$62,'Données projet'!$B$62,AI179+AH180-AQ179)))</f>
        <v>435.33999999999924</v>
      </c>
      <c r="AJ180" s="13">
        <f>AI180*VLOOKUP('Données projet'!$B$10,Paramètres!$A$1:$I$89,3,0)*VLOOKUP('Données projet'!$B$10,Paramètres!$A$1:$I$89,5,0)</f>
        <v>292.02607199999949</v>
      </c>
      <c r="AK180" s="13">
        <f t="shared" si="164"/>
        <v>69.502210008498224</v>
      </c>
      <c r="AL180" s="20">
        <f t="shared" si="165"/>
        <v>629.66175783146684</v>
      </c>
      <c r="AM180" s="59">
        <f t="shared" si="113"/>
        <v>921.13216005510299</v>
      </c>
      <c r="AN180" s="59">
        <f ca="1">AVERAGE(OFFSET($AM$3,0,0,'Données projet'!$E$10+1,1))-AVERAGE(OFFSET($H$3,0,0,'Données projet'!$E$10+1,1))</f>
        <v>377.00534440335832</v>
      </c>
      <c r="AO180" s="59">
        <f t="shared" si="144"/>
        <v>131.56029120000656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79.218106384566781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79.218106384566781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212.00000000000009</v>
      </c>
      <c r="BE180" s="13">
        <f>BD180*VLOOKUP('Données projet'!$B$11,Paramètres!$A$1:$I$89,3,0)*VLOOKUP('Données projet'!$B$11,Paramètres!$A$1:$I$89,5,0)</f>
        <v>185.20320000000009</v>
      </c>
      <c r="BF180" s="13">
        <f t="shared" si="167"/>
        <v>46.477875402099386</v>
      </c>
      <c r="BG180" s="20">
        <f t="shared" si="168"/>
        <v>403.5112063253232</v>
      </c>
      <c r="BH180" s="59">
        <f t="shared" si="116"/>
        <v>694.98160854895946</v>
      </c>
      <c r="BI180" s="59">
        <f ca="1">AVERAGE(OFFSET($BH$3,0,0,'Données projet'!$E$11+1,1))-AVERAGE(OFFSET($H$3,0,0,'Données projet'!$E$11+1,1))</f>
        <v>314.1123649635374</v>
      </c>
      <c r="BJ180" s="59">
        <f t="shared" si="146"/>
        <v>274.92342227914889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9.5308547532992201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9.5308547532992201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212.42519999999985</v>
      </c>
      <c r="CA180" s="13">
        <f t="shared" si="170"/>
        <v>52.465198231787184</v>
      </c>
      <c r="CB180" s="20">
        <f t="shared" si="171"/>
        <v>461.35077692036231</v>
      </c>
      <c r="CC180" s="59">
        <f t="shared" si="119"/>
        <v>752.82117914399851</v>
      </c>
      <c r="CD180" s="59">
        <f ca="1">AVERAGE(OFFSET($CC$3,0,0,'Données projet'!$E$12+1,1))-AVERAGE(OFFSET($H$3,0,0,'Données projet'!$E$12+1,1))</f>
        <v>309.86296291630748</v>
      </c>
      <c r="CE180" s="59">
        <f t="shared" si="148"/>
        <v>301.17633325088661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6.3543957314733301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6.3543957314733301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404.00000000000017</v>
      </c>
      <c r="CU180" s="17">
        <f>CT180*VLOOKUP('Données projet'!$B$13,Paramètres!$A$1:$I$89,3,0)*VLOOKUP('Données projet'!$B$13,Paramètres!$A$1:$I$89,5,0)</f>
        <v>346.63200000000018</v>
      </c>
      <c r="CV180" s="13">
        <f t="shared" si="173"/>
        <v>80.868615263336864</v>
      </c>
      <c r="CW180" s="20">
        <f t="shared" si="174"/>
        <v>744.56357158364528</v>
      </c>
      <c r="CX180" s="59">
        <f t="shared" si="122"/>
        <v>1036.0339738072814</v>
      </c>
      <c r="CY180" s="59">
        <f ca="1">AVERAGE(OFFSET($CX$3,0,0,'Données projet'!$E$13+1,1))-AVERAGE(OFFSET($H$3,0,0,'Données projet'!$E$13+1,1))</f>
        <v>462.66388549889928</v>
      </c>
      <c r="CZ180" s="59">
        <f t="shared" si="150"/>
        <v>265.3725203415089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32.32650684636932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32.32650684636932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210.25641030000014</v>
      </c>
      <c r="DP180" s="17">
        <f>DO180*VLOOKUP('Données projet'!$B$14,Paramètres!$A$1:$I$89,3,0)*VLOOKUP('Données projet'!$B$14,Paramètres!$A$1:$I$89,5,0)</f>
        <v>164.00000003400012</v>
      </c>
      <c r="DQ180" s="13">
        <f t="shared" si="176"/>
        <v>41.743425916009095</v>
      </c>
      <c r="DR180" s="20">
        <f t="shared" si="177"/>
        <v>358.3364668629327</v>
      </c>
      <c r="DS180" s="59">
        <f t="shared" si="125"/>
        <v>649.80686908656889</v>
      </c>
      <c r="DT180" s="59">
        <f ca="1">AVERAGE(OFFSET($DS$3,0,0,'Données projet'!$E$14+1,1))-AVERAGE(OFFSET($H$3,0,0,'Données projet'!$E$14+1,1))</f>
        <v>206.5241977687125</v>
      </c>
      <c r="DU180" s="59">
        <f t="shared" si="152"/>
        <v>205.25001043771269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3.8040192728860736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3.8040192728860736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155.99999999999991</v>
      </c>
      <c r="EK180" s="17">
        <f>EJ180*VLOOKUP('Données projet'!$B$15,Paramètres!$A$1:$I$89,3,0)*VLOOKUP('Données projet'!$B$15,Paramètres!$A$1:$I$89,5,0)</f>
        <v>136.28159999999994</v>
      </c>
      <c r="EL180" s="13">
        <f t="shared" si="179"/>
        <v>35.443842312892279</v>
      </c>
      <c r="EM180" s="20">
        <f t="shared" si="180"/>
        <v>299.08847869495395</v>
      </c>
      <c r="EN180" s="59">
        <f t="shared" si="128"/>
        <v>590.55888091859015</v>
      </c>
      <c r="EO180" s="59">
        <f ca="1">AVERAGE(OFFSET($EN$3,0,0,'Données projet'!$E$15+1,1))-AVERAGE(OFFSET($H$3,0,0,'Données projet'!$E$15+1,1))</f>
        <v>205.83135724908942</v>
      </c>
      <c r="EP180" s="59">
        <f t="shared" si="154"/>
        <v>193.60053377311405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3.788203759160079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3.788203759160079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204.00000000000017</v>
      </c>
      <c r="FF180" s="17">
        <f>FE180*VLOOKUP('Données projet'!$B$16,Paramètres!$A$1:$I$89,3,0)*VLOOKUP('Données projet'!$B$16,Paramètres!$A$1:$I$89,5,0)</f>
        <v>133.66080000000011</v>
      </c>
      <c r="FG180" s="13">
        <f t="shared" si="182"/>
        <v>34.840890682716783</v>
      </c>
      <c r="FH180" s="20">
        <f t="shared" si="183"/>
        <v>293.4737779390652</v>
      </c>
      <c r="FI180" s="59">
        <f t="shared" si="131"/>
        <v>584.9441801627014</v>
      </c>
      <c r="FJ180" s="59">
        <f ca="1">AVERAGE(OFFSET($FI$3,0,0,'Données projet'!$E$16+1,1))-AVERAGE(OFFSET($H$3,0,0,'Données projet'!$E$16+1,1))</f>
        <v>242.76791261317206</v>
      </c>
      <c r="FK180" s="59">
        <f t="shared" si="156"/>
        <v>244.28580264867682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7.0366058164114165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7.0366058164114165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18.829999999999643</v>
      </c>
      <c r="GA180" s="17">
        <f>FZ180*VLOOKUP('Données projet'!$B$17,Paramètres!$A$1:$I$89,3,0)*VLOOKUP('Données projet'!$B$17,Paramètres!$A$1:$I$89,5,0)</f>
        <v>17.918627999999661</v>
      </c>
      <c r="GB180" s="13">
        <f t="shared" si="185"/>
        <v>5.9016322671185755</v>
      </c>
      <c r="GC180" s="20">
        <f t="shared" si="186"/>
        <v>41.486953298564259</v>
      </c>
      <c r="GD180" s="59">
        <f t="shared" si="134"/>
        <v>332.95735552220049</v>
      </c>
      <c r="GE180" s="59">
        <f ca="1">AVERAGE(OFFSET($GD$3,0,0,'Données projet'!$E$17+1,1))-AVERAGE(OFFSET($H$3,0,0,'Données projet'!$E$17+1,1))</f>
        <v>512.71941256120977</v>
      </c>
      <c r="GF180" s="59">
        <f t="shared" si="158"/>
        <v>230.65031527019354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171.71237680409874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171.71237680409874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69.491927879173517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-5.6843418860808015E-14</v>
      </c>
      <c r="GV180" s="17">
        <f>GU180*VLOOKUP('Données projet'!$B$18,Paramètres!$A$1:$I$89,3,0)*VLOOKUP('Données projet'!$B$18,Paramètres!$A$1:$I$89,5,0)</f>
        <v>-2.5006556825246661E-14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180.68917161146683</v>
      </c>
      <c r="HA180" s="59">
        <f t="shared" si="160"/>
        <v>344.42126252322419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3.4791814143695565</v>
      </c>
      <c r="HH180" s="21">
        <f>EXP(-LN(2)/25)*HH179+(1-EXP(-LN(2)/25))/(LN(2)/25)*Calculateur!HC180*Calculateur!HE180*VLOOKUP('Données projet'!$B$18,Paramètres!$A$1:$I$89,3,0)*0.475*44/12</f>
        <v>0.28126768360122223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3.7604490979707785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2.25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8.25</v>
      </c>
      <c r="H181" s="66">
        <f t="shared" si="110"/>
        <v>223.66666666666666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18.829999999999643</v>
      </c>
      <c r="O181" s="13">
        <f>N181*VLOOKUP('Données projet'!$B$9,Paramètres!$A$1:$I$89,3,0)*VLOOKUP('Données projet'!$B$9,Paramètres!$A$1:$I$89,5,0)</f>
        <v>17.037383999999676</v>
      </c>
      <c r="P181" s="13">
        <f t="shared" si="141"/>
        <v>5.644424624466958</v>
      </c>
      <c r="Q181" s="20">
        <f t="shared" si="162"/>
        <v>39.504150020946049</v>
      </c>
      <c r="R181" s="59">
        <f t="shared" si="109"/>
        <v>331.00686993444549</v>
      </c>
      <c r="S181" s="59">
        <f ca="1">AVERAGE(OFFSET($R$3,0,0,'Données projet'!$E$9+1,1))-AVERAGE(OFFSET($H$3,0,0,'Données projet'!$E$9+1,1))</f>
        <v>490.57849401500789</v>
      </c>
      <c r="T181" s="59">
        <f t="shared" si="142"/>
        <v>221.7570623669753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160.06592960807131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160.06592960807131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7.0666666666666673</v>
      </c>
      <c r="AI181" s="13">
        <f>IF('Données projet'!$A$62&gt;35,AI180+AH181-AQ180,IF(A181&lt;'Données projet'!$A$62,$AF$205^A181,IF(A181='Données projet'!$A$62,'Données projet'!$B$62,AI180+AH181-AQ180)))</f>
        <v>442.4066666666659</v>
      </c>
      <c r="AJ181" s="13">
        <f>AI181*VLOOKUP('Données projet'!$B$10,Paramètres!$A$1:$I$89,3,0)*VLOOKUP('Données projet'!$B$10,Paramètres!$A$1:$I$89,5,0)</f>
        <v>296.76639199999948</v>
      </c>
      <c r="AK181" s="13">
        <f t="shared" si="164"/>
        <v>70.49814806615997</v>
      </c>
      <c r="AL181" s="20">
        <f t="shared" si="165"/>
        <v>639.65240728189428</v>
      </c>
      <c r="AM181" s="59">
        <f t="shared" si="113"/>
        <v>931.15512719539379</v>
      </c>
      <c r="AN181" s="59">
        <f ca="1">AVERAGE(OFFSET($AM$3,0,0,'Données projet'!$E$10+1,1))-AVERAGE(OFFSET($H$3,0,0,'Données projet'!$E$10+1,1))</f>
        <v>377.00534440335832</v>
      </c>
      <c r="AO181" s="59">
        <f t="shared" si="144"/>
        <v>131.56029120000656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77.664687636639286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77.664687636639286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212.00000000000009</v>
      </c>
      <c r="BE181" s="13">
        <f>BD181*VLOOKUP('Données projet'!$B$11,Paramètres!$A$1:$I$89,3,0)*VLOOKUP('Données projet'!$B$11,Paramètres!$A$1:$I$89,5,0)</f>
        <v>185.20320000000009</v>
      </c>
      <c r="BF181" s="13">
        <f t="shared" si="167"/>
        <v>46.477875402099386</v>
      </c>
      <c r="BG181" s="20">
        <f t="shared" si="168"/>
        <v>403.5112063253232</v>
      </c>
      <c r="BH181" s="59">
        <f t="shared" si="116"/>
        <v>695.01392623882271</v>
      </c>
      <c r="BI181" s="59">
        <f ca="1">AVERAGE(OFFSET($BH$3,0,0,'Données projet'!$E$11+1,1))-AVERAGE(OFFSET($H$3,0,0,'Données projet'!$E$11+1,1))</f>
        <v>314.1123649635374</v>
      </c>
      <c r="BJ181" s="59">
        <f t="shared" si="146"/>
        <v>274.92342227914889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9.3439605048344117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9.3439605048344117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212.42519999999985</v>
      </c>
      <c r="CA181" s="13">
        <f t="shared" si="170"/>
        <v>52.465198231787184</v>
      </c>
      <c r="CB181" s="20">
        <f t="shared" si="171"/>
        <v>461.35077692036231</v>
      </c>
      <c r="CC181" s="59">
        <f t="shared" si="119"/>
        <v>752.85349683386175</v>
      </c>
      <c r="CD181" s="59">
        <f ca="1">AVERAGE(OFFSET($CC$3,0,0,'Données projet'!$E$12+1,1))-AVERAGE(OFFSET($H$3,0,0,'Données projet'!$E$12+1,1))</f>
        <v>309.86296291630748</v>
      </c>
      <c r="CE181" s="59">
        <f t="shared" si="148"/>
        <v>301.17633325088661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6.2297899069778309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6.2297899069778309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404.00000000000017</v>
      </c>
      <c r="CU181" s="17">
        <f>CT181*VLOOKUP('Données projet'!$B$13,Paramètres!$A$1:$I$89,3,0)*VLOOKUP('Données projet'!$B$13,Paramètres!$A$1:$I$89,5,0)</f>
        <v>346.63200000000018</v>
      </c>
      <c r="CV181" s="13">
        <f t="shared" si="173"/>
        <v>80.868615263336864</v>
      </c>
      <c r="CW181" s="20">
        <f t="shared" si="174"/>
        <v>744.56357158364528</v>
      </c>
      <c r="CX181" s="59">
        <f t="shared" si="122"/>
        <v>1036.0662914971447</v>
      </c>
      <c r="CY181" s="59">
        <f ca="1">AVERAGE(OFFSET($CX$3,0,0,'Données projet'!$E$13+1,1))-AVERAGE(OFFSET($H$3,0,0,'Données projet'!$E$13+1,1))</f>
        <v>462.66388549889928</v>
      </c>
      <c r="CZ181" s="59">
        <f t="shared" si="150"/>
        <v>265.3725203415089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31.69260376433428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31.69260376433428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210.25641030000014</v>
      </c>
      <c r="DP181" s="17">
        <f>DO181*VLOOKUP('Données projet'!$B$14,Paramètres!$A$1:$I$89,3,0)*VLOOKUP('Données projet'!$B$14,Paramètres!$A$1:$I$89,5,0)</f>
        <v>164.00000003400012</v>
      </c>
      <c r="DQ181" s="13">
        <f t="shared" si="176"/>
        <v>41.743425916009095</v>
      </c>
      <c r="DR181" s="20">
        <f t="shared" si="177"/>
        <v>358.3364668629327</v>
      </c>
      <c r="DS181" s="59">
        <f t="shared" si="125"/>
        <v>649.83918677643214</v>
      </c>
      <c r="DT181" s="59">
        <f ca="1">AVERAGE(OFFSET($DS$3,0,0,'Données projet'!$E$14+1,1))-AVERAGE(OFFSET($H$3,0,0,'Données projet'!$E$14+1,1))</f>
        <v>206.5241977687125</v>
      </c>
      <c r="DU181" s="59">
        <f t="shared" si="152"/>
        <v>205.25001043771269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3.729424775167431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3.729424775167431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155.99999999999991</v>
      </c>
      <c r="EK181" s="17">
        <f>EJ181*VLOOKUP('Données projet'!$B$15,Paramètres!$A$1:$I$89,3,0)*VLOOKUP('Données projet'!$B$15,Paramètres!$A$1:$I$89,5,0)</f>
        <v>136.28159999999994</v>
      </c>
      <c r="EL181" s="13">
        <f t="shared" si="179"/>
        <v>35.443842312892279</v>
      </c>
      <c r="EM181" s="20">
        <f t="shared" si="180"/>
        <v>299.08847869495395</v>
      </c>
      <c r="EN181" s="59">
        <f t="shared" si="128"/>
        <v>590.5911986084534</v>
      </c>
      <c r="EO181" s="59">
        <f ca="1">AVERAGE(OFFSET($EN$3,0,0,'Données projet'!$E$15+1,1))-AVERAGE(OFFSET($H$3,0,0,'Données projet'!$E$15+1,1))</f>
        <v>205.83135724908942</v>
      </c>
      <c r="EP181" s="59">
        <f t="shared" si="154"/>
        <v>193.60053377311405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3.7139193940190927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3.7139193940190927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204.00000000000017</v>
      </c>
      <c r="FF181" s="17">
        <f>FE181*VLOOKUP('Données projet'!$B$16,Paramètres!$A$1:$I$89,3,0)*VLOOKUP('Données projet'!$B$16,Paramètres!$A$1:$I$89,5,0)</f>
        <v>133.66080000000011</v>
      </c>
      <c r="FG181" s="13">
        <f t="shared" si="182"/>
        <v>34.840890682716783</v>
      </c>
      <c r="FH181" s="20">
        <f t="shared" si="183"/>
        <v>293.4737779390652</v>
      </c>
      <c r="FI181" s="59">
        <f t="shared" si="131"/>
        <v>584.97649785256465</v>
      </c>
      <c r="FJ181" s="59">
        <f ca="1">AVERAGE(OFFSET($FI$3,0,0,'Données projet'!$E$16+1,1))-AVERAGE(OFFSET($H$3,0,0,'Données projet'!$E$16+1,1))</f>
        <v>242.76791261317206</v>
      </c>
      <c r="FK181" s="59">
        <f t="shared" si="156"/>
        <v>244.28580264867682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6.8986222682573457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6.8986222682573457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18.829999999999643</v>
      </c>
      <c r="GA181" s="17">
        <f>FZ181*VLOOKUP('Données projet'!$B$17,Paramètres!$A$1:$I$89,3,0)*VLOOKUP('Données projet'!$B$17,Paramètres!$A$1:$I$89,5,0)</f>
        <v>17.918627999999661</v>
      </c>
      <c r="GB181" s="13">
        <f t="shared" si="185"/>
        <v>5.9016322671185755</v>
      </c>
      <c r="GC181" s="20">
        <f t="shared" si="186"/>
        <v>41.486953298564259</v>
      </c>
      <c r="GD181" s="59">
        <f t="shared" si="134"/>
        <v>332.98967321206374</v>
      </c>
      <c r="GE181" s="59">
        <f ca="1">AVERAGE(OFFSET($GD$3,0,0,'Données projet'!$E$17+1,1))-AVERAGE(OFFSET($H$3,0,0,'Données projet'!$E$17+1,1))</f>
        <v>512.71941256120977</v>
      </c>
      <c r="GF181" s="59">
        <f t="shared" si="158"/>
        <v>230.65031527019354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168.34520182917856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168.34520182917856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69.500741794590752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-5.6843418860808015E-14</v>
      </c>
      <c r="GV181" s="17">
        <f>GU181*VLOOKUP('Données projet'!$B$18,Paramètres!$A$1:$I$89,3,0)*VLOOKUP('Données projet'!$B$18,Paramètres!$A$1:$I$89,5,0)</f>
        <v>-2.5006556825246661E-14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180.68917161146683</v>
      </c>
      <c r="HA181" s="59">
        <f t="shared" si="160"/>
        <v>344.42126252322419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3.4109567889248931</v>
      </c>
      <c r="HH181" s="21">
        <f>EXP(-LN(2)/25)*HH180+(1-EXP(-LN(2)/25))/(LN(2)/25)*Calculateur!HC181*Calculateur!HE181*VLOOKUP('Données projet'!$B$18,Paramètres!$A$1:$I$89,3,0)*0.475*44/12</f>
        <v>0.27357640400192218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3.684533192926815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2.25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8.25</v>
      </c>
      <c r="H182" s="66">
        <f t="shared" si="110"/>
        <v>223.66666666666666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18.829999999999643</v>
      </c>
      <c r="O182" s="13">
        <f>N182*VLOOKUP('Données projet'!$B$9,Paramètres!$A$1:$I$89,3,0)*VLOOKUP('Données projet'!$B$9,Paramètres!$A$1:$I$89,5,0)</f>
        <v>17.037383999999676</v>
      </c>
      <c r="P182" s="13">
        <f t="shared" si="141"/>
        <v>5.644424624466958</v>
      </c>
      <c r="Q182" s="20">
        <f t="shared" si="162"/>
        <v>39.504150020946049</v>
      </c>
      <c r="R182" s="59">
        <f t="shared" si="109"/>
        <v>331.0386269846411</v>
      </c>
      <c r="S182" s="59">
        <f ca="1">AVERAGE(OFFSET($R$3,0,0,'Données projet'!$E$9+1,1))-AVERAGE(OFFSET($H$3,0,0,'Données projet'!$E$9+1,1))</f>
        <v>490.57849401500789</v>
      </c>
      <c r="T182" s="59">
        <f t="shared" si="142"/>
        <v>221.7570623669753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156.92713435903389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156.92713435903389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7.0666666666666673</v>
      </c>
      <c r="AI182" s="13">
        <f>IF('Données projet'!$A$62&gt;35,AI181+AH182-AQ181,IF(A182&lt;'Données projet'!$A$62,$AF$205^A182,IF(A182='Données projet'!$A$62,'Données projet'!$B$62,AI181+AH182-AQ181)))</f>
        <v>449.47333333333256</v>
      </c>
      <c r="AJ182" s="13">
        <f>AI182*VLOOKUP('Données projet'!$B$10,Paramètres!$A$1:$I$89,3,0)*VLOOKUP('Données projet'!$B$10,Paramètres!$A$1:$I$89,5,0)</f>
        <v>301.50671199999948</v>
      </c>
      <c r="AK182" s="13">
        <f t="shared" si="164"/>
        <v>71.492236028511158</v>
      </c>
      <c r="AL182" s="20">
        <f t="shared" si="165"/>
        <v>649.63983448298939</v>
      </c>
      <c r="AM182" s="59">
        <f t="shared" si="113"/>
        <v>941.17431144668444</v>
      </c>
      <c r="AN182" s="59">
        <f ca="1">AVERAGE(OFFSET($AM$3,0,0,'Données projet'!$E$10+1,1))-AVERAGE(OFFSET($H$3,0,0,'Données projet'!$E$10+1,1))</f>
        <v>377.00534440335832</v>
      </c>
      <c r="AO182" s="59">
        <f t="shared" si="144"/>
        <v>131.56029120000656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76.141730482866777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76.141730482866777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212.00000000000009</v>
      </c>
      <c r="BE182" s="13">
        <f>BD182*VLOOKUP('Données projet'!$B$11,Paramètres!$A$1:$I$89,3,0)*VLOOKUP('Données projet'!$B$11,Paramètres!$A$1:$I$89,5,0)</f>
        <v>185.20320000000009</v>
      </c>
      <c r="BF182" s="13">
        <f t="shared" si="167"/>
        <v>46.477875402099386</v>
      </c>
      <c r="BG182" s="20">
        <f t="shared" si="168"/>
        <v>403.5112063253232</v>
      </c>
      <c r="BH182" s="59">
        <f t="shared" si="116"/>
        <v>695.04568328901826</v>
      </c>
      <c r="BI182" s="59">
        <f ca="1">AVERAGE(OFFSET($BH$3,0,0,'Données projet'!$E$11+1,1))-AVERAGE(OFFSET($H$3,0,0,'Données projet'!$E$11+1,1))</f>
        <v>314.1123649635374</v>
      </c>
      <c r="BJ182" s="59">
        <f t="shared" si="146"/>
        <v>274.92342227914889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9.1607311385877619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9.1607311385877619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212.42519999999985</v>
      </c>
      <c r="CA182" s="13">
        <f t="shared" si="170"/>
        <v>52.465198231787184</v>
      </c>
      <c r="CB182" s="20">
        <f t="shared" si="171"/>
        <v>461.35077692036231</v>
      </c>
      <c r="CC182" s="59">
        <f t="shared" si="119"/>
        <v>752.88525388405742</v>
      </c>
      <c r="CD182" s="59">
        <f ca="1">AVERAGE(OFFSET($CC$3,0,0,'Données projet'!$E$12+1,1))-AVERAGE(OFFSET($H$3,0,0,'Données projet'!$E$12+1,1))</f>
        <v>309.86296291630748</v>
      </c>
      <c r="CE182" s="59">
        <f t="shared" si="148"/>
        <v>301.17633325088661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6.1076275266986402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6.1076275266986402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404.00000000000017</v>
      </c>
      <c r="CU182" s="17">
        <f>CT182*VLOOKUP('Données projet'!$B$13,Paramètres!$A$1:$I$89,3,0)*VLOOKUP('Données projet'!$B$13,Paramètres!$A$1:$I$89,5,0)</f>
        <v>346.63200000000018</v>
      </c>
      <c r="CV182" s="13">
        <f t="shared" si="173"/>
        <v>80.868615263336864</v>
      </c>
      <c r="CW182" s="20">
        <f t="shared" si="174"/>
        <v>744.56357158364528</v>
      </c>
      <c r="CX182" s="59">
        <f t="shared" si="122"/>
        <v>1036.0980485473403</v>
      </c>
      <c r="CY182" s="59">
        <f ca="1">AVERAGE(OFFSET($CX$3,0,0,'Données projet'!$E$13+1,1))-AVERAGE(OFFSET($H$3,0,0,'Données projet'!$E$13+1,1))</f>
        <v>462.66388549889928</v>
      </c>
      <c r="CZ182" s="59">
        <f t="shared" si="150"/>
        <v>265.3725203415089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31.071131135095243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31.071131135095243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210.25641030000014</v>
      </c>
      <c r="DP182" s="17">
        <f>DO182*VLOOKUP('Données projet'!$B$14,Paramètres!$A$1:$I$89,3,0)*VLOOKUP('Données projet'!$B$14,Paramètres!$A$1:$I$89,5,0)</f>
        <v>164.00000003400012</v>
      </c>
      <c r="DQ182" s="13">
        <f t="shared" si="176"/>
        <v>41.743425916009095</v>
      </c>
      <c r="DR182" s="20">
        <f t="shared" si="177"/>
        <v>358.3364668629327</v>
      </c>
      <c r="DS182" s="59">
        <f t="shared" si="125"/>
        <v>649.87094382662781</v>
      </c>
      <c r="DT182" s="59">
        <f ca="1">AVERAGE(OFFSET($DS$3,0,0,'Données projet'!$E$14+1,1))-AVERAGE(OFFSET($H$3,0,0,'Données projet'!$E$14+1,1))</f>
        <v>206.5241977687125</v>
      </c>
      <c r="DU182" s="59">
        <f t="shared" si="152"/>
        <v>205.25001043771269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3.6562930300509002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3.6562930300509002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155.99999999999991</v>
      </c>
      <c r="EK182" s="17">
        <f>EJ182*VLOOKUP('Données projet'!$B$15,Paramètres!$A$1:$I$89,3,0)*VLOOKUP('Données projet'!$B$15,Paramètres!$A$1:$I$89,5,0)</f>
        <v>136.28159999999994</v>
      </c>
      <c r="EL182" s="13">
        <f t="shared" si="179"/>
        <v>35.443842312892279</v>
      </c>
      <c r="EM182" s="20">
        <f t="shared" si="180"/>
        <v>299.08847869495395</v>
      </c>
      <c r="EN182" s="59">
        <f t="shared" si="128"/>
        <v>590.62295565864906</v>
      </c>
      <c r="EO182" s="59">
        <f ca="1">AVERAGE(OFFSET($EN$3,0,0,'Données projet'!$E$15+1,1))-AVERAGE(OFFSET($H$3,0,0,'Données projet'!$E$15+1,1))</f>
        <v>205.83135724908942</v>
      </c>
      <c r="EP182" s="59">
        <f t="shared" si="154"/>
        <v>193.60053377311405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3.641091699969532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3.641091699969532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204.00000000000017</v>
      </c>
      <c r="FF182" s="17">
        <f>FE182*VLOOKUP('Données projet'!$B$16,Paramètres!$A$1:$I$89,3,0)*VLOOKUP('Données projet'!$B$16,Paramètres!$A$1:$I$89,5,0)</f>
        <v>133.66080000000011</v>
      </c>
      <c r="FG182" s="13">
        <f t="shared" si="182"/>
        <v>34.840890682716783</v>
      </c>
      <c r="FH182" s="20">
        <f t="shared" si="183"/>
        <v>293.4737779390652</v>
      </c>
      <c r="FI182" s="59">
        <f t="shared" si="131"/>
        <v>585.0082549027602</v>
      </c>
      <c r="FJ182" s="59">
        <f ca="1">AVERAGE(OFFSET($FI$3,0,0,'Données projet'!$E$16+1,1))-AVERAGE(OFFSET($H$3,0,0,'Données projet'!$E$16+1,1))</f>
        <v>242.76791261317206</v>
      </c>
      <c r="FK182" s="59">
        <f t="shared" si="156"/>
        <v>244.28580264867682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6.7633444933209228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6.7633444933209228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18.829999999999643</v>
      </c>
      <c r="GA182" s="17">
        <f>FZ182*VLOOKUP('Données projet'!$B$17,Paramètres!$A$1:$I$89,3,0)*VLOOKUP('Données projet'!$B$17,Paramètres!$A$1:$I$89,5,0)</f>
        <v>17.918627999999661</v>
      </c>
      <c r="GB182" s="13">
        <f t="shared" si="185"/>
        <v>5.9016322671185755</v>
      </c>
      <c r="GC182" s="20">
        <f t="shared" si="186"/>
        <v>41.486953298564259</v>
      </c>
      <c r="GD182" s="59">
        <f t="shared" si="134"/>
        <v>333.02143026225929</v>
      </c>
      <c r="GE182" s="59">
        <f ca="1">AVERAGE(OFFSET($GD$3,0,0,'Données projet'!$E$17+1,1))-AVERAGE(OFFSET($H$3,0,0,'Données projet'!$E$17+1,1))</f>
        <v>512.71941256120977</v>
      </c>
      <c r="GF182" s="59">
        <f t="shared" si="158"/>
        <v>230.65031527019354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165.04405510174263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165.04405510174263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69.50940280828047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-5.6843418860808015E-14</v>
      </c>
      <c r="GV182" s="17">
        <f>GU182*VLOOKUP('Données projet'!$B$18,Paramètres!$A$1:$I$89,3,0)*VLOOKUP('Données projet'!$B$18,Paramètres!$A$1:$I$89,5,0)</f>
        <v>-2.5006556825246661E-14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180.68917161146683</v>
      </c>
      <c r="HA182" s="59">
        <f t="shared" si="160"/>
        <v>344.42126252322419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3.3440700067722871</v>
      </c>
      <c r="HH182" s="21">
        <f>EXP(-LN(2)/25)*HH181+(1-EXP(-LN(2)/25))/(LN(2)/25)*Calculateur!HC182*Calculateur!HE182*VLOOKUP('Données projet'!$B$18,Paramètres!$A$1:$I$89,3,0)*0.475*44/12</f>
        <v>0.26609544284773179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3.6101654496200188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2.25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8.25</v>
      </c>
      <c r="H183" s="66">
        <f t="shared" si="110"/>
        <v>223.66666666666666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18.829999999999643</v>
      </c>
      <c r="O183" s="13">
        <f>N183*VLOOKUP('Données projet'!$B$9,Paramètres!$A$1:$I$89,3,0)*VLOOKUP('Données projet'!$B$9,Paramètres!$A$1:$I$89,5,0)</f>
        <v>17.037383999999676</v>
      </c>
      <c r="P183" s="13">
        <f t="shared" si="141"/>
        <v>5.644424624466958</v>
      </c>
      <c r="Q183" s="20">
        <f t="shared" si="162"/>
        <v>39.504150020946049</v>
      </c>
      <c r="R183" s="59">
        <f t="shared" si="109"/>
        <v>331.06983312101397</v>
      </c>
      <c r="S183" s="59">
        <f ca="1">AVERAGE(OFFSET($R$3,0,0,'Données projet'!$E$9+1,1))-AVERAGE(OFFSET($H$3,0,0,'Données projet'!$E$9+1,1))</f>
        <v>490.57849401500789</v>
      </c>
      <c r="T183" s="59">
        <f t="shared" si="142"/>
        <v>221.7570623669753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153.84988897035402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153.84988897035402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456.54</v>
      </c>
      <c r="AG183" s="12">
        <f>VLOOKUP(A183,'Données projet'!$A$61:$I$81,9,0)</f>
        <v>7.0666666666666673</v>
      </c>
      <c r="AH183" s="12">
        <f t="array" ref="AH183">INDEX(AG:AG,MIN(IF(ISNUMBER(AG183:AG379),ROW(AG183:AG379),"")))</f>
        <v>7.0666666666666673</v>
      </c>
      <c r="AI183" s="13">
        <f>IF('Données projet'!$A$62&gt;35,AI182+AH183-AQ182,IF(A183&lt;'Données projet'!$A$62,$AF$205^A183,IF(A183='Données projet'!$A$62,'Données projet'!$B$62,AI182+AH183-AQ182)))</f>
        <v>456.53999999999922</v>
      </c>
      <c r="AJ183" s="13">
        <f>AI183*VLOOKUP('Données projet'!$B$10,Paramètres!$A$1:$I$89,3,0)*VLOOKUP('Données projet'!$B$10,Paramètres!$A$1:$I$89,5,0)</f>
        <v>306.24703199999954</v>
      </c>
      <c r="AK183" s="13">
        <f t="shared" si="164"/>
        <v>72.484506341712375</v>
      </c>
      <c r="AL183" s="20">
        <f t="shared" si="165"/>
        <v>659.62409594514827</v>
      </c>
      <c r="AM183" s="59">
        <f t="shared" si="113"/>
        <v>951.18977904521626</v>
      </c>
      <c r="AN183" s="59">
        <f ca="1">AVERAGE(OFFSET($AM$3,0,0,'Données projet'!$E$10+1,1))-AVERAGE(OFFSET($H$3,0,0,'Données projet'!$E$10+1,1))</f>
        <v>377.00534440335832</v>
      </c>
      <c r="AO183" s="59">
        <f t="shared" si="144"/>
        <v>131.56029120000656</v>
      </c>
      <c r="AP183" s="15">
        <f>IF(ISNA(VLOOKUP(A183,'Données projet'!$A$61:$I$81,3,0)),0,VLOOKUP(A183,'Données projet'!$A$61:$I$81,3,0))</f>
        <v>13</v>
      </c>
      <c r="AQ183" s="15">
        <f>IF(ISNA(VLOOKUP(A183,'Données projet'!$A$61:$I$81,4,0)),0,VLOOKUP(A183,'Données projet'!$A$61:$I$81,4,0))</f>
        <v>154.91999999999999</v>
      </c>
      <c r="AR183" s="16">
        <f>IF(ISNA(VLOOKUP(A183,'Données projet'!$A$61:$I$81,5,0)),0%,VLOOKUP(A183,'Données projet'!$A$61:$I$81,5,0)*VLOOKUP('Données projet'!$B$10,Paramètres!$A$1:$I$89,7,0))</f>
        <v>0.53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135.53548982789681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135.53548982789681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212.00000000000009</v>
      </c>
      <c r="BE183" s="13">
        <f>BD183*VLOOKUP('Données projet'!$B$11,Paramètres!$A$1:$I$89,3,0)*VLOOKUP('Données projet'!$B$11,Paramètres!$A$1:$I$89,5,0)</f>
        <v>185.20320000000009</v>
      </c>
      <c r="BF183" s="13">
        <f t="shared" si="167"/>
        <v>46.477875402099386</v>
      </c>
      <c r="BG183" s="20">
        <f t="shared" si="168"/>
        <v>403.5112063253232</v>
      </c>
      <c r="BH183" s="59">
        <f t="shared" si="116"/>
        <v>695.07688942539107</v>
      </c>
      <c r="BI183" s="59">
        <f ca="1">AVERAGE(OFFSET($BH$3,0,0,'Données projet'!$E$11+1,1))-AVERAGE(OFFSET($H$3,0,0,'Données projet'!$E$11+1,1))</f>
        <v>314.1123649635374</v>
      </c>
      <c r="BJ183" s="59">
        <f t="shared" si="146"/>
        <v>274.92342227914889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8.9810947884543317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8.9810947884543317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212.42519999999985</v>
      </c>
      <c r="CA183" s="13">
        <f t="shared" si="170"/>
        <v>52.465198231787184</v>
      </c>
      <c r="CB183" s="20">
        <f t="shared" si="171"/>
        <v>461.35077692036231</v>
      </c>
      <c r="CC183" s="59">
        <f t="shared" si="119"/>
        <v>752.91646002043024</v>
      </c>
      <c r="CD183" s="59">
        <f ca="1">AVERAGE(OFFSET($CC$3,0,0,'Données projet'!$E$12+1,1))-AVERAGE(OFFSET($H$3,0,0,'Données projet'!$E$12+1,1))</f>
        <v>309.86296291630748</v>
      </c>
      <c r="CE183" s="59">
        <f t="shared" si="148"/>
        <v>301.17633325088661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5.9878606761850302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5.9878606761850302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404.00000000000017</v>
      </c>
      <c r="CU183" s="17">
        <f>CT183*VLOOKUP('Données projet'!$B$13,Paramètres!$A$1:$I$89,3,0)*VLOOKUP('Données projet'!$B$13,Paramètres!$A$1:$I$89,5,0)</f>
        <v>346.63200000000018</v>
      </c>
      <c r="CV183" s="13">
        <f t="shared" si="173"/>
        <v>80.868615263336864</v>
      </c>
      <c r="CW183" s="20">
        <f t="shared" si="174"/>
        <v>744.56357158364528</v>
      </c>
      <c r="CX183" s="59">
        <f t="shared" si="122"/>
        <v>1036.1292546837133</v>
      </c>
      <c r="CY183" s="59">
        <f ca="1">AVERAGE(OFFSET($CX$3,0,0,'Données projet'!$E$13+1,1))-AVERAGE(OFFSET($H$3,0,0,'Données projet'!$E$13+1,1))</f>
        <v>462.66388549889928</v>
      </c>
      <c r="CZ183" s="59">
        <f t="shared" si="150"/>
        <v>265.3725203415089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30.461845205054711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30.461845205054711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210.25641030000014</v>
      </c>
      <c r="DP183" s="17">
        <f>DO183*VLOOKUP('Données projet'!$B$14,Paramètres!$A$1:$I$89,3,0)*VLOOKUP('Données projet'!$B$14,Paramètres!$A$1:$I$89,5,0)</f>
        <v>164.00000003400012</v>
      </c>
      <c r="DQ183" s="13">
        <f t="shared" si="176"/>
        <v>41.743425916009095</v>
      </c>
      <c r="DR183" s="20">
        <f t="shared" si="177"/>
        <v>358.3364668629327</v>
      </c>
      <c r="DS183" s="59">
        <f t="shared" si="125"/>
        <v>649.90214996300062</v>
      </c>
      <c r="DT183" s="59">
        <f ca="1">AVERAGE(OFFSET($DS$3,0,0,'Données projet'!$E$14+1,1))-AVERAGE(OFFSET($H$3,0,0,'Données projet'!$E$14+1,1))</f>
        <v>206.5241977687125</v>
      </c>
      <c r="DU183" s="59">
        <f t="shared" si="152"/>
        <v>205.25001043771269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3.5845953538501445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3.5845953538501445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155.99999999999991</v>
      </c>
      <c r="EK183" s="17">
        <f>EJ183*VLOOKUP('Données projet'!$B$15,Paramètres!$A$1:$I$89,3,0)*VLOOKUP('Données projet'!$B$15,Paramètres!$A$1:$I$89,5,0)</f>
        <v>136.28159999999994</v>
      </c>
      <c r="EL183" s="13">
        <f t="shared" si="179"/>
        <v>35.443842312892279</v>
      </c>
      <c r="EM183" s="20">
        <f t="shared" si="180"/>
        <v>299.08847869495395</v>
      </c>
      <c r="EN183" s="59">
        <f t="shared" si="128"/>
        <v>590.65416179502188</v>
      </c>
      <c r="EO183" s="59">
        <f ca="1">AVERAGE(OFFSET($EN$3,0,0,'Données projet'!$E$15+1,1))-AVERAGE(OFFSET($H$3,0,0,'Données projet'!$E$15+1,1))</f>
        <v>205.83135724908942</v>
      </c>
      <c r="EP183" s="59">
        <f t="shared" si="154"/>
        <v>193.60053377311405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3.569692112579776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3.569692112579776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204.00000000000017</v>
      </c>
      <c r="FF183" s="17">
        <f>FE183*VLOOKUP('Données projet'!$B$16,Paramètres!$A$1:$I$89,3,0)*VLOOKUP('Données projet'!$B$16,Paramètres!$A$1:$I$89,5,0)</f>
        <v>133.66080000000011</v>
      </c>
      <c r="FG183" s="13">
        <f t="shared" si="182"/>
        <v>34.840890682716783</v>
      </c>
      <c r="FH183" s="20">
        <f t="shared" si="183"/>
        <v>293.4737779390652</v>
      </c>
      <c r="FI183" s="59">
        <f t="shared" si="131"/>
        <v>585.03946103913313</v>
      </c>
      <c r="FJ183" s="59">
        <f ca="1">AVERAGE(OFFSET($FI$3,0,0,'Données projet'!$E$16+1,1))-AVERAGE(OFFSET($H$3,0,0,'Données projet'!$E$16+1,1))</f>
        <v>242.76791261317206</v>
      </c>
      <c r="FK183" s="59">
        <f t="shared" si="156"/>
        <v>244.28580264867682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6.6307194330397072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6.6307194330397072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18.829999999999643</v>
      </c>
      <c r="GA183" s="17">
        <f>FZ183*VLOOKUP('Données projet'!$B$17,Paramètres!$A$1:$I$89,3,0)*VLOOKUP('Données projet'!$B$17,Paramètres!$A$1:$I$89,5,0)</f>
        <v>17.918627999999661</v>
      </c>
      <c r="GB183" s="13">
        <f t="shared" si="185"/>
        <v>5.9016322671185755</v>
      </c>
      <c r="GC183" s="20">
        <f t="shared" si="186"/>
        <v>41.486953298564259</v>
      </c>
      <c r="GD183" s="59">
        <f t="shared" si="134"/>
        <v>333.05263639863222</v>
      </c>
      <c r="GE183" s="59">
        <f ca="1">AVERAGE(OFFSET($GD$3,0,0,'Données projet'!$E$17+1,1))-AVERAGE(OFFSET($H$3,0,0,'Données projet'!$E$17+1,1))</f>
        <v>512.71941256120977</v>
      </c>
      <c r="GF183" s="59">
        <f t="shared" si="158"/>
        <v>230.65031527019354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161.80764184813103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161.80764184813103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69.517913572745798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-5.6843418860808015E-14</v>
      </c>
      <c r="GV183" s="17">
        <f>GU183*VLOOKUP('Données projet'!$B$18,Paramètres!$A$1:$I$89,3,0)*VLOOKUP('Données projet'!$B$18,Paramètres!$A$1:$I$89,5,0)</f>
        <v>-2.5006556825246661E-14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180.68917161146683</v>
      </c>
      <c r="HA183" s="59">
        <f t="shared" si="160"/>
        <v>344.42126252322419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3.2784948336207846</v>
      </c>
      <c r="HH183" s="21">
        <f>EXP(-LN(2)/25)*HH182+(1-EXP(-LN(2)/25))/(LN(2)/25)*Calculateur!HC183*Calculateur!HE183*VLOOKUP('Données projet'!$B$18,Paramètres!$A$1:$I$89,3,0)*0.475*44/12</f>
        <v>0.25881904896970942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3.5373138825904942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2.25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8.25</v>
      </c>
      <c r="H184" s="66">
        <f t="shared" si="110"/>
        <v>223.66666666666666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18.829999999999643</v>
      </c>
      <c r="O184" s="13">
        <f>N184*VLOOKUP('Données projet'!$B$9,Paramètres!$A$1:$I$89,3,0)*VLOOKUP('Données projet'!$B$9,Paramètres!$A$1:$I$89,5,0)</f>
        <v>17.037383999999676</v>
      </c>
      <c r="P184" s="13">
        <f t="shared" si="141"/>
        <v>5.644424624466958</v>
      </c>
      <c r="Q184" s="20">
        <f t="shared" si="162"/>
        <v>39.504150020946049</v>
      </c>
      <c r="R184" s="59">
        <f t="shared" si="109"/>
        <v>331.10049790068723</v>
      </c>
      <c r="S184" s="59">
        <f ca="1">AVERAGE(OFFSET($R$3,0,0,'Données projet'!$E$9+1,1))-AVERAGE(OFFSET($H$3,0,0,'Données projet'!$E$9+1,1))</f>
        <v>490.57849401500789</v>
      </c>
      <c r="T184" s="59">
        <f t="shared" si="142"/>
        <v>221.7570623669753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150.83298648681179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150.83298648681179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-0.37000000000000455</v>
      </c>
      <c r="AI184" s="13">
        <f>IF('Données projet'!$A$62&gt;35,AI183+AH184-AQ183,IF(A184&lt;'Données projet'!$A$62,$AF$205^A184,IF(A184='Données projet'!$A$62,'Données projet'!$B$62,AI183+AH184-AQ183)))</f>
        <v>301.2499999999992</v>
      </c>
      <c r="AJ184" s="13">
        <f>AI184*VLOOKUP('Données projet'!$B$10,Paramètres!$A$1:$I$89,3,0)*VLOOKUP('Données projet'!$B$10,Paramètres!$A$1:$I$89,5,0)</f>
        <v>202.07849999999948</v>
      </c>
      <c r="AK184" s="13">
        <f t="shared" si="164"/>
        <v>50.20068389081748</v>
      </c>
      <c r="AL184" s="20">
        <f t="shared" si="165"/>
        <v>439.38624527650626</v>
      </c>
      <c r="AM184" s="59">
        <f t="shared" si="113"/>
        <v>730.9825931562475</v>
      </c>
      <c r="AN184" s="59">
        <f ca="1">AVERAGE(OFFSET($AM$3,0,0,'Données projet'!$E$10+1,1))-AVERAGE(OFFSET($H$3,0,0,'Données projet'!$E$10+1,1))</f>
        <v>377.00534440335832</v>
      </c>
      <c r="AO184" s="59">
        <f t="shared" si="144"/>
        <v>131.56029120000656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132.87772154085772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132.87772154085772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212.00000000000009</v>
      </c>
      <c r="BE184" s="13">
        <f>BD184*VLOOKUP('Données projet'!$B$11,Paramètres!$A$1:$I$89,3,0)*VLOOKUP('Données projet'!$B$11,Paramètres!$A$1:$I$89,5,0)</f>
        <v>185.20320000000009</v>
      </c>
      <c r="BF184" s="13">
        <f t="shared" si="167"/>
        <v>46.477875402099386</v>
      </c>
      <c r="BG184" s="20">
        <f t="shared" si="168"/>
        <v>403.5112063253232</v>
      </c>
      <c r="BH184" s="59">
        <f t="shared" si="116"/>
        <v>695.10755420506439</v>
      </c>
      <c r="BI184" s="59">
        <f ca="1">AVERAGE(OFFSET($BH$3,0,0,'Données projet'!$E$11+1,1))-AVERAGE(OFFSET($H$3,0,0,'Données projet'!$E$11+1,1))</f>
        <v>314.1123649635374</v>
      </c>
      <c r="BJ184" s="59">
        <f t="shared" si="146"/>
        <v>274.92342227914889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8.804980997579662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8.804980997579662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212.42519999999985</v>
      </c>
      <c r="CA184" s="13">
        <f t="shared" si="170"/>
        <v>52.465198231787184</v>
      </c>
      <c r="CB184" s="20">
        <f t="shared" si="171"/>
        <v>461.35077692036231</v>
      </c>
      <c r="CC184" s="59">
        <f t="shared" si="119"/>
        <v>752.94712480010344</v>
      </c>
      <c r="CD184" s="59">
        <f ca="1">AVERAGE(OFFSET($CC$3,0,0,'Données projet'!$E$12+1,1))-AVERAGE(OFFSET($H$3,0,0,'Données projet'!$E$12+1,1))</f>
        <v>309.86296291630748</v>
      </c>
      <c r="CE184" s="59">
        <f t="shared" si="148"/>
        <v>301.17633325088661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5.8704423805594264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5.8704423805594264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404.00000000000017</v>
      </c>
      <c r="CU184" s="17">
        <f>CT184*VLOOKUP('Données projet'!$B$13,Paramètres!$A$1:$I$89,3,0)*VLOOKUP('Données projet'!$B$13,Paramètres!$A$1:$I$89,5,0)</f>
        <v>346.63200000000018</v>
      </c>
      <c r="CV184" s="13">
        <f t="shared" si="173"/>
        <v>80.868615263336864</v>
      </c>
      <c r="CW184" s="20">
        <f t="shared" si="174"/>
        <v>744.56357158364528</v>
      </c>
      <c r="CX184" s="59">
        <f t="shared" si="122"/>
        <v>1036.1599194633864</v>
      </c>
      <c r="CY184" s="59">
        <f ca="1">AVERAGE(OFFSET($CX$3,0,0,'Données projet'!$E$13+1,1))-AVERAGE(OFFSET($H$3,0,0,'Données projet'!$E$13+1,1))</f>
        <v>462.66388549889928</v>
      </c>
      <c r="CZ184" s="59">
        <f t="shared" si="150"/>
        <v>265.3725203415089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29.86450700047455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29.86450700047455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210.25641030000014</v>
      </c>
      <c r="DP184" s="17">
        <f>DO184*VLOOKUP('Données projet'!$B$14,Paramètres!$A$1:$I$89,3,0)*VLOOKUP('Données projet'!$B$14,Paramètres!$A$1:$I$89,5,0)</f>
        <v>164.00000003400012</v>
      </c>
      <c r="DQ184" s="13">
        <f t="shared" si="176"/>
        <v>41.743425916009095</v>
      </c>
      <c r="DR184" s="20">
        <f t="shared" si="177"/>
        <v>358.3364668629327</v>
      </c>
      <c r="DS184" s="59">
        <f t="shared" si="125"/>
        <v>649.93281474267383</v>
      </c>
      <c r="DT184" s="59">
        <f ca="1">AVERAGE(OFFSET($DS$3,0,0,'Données projet'!$E$14+1,1))-AVERAGE(OFFSET($H$3,0,0,'Données projet'!$E$14+1,1))</f>
        <v>206.5241977687125</v>
      </c>
      <c r="DU184" s="59">
        <f t="shared" si="152"/>
        <v>205.25001043771269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3.514303625348421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3.514303625348421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155.99999999999991</v>
      </c>
      <c r="EK184" s="17">
        <f>EJ184*VLOOKUP('Données projet'!$B$15,Paramètres!$A$1:$I$89,3,0)*VLOOKUP('Données projet'!$B$15,Paramètres!$A$1:$I$89,5,0)</f>
        <v>136.28159999999994</v>
      </c>
      <c r="EL184" s="13">
        <f t="shared" si="179"/>
        <v>35.443842312892279</v>
      </c>
      <c r="EM184" s="20">
        <f t="shared" si="180"/>
        <v>299.08847869495395</v>
      </c>
      <c r="EN184" s="59">
        <f t="shared" si="128"/>
        <v>590.68482657469508</v>
      </c>
      <c r="EO184" s="59">
        <f ca="1">AVERAGE(OFFSET($EN$3,0,0,'Données projet'!$E$15+1,1))-AVERAGE(OFFSET($H$3,0,0,'Données projet'!$E$15+1,1))</f>
        <v>205.83135724908942</v>
      </c>
      <c r="EP184" s="59">
        <f t="shared" si="154"/>
        <v>193.60053377311405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3.499692627549285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3.499692627549285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204.00000000000017</v>
      </c>
      <c r="FF184" s="17">
        <f>FE184*VLOOKUP('Données projet'!$B$16,Paramètres!$A$1:$I$89,3,0)*VLOOKUP('Données projet'!$B$16,Paramètres!$A$1:$I$89,5,0)</f>
        <v>133.66080000000011</v>
      </c>
      <c r="FG184" s="13">
        <f t="shared" si="182"/>
        <v>34.840890682716783</v>
      </c>
      <c r="FH184" s="20">
        <f t="shared" si="183"/>
        <v>293.4737779390652</v>
      </c>
      <c r="FI184" s="59">
        <f t="shared" si="131"/>
        <v>585.07012581880645</v>
      </c>
      <c r="FJ184" s="59">
        <f ca="1">AVERAGE(OFFSET($FI$3,0,0,'Données projet'!$E$16+1,1))-AVERAGE(OFFSET($H$3,0,0,'Données projet'!$E$16+1,1))</f>
        <v>242.76791261317206</v>
      </c>
      <c r="FK184" s="59">
        <f t="shared" si="156"/>
        <v>244.28580264867682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6.5006950692973078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6.5006950692973078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18.829999999999643</v>
      </c>
      <c r="GA184" s="17">
        <f>FZ184*VLOOKUP('Données projet'!$B$17,Paramètres!$A$1:$I$89,3,0)*VLOOKUP('Données projet'!$B$17,Paramètres!$A$1:$I$89,5,0)</f>
        <v>17.918627999999661</v>
      </c>
      <c r="GB184" s="13">
        <f t="shared" si="185"/>
        <v>5.9016322671185755</v>
      </c>
      <c r="GC184" s="20">
        <f t="shared" si="186"/>
        <v>41.486953298564259</v>
      </c>
      <c r="GD184" s="59">
        <f t="shared" si="134"/>
        <v>333.08330117830542</v>
      </c>
      <c r="GE184" s="59">
        <f ca="1">AVERAGE(OFFSET($GD$3,0,0,'Données projet'!$E$17+1,1))-AVERAGE(OFFSET($H$3,0,0,'Données projet'!$E$17+1,1))</f>
        <v>512.71941256120977</v>
      </c>
      <c r="GF184" s="59">
        <f t="shared" si="158"/>
        <v>230.65031527019354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158.63469268440559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158.63469268440559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69.526276694474873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-5.6843418860808015E-14</v>
      </c>
      <c r="GV184" s="17">
        <f>GU184*VLOOKUP('Données projet'!$B$18,Paramètres!$A$1:$I$89,3,0)*VLOOKUP('Données projet'!$B$18,Paramètres!$A$1:$I$89,5,0)</f>
        <v>-2.5006556825246661E-14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180.68917161146683</v>
      </c>
      <c r="HA184" s="59">
        <f t="shared" si="160"/>
        <v>344.42126252322419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3.2142055496178772</v>
      </c>
      <c r="HH184" s="21">
        <f>EXP(-LN(2)/25)*HH183+(1-EXP(-LN(2)/25))/(LN(2)/25)*Calculateur!HC184*Calculateur!HE184*VLOOKUP('Données projet'!$B$18,Paramètres!$A$1:$I$89,3,0)*0.475*44/12</f>
        <v>0.25174162846493048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3.4659471780828075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2.25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8.25</v>
      </c>
      <c r="H185" s="66">
        <f t="shared" si="110"/>
        <v>223.66666666666666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18.829999999999643</v>
      </c>
      <c r="O185" s="13">
        <f>N185*VLOOKUP('Données projet'!$B$9,Paramètres!$A$1:$I$89,3,0)*VLOOKUP('Données projet'!$B$9,Paramètres!$A$1:$I$89,5,0)</f>
        <v>17.037383999999676</v>
      </c>
      <c r="P185" s="13">
        <f t="shared" si="141"/>
        <v>5.644424624466958</v>
      </c>
      <c r="Q185" s="20">
        <f t="shared" si="162"/>
        <v>39.504150020946049</v>
      </c>
      <c r="R185" s="59">
        <f t="shared" si="109"/>
        <v>331.13063071498937</v>
      </c>
      <c r="S185" s="59">
        <f ca="1">AVERAGE(OFFSET($R$3,0,0,'Données projet'!$E$9+1,1))-AVERAGE(OFFSET($H$3,0,0,'Données projet'!$E$9+1,1))</f>
        <v>490.57849401500789</v>
      </c>
      <c r="T185" s="59">
        <f t="shared" si="142"/>
        <v>221.7570623669753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147.87524362084301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147.87524362084301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-0.37000000000000455</v>
      </c>
      <c r="AI185" s="13">
        <f>IF('Données projet'!$A$62&gt;35,AI184+AH185-AQ184,IF(A185&lt;'Données projet'!$A$62,$AF$205^A185,IF(A185='Données projet'!$A$62,'Données projet'!$B$62,AI184+AH185-AQ184)))</f>
        <v>300.8799999999992</v>
      </c>
      <c r="AJ185" s="13">
        <f>AI185*VLOOKUP('Données projet'!$B$10,Paramètres!$A$1:$I$89,3,0)*VLOOKUP('Données projet'!$B$10,Paramètres!$A$1:$I$89,5,0)</f>
        <v>201.83030399999947</v>
      </c>
      <c r="AK185" s="13">
        <f t="shared" si="164"/>
        <v>50.146199629564236</v>
      </c>
      <c r="AL185" s="20">
        <f t="shared" si="165"/>
        <v>438.85907715482341</v>
      </c>
      <c r="AM185" s="59">
        <f t="shared" si="113"/>
        <v>730.48555784886673</v>
      </c>
      <c r="AN185" s="59">
        <f ca="1">AVERAGE(OFFSET($AM$3,0,0,'Données projet'!$E$10+1,1))-AVERAGE(OFFSET($H$3,0,0,'Données projet'!$E$10+1,1))</f>
        <v>377.00534440335832</v>
      </c>
      <c r="AO185" s="59">
        <f t="shared" si="144"/>
        <v>131.56029120000656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130.27207046884888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130.27207046884888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212.00000000000009</v>
      </c>
      <c r="BE185" s="13">
        <f>BD185*VLOOKUP('Données projet'!$B$11,Paramètres!$A$1:$I$89,3,0)*VLOOKUP('Données projet'!$B$11,Paramètres!$A$1:$I$89,5,0)</f>
        <v>185.20320000000009</v>
      </c>
      <c r="BF185" s="13">
        <f t="shared" si="167"/>
        <v>46.477875402099386</v>
      </c>
      <c r="BG185" s="20">
        <f t="shared" si="168"/>
        <v>403.5112063253232</v>
      </c>
      <c r="BH185" s="59">
        <f t="shared" si="116"/>
        <v>695.13768701936647</v>
      </c>
      <c r="BI185" s="59">
        <f ca="1">AVERAGE(OFFSET($BH$3,0,0,'Données projet'!$E$11+1,1))-AVERAGE(OFFSET($H$3,0,0,'Données projet'!$E$11+1,1))</f>
        <v>314.1123649635374</v>
      </c>
      <c r="BJ185" s="59">
        <f t="shared" si="146"/>
        <v>274.92342227914889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8.6323206907252406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8.6323206907252406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212.42519999999985</v>
      </c>
      <c r="CA185" s="13">
        <f t="shared" si="170"/>
        <v>52.465198231787184</v>
      </c>
      <c r="CB185" s="20">
        <f t="shared" si="171"/>
        <v>461.35077692036231</v>
      </c>
      <c r="CC185" s="59">
        <f t="shared" si="119"/>
        <v>752.97725761440563</v>
      </c>
      <c r="CD185" s="59">
        <f ca="1">AVERAGE(OFFSET($CC$3,0,0,'Données projet'!$E$12+1,1))-AVERAGE(OFFSET($H$3,0,0,'Données projet'!$E$12+1,1))</f>
        <v>309.86296291630748</v>
      </c>
      <c r="CE185" s="59">
        <f t="shared" si="148"/>
        <v>301.17633325088661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5.7553265860929512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5.7553265860929512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404.00000000000017</v>
      </c>
      <c r="CU185" s="17">
        <f>CT185*VLOOKUP('Données projet'!$B$13,Paramètres!$A$1:$I$89,3,0)*VLOOKUP('Données projet'!$B$13,Paramètres!$A$1:$I$89,5,0)</f>
        <v>346.63200000000018</v>
      </c>
      <c r="CV185" s="13">
        <f t="shared" si="173"/>
        <v>80.868615263336864</v>
      </c>
      <c r="CW185" s="20">
        <f t="shared" si="174"/>
        <v>744.56357158364528</v>
      </c>
      <c r="CX185" s="59">
        <f t="shared" si="122"/>
        <v>1036.1900522776887</v>
      </c>
      <c r="CY185" s="59">
        <f ca="1">AVERAGE(OFFSET($CX$3,0,0,'Données projet'!$E$13+1,1))-AVERAGE(OFFSET($H$3,0,0,'Données projet'!$E$13+1,1))</f>
        <v>462.66388549889928</v>
      </c>
      <c r="CZ185" s="59">
        <f t="shared" si="150"/>
        <v>265.3725203415089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29.278882233745879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29.278882233745879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210.25641030000014</v>
      </c>
      <c r="DP185" s="17">
        <f>DO185*VLOOKUP('Données projet'!$B$14,Paramètres!$A$1:$I$89,3,0)*VLOOKUP('Données projet'!$B$14,Paramètres!$A$1:$I$89,5,0)</f>
        <v>164.00000003400012</v>
      </c>
      <c r="DQ185" s="13">
        <f t="shared" si="176"/>
        <v>41.743425916009095</v>
      </c>
      <c r="DR185" s="20">
        <f t="shared" si="177"/>
        <v>358.3364668629327</v>
      </c>
      <c r="DS185" s="59">
        <f t="shared" si="125"/>
        <v>649.96294755697602</v>
      </c>
      <c r="DT185" s="59">
        <f ca="1">AVERAGE(OFFSET($DS$3,0,0,'Données projet'!$E$14+1,1))-AVERAGE(OFFSET($H$3,0,0,'Données projet'!$E$14+1,1))</f>
        <v>206.5241977687125</v>
      </c>
      <c r="DU185" s="59">
        <f t="shared" si="152"/>
        <v>205.25001043771269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3.4453902747688954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3.4453902747688954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155.99999999999991</v>
      </c>
      <c r="EK185" s="17">
        <f>EJ185*VLOOKUP('Données projet'!$B$15,Paramètres!$A$1:$I$89,3,0)*VLOOKUP('Données projet'!$B$15,Paramètres!$A$1:$I$89,5,0)</f>
        <v>136.28159999999994</v>
      </c>
      <c r="EL185" s="13">
        <f t="shared" si="179"/>
        <v>35.443842312892279</v>
      </c>
      <c r="EM185" s="20">
        <f t="shared" si="180"/>
        <v>299.08847869495395</v>
      </c>
      <c r="EN185" s="59">
        <f t="shared" si="128"/>
        <v>590.71495938899727</v>
      </c>
      <c r="EO185" s="59">
        <f ca="1">AVERAGE(OFFSET($EN$3,0,0,'Données projet'!$E$15+1,1))-AVERAGE(OFFSET($H$3,0,0,'Données projet'!$E$15+1,1))</f>
        <v>205.83135724908942</v>
      </c>
      <c r="EP185" s="59">
        <f t="shared" si="154"/>
        <v>193.60053377311405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3.4310657897247721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3.4310657897247721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204.00000000000017</v>
      </c>
      <c r="FF185" s="17">
        <f>FE185*VLOOKUP('Données projet'!$B$16,Paramètres!$A$1:$I$89,3,0)*VLOOKUP('Données projet'!$B$16,Paramètres!$A$1:$I$89,5,0)</f>
        <v>133.66080000000011</v>
      </c>
      <c r="FG185" s="13">
        <f t="shared" si="182"/>
        <v>34.840890682716783</v>
      </c>
      <c r="FH185" s="20">
        <f t="shared" si="183"/>
        <v>293.4737779390652</v>
      </c>
      <c r="FI185" s="59">
        <f t="shared" si="131"/>
        <v>585.10025863310852</v>
      </c>
      <c r="FJ185" s="59">
        <f ca="1">AVERAGE(OFFSET($FI$3,0,0,'Données projet'!$E$16+1,1))-AVERAGE(OFFSET($H$3,0,0,'Données projet'!$E$16+1,1))</f>
        <v>242.76791261317206</v>
      </c>
      <c r="FK185" s="59">
        <f t="shared" si="156"/>
        <v>244.28580264867682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6.3732204040208655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6.3732204040208655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18.829999999999643</v>
      </c>
      <c r="GA185" s="17">
        <f>FZ185*VLOOKUP('Données projet'!$B$17,Paramètres!$A$1:$I$89,3,0)*VLOOKUP('Données projet'!$B$17,Paramètres!$A$1:$I$89,5,0)</f>
        <v>17.918627999999661</v>
      </c>
      <c r="GB185" s="13">
        <f t="shared" si="185"/>
        <v>5.9016322671185755</v>
      </c>
      <c r="GC185" s="20">
        <f t="shared" si="186"/>
        <v>41.486953298564259</v>
      </c>
      <c r="GD185" s="59">
        <f t="shared" si="134"/>
        <v>333.11343399260761</v>
      </c>
      <c r="GE185" s="59">
        <f ca="1">AVERAGE(OFFSET($GD$3,0,0,'Données projet'!$E$17+1,1))-AVERAGE(OFFSET($H$3,0,0,'Données projet'!$E$17+1,1))</f>
        <v>512.71941256120977</v>
      </c>
      <c r="GF185" s="59">
        <f t="shared" si="158"/>
        <v>230.65031527019354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155.52396311847292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155.52396311847292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69.534494734739084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-5.6843418860808015E-14</v>
      </c>
      <c r="GV185" s="17">
        <f>GU185*VLOOKUP('Données projet'!$B$18,Paramètres!$A$1:$I$89,3,0)*VLOOKUP('Données projet'!$B$18,Paramètres!$A$1:$I$89,5,0)</f>
        <v>-2.5006556825246661E-14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180.68917161146683</v>
      </c>
      <c r="HA185" s="59">
        <f t="shared" si="160"/>
        <v>344.42126252322419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3.1511769392616755</v>
      </c>
      <c r="HH185" s="21">
        <f>EXP(-LN(2)/25)*HH184+(1-EXP(-LN(2)/25))/(LN(2)/25)*Calculateur!HC185*Calculateur!HE185*VLOOKUP('Données projet'!$B$18,Paramètres!$A$1:$I$89,3,0)*0.475*44/12</f>
        <v>0.24485774039604008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3.3960346796577157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2.25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8.25</v>
      </c>
      <c r="H186" s="66">
        <f t="shared" si="110"/>
        <v>223.66666666666666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18.829999999999643</v>
      </c>
      <c r="O186" s="13">
        <f>N186*VLOOKUP('Données projet'!$B$9,Paramètres!$A$1:$I$89,3,0)*VLOOKUP('Données projet'!$B$9,Paramètres!$A$1:$I$89,5,0)</f>
        <v>17.037383999999676</v>
      </c>
      <c r="P186" s="13">
        <f t="shared" si="141"/>
        <v>5.644424624466958</v>
      </c>
      <c r="Q186" s="20">
        <f t="shared" si="162"/>
        <v>39.504150020946049</v>
      </c>
      <c r="R186" s="59">
        <f t="shared" si="109"/>
        <v>331.16024079233023</v>
      </c>
      <c r="S186" s="59">
        <f ca="1">AVERAGE(OFFSET($R$3,0,0,'Données projet'!$E$9+1,1))-AVERAGE(OFFSET($H$3,0,0,'Données projet'!$E$9+1,1))</f>
        <v>490.57849401500789</v>
      </c>
      <c r="T186" s="59">
        <f t="shared" si="142"/>
        <v>221.7570623669753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144.97550028843088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144.97550028843088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-0.37000000000000455</v>
      </c>
      <c r="AI186" s="13">
        <f>IF('Données projet'!$A$62&gt;35,AI185+AH186-AQ185,IF(A186&lt;'Données projet'!$A$62,$AF$205^A186,IF(A186='Données projet'!$A$62,'Données projet'!$B$62,AI185+AH186-AQ185)))</f>
        <v>300.5099999999992</v>
      </c>
      <c r="AJ186" s="13">
        <f>AI186*VLOOKUP('Données projet'!$B$10,Paramètres!$A$1:$I$89,3,0)*VLOOKUP('Données projet'!$B$10,Paramètres!$A$1:$I$89,5,0)</f>
        <v>201.58210799999949</v>
      </c>
      <c r="AK186" s="13">
        <f t="shared" si="164"/>
        <v>50.091707568866916</v>
      </c>
      <c r="AL186" s="20">
        <f t="shared" si="165"/>
        <v>438.33189544910897</v>
      </c>
      <c r="AM186" s="59">
        <f t="shared" si="113"/>
        <v>729.98798622049321</v>
      </c>
      <c r="AN186" s="59">
        <f ca="1">AVERAGE(OFFSET($AM$3,0,0,'Données projet'!$E$10+1,1))-AVERAGE(OFFSET($H$3,0,0,'Données projet'!$E$10+1,1))</f>
        <v>377.00534440335832</v>
      </c>
      <c r="AO186" s="59">
        <f t="shared" si="144"/>
        <v>131.56029120000656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127.7175146250719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127.7175146250719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212.00000000000009</v>
      </c>
      <c r="BE186" s="13">
        <f>BD186*VLOOKUP('Données projet'!$B$11,Paramètres!$A$1:$I$89,3,0)*VLOOKUP('Données projet'!$B$11,Paramètres!$A$1:$I$89,5,0)</f>
        <v>185.20320000000009</v>
      </c>
      <c r="BF186" s="13">
        <f t="shared" si="167"/>
        <v>46.477875402099386</v>
      </c>
      <c r="BG186" s="20">
        <f t="shared" si="168"/>
        <v>403.5112063253232</v>
      </c>
      <c r="BH186" s="59">
        <f t="shared" si="116"/>
        <v>695.16729709670744</v>
      </c>
      <c r="BI186" s="59">
        <f ca="1">AVERAGE(OFFSET($BH$3,0,0,'Données projet'!$E$11+1,1))-AVERAGE(OFFSET($H$3,0,0,'Données projet'!$E$11+1,1))</f>
        <v>314.1123649635374</v>
      </c>
      <c r="BJ186" s="59">
        <f t="shared" si="146"/>
        <v>274.92342227914889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8.4630461471758451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8.4630461471758451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212.42519999999985</v>
      </c>
      <c r="CA186" s="13">
        <f t="shared" si="170"/>
        <v>52.465198231787184</v>
      </c>
      <c r="CB186" s="20">
        <f t="shared" si="171"/>
        <v>461.35077692036231</v>
      </c>
      <c r="CC186" s="59">
        <f t="shared" si="119"/>
        <v>753.00686769174649</v>
      </c>
      <c r="CD186" s="59">
        <f ca="1">AVERAGE(OFFSET($CC$3,0,0,'Données projet'!$E$12+1,1))-AVERAGE(OFFSET($H$3,0,0,'Données projet'!$E$12+1,1))</f>
        <v>309.86296291630748</v>
      </c>
      <c r="CE186" s="59">
        <f t="shared" si="148"/>
        <v>301.17633325088661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5.6424681421422624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5.6424681421422624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404.00000000000017</v>
      </c>
      <c r="CU186" s="17">
        <f>CT186*VLOOKUP('Données projet'!$B$13,Paramètres!$A$1:$I$89,3,0)*VLOOKUP('Données projet'!$B$13,Paramètres!$A$1:$I$89,5,0)</f>
        <v>346.63200000000018</v>
      </c>
      <c r="CV186" s="13">
        <f t="shared" si="173"/>
        <v>80.868615263336864</v>
      </c>
      <c r="CW186" s="20">
        <f t="shared" si="174"/>
        <v>744.56357158364528</v>
      </c>
      <c r="CX186" s="59">
        <f t="shared" si="122"/>
        <v>1036.2196623550294</v>
      </c>
      <c r="CY186" s="59">
        <f ca="1">AVERAGE(OFFSET($CX$3,0,0,'Données projet'!$E$13+1,1))-AVERAGE(OFFSET($H$3,0,0,'Données projet'!$E$13+1,1))</f>
        <v>462.66388549889928</v>
      </c>
      <c r="CZ186" s="59">
        <f t="shared" si="150"/>
        <v>265.3725203415089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28.70474121149692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28.70474121149692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210.25641030000014</v>
      </c>
      <c r="DP186" s="17">
        <f>DO186*VLOOKUP('Données projet'!$B$14,Paramètres!$A$1:$I$89,3,0)*VLOOKUP('Données projet'!$B$14,Paramètres!$A$1:$I$89,5,0)</f>
        <v>164.00000003400012</v>
      </c>
      <c r="DQ186" s="13">
        <f t="shared" si="176"/>
        <v>41.743425916009095</v>
      </c>
      <c r="DR186" s="20">
        <f t="shared" si="177"/>
        <v>358.3364668629327</v>
      </c>
      <c r="DS186" s="59">
        <f t="shared" si="125"/>
        <v>649.99255763431688</v>
      </c>
      <c r="DT186" s="59">
        <f ca="1">AVERAGE(OFFSET($DS$3,0,0,'Données projet'!$E$14+1,1))-AVERAGE(OFFSET($H$3,0,0,'Données projet'!$E$14+1,1))</f>
        <v>206.5241977687125</v>
      </c>
      <c r="DU186" s="59">
        <f t="shared" si="152"/>
        <v>205.25001043771269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3.3778282729612408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3.3778282729612408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155.99999999999991</v>
      </c>
      <c r="EK186" s="17">
        <f>EJ186*VLOOKUP('Données projet'!$B$15,Paramètres!$A$1:$I$89,3,0)*VLOOKUP('Données projet'!$B$15,Paramètres!$A$1:$I$89,5,0)</f>
        <v>136.28159999999994</v>
      </c>
      <c r="EL186" s="13">
        <f t="shared" si="179"/>
        <v>35.443842312892279</v>
      </c>
      <c r="EM186" s="20">
        <f t="shared" si="180"/>
        <v>299.08847869495395</v>
      </c>
      <c r="EN186" s="59">
        <f t="shared" si="128"/>
        <v>590.74456946633813</v>
      </c>
      <c r="EO186" s="59">
        <f ca="1">AVERAGE(OFFSET($EN$3,0,0,'Données projet'!$E$15+1,1))-AVERAGE(OFFSET($H$3,0,0,'Données projet'!$E$15+1,1))</f>
        <v>205.83135724908942</v>
      </c>
      <c r="EP186" s="59">
        <f t="shared" si="154"/>
        <v>193.60053377311405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3.3637846823317599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3.3637846823317599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204.00000000000017</v>
      </c>
      <c r="FF186" s="17">
        <f>FE186*VLOOKUP('Données projet'!$B$16,Paramètres!$A$1:$I$89,3,0)*VLOOKUP('Données projet'!$B$16,Paramètres!$A$1:$I$89,5,0)</f>
        <v>133.66080000000011</v>
      </c>
      <c r="FG186" s="13">
        <f t="shared" si="182"/>
        <v>34.840890682716783</v>
      </c>
      <c r="FH186" s="20">
        <f t="shared" si="183"/>
        <v>293.4737779390652</v>
      </c>
      <c r="FI186" s="59">
        <f t="shared" si="131"/>
        <v>585.12986871044939</v>
      </c>
      <c r="FJ186" s="59">
        <f ca="1">AVERAGE(OFFSET($FI$3,0,0,'Données projet'!$E$16+1,1))-AVERAGE(OFFSET($H$3,0,0,'Données projet'!$E$16+1,1))</f>
        <v>242.76791261317206</v>
      </c>
      <c r="FK186" s="59">
        <f t="shared" si="156"/>
        <v>244.28580264867682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6.2482454391786257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6.2482454391786257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18.829999999999643</v>
      </c>
      <c r="GA186" s="17">
        <f>FZ186*VLOOKUP('Données projet'!$B$17,Paramètres!$A$1:$I$89,3,0)*VLOOKUP('Données projet'!$B$17,Paramètres!$A$1:$I$89,5,0)</f>
        <v>17.918627999999661</v>
      </c>
      <c r="GB186" s="13">
        <f t="shared" si="185"/>
        <v>5.9016322671185755</v>
      </c>
      <c r="GC186" s="20">
        <f t="shared" si="186"/>
        <v>41.486953298564259</v>
      </c>
      <c r="GD186" s="59">
        <f t="shared" si="134"/>
        <v>333.14304406994847</v>
      </c>
      <c r="GE186" s="59">
        <f ca="1">AVERAGE(OFFSET($GD$3,0,0,'Données projet'!$E$17+1,1))-AVERAGE(OFFSET($H$3,0,0,'Données projet'!$E$17+1,1))</f>
        <v>512.71941256120977</v>
      </c>
      <c r="GF186" s="59">
        <f t="shared" si="158"/>
        <v>230.65031527019354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152.47423306197049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152.47423306197049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69.542570210377505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-5.6843418860808015E-14</v>
      </c>
      <c r="GV186" s="17">
        <f>GU186*VLOOKUP('Données projet'!$B$18,Paramètres!$A$1:$I$89,3,0)*VLOOKUP('Données projet'!$B$18,Paramètres!$A$1:$I$89,5,0)</f>
        <v>-2.5006556825246661E-14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180.68917161146683</v>
      </c>
      <c r="HA186" s="59">
        <f t="shared" si="160"/>
        <v>344.42126252322419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3.0893842815109025</v>
      </c>
      <c r="HH186" s="21">
        <f>EXP(-LN(2)/25)*HH185+(1-EXP(-LN(2)/25))/(LN(2)/25)*Calculateur!HC186*Calculateur!HE186*VLOOKUP('Données projet'!$B$18,Paramètres!$A$1:$I$89,3,0)*0.475*44/12</f>
        <v>0.23816209260840143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3.3275463741193039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2.25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8.25</v>
      </c>
      <c r="H187" s="66">
        <f t="shared" si="110"/>
        <v>223.66666666666666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18.829999999999643</v>
      </c>
      <c r="O187" s="13">
        <f>N187*VLOOKUP('Données projet'!$B$9,Paramètres!$A$1:$I$89,3,0)*VLOOKUP('Données projet'!$B$9,Paramètres!$A$1:$I$89,5,0)</f>
        <v>17.037383999999676</v>
      </c>
      <c r="P187" s="13">
        <f t="shared" si="141"/>
        <v>5.644424624466958</v>
      </c>
      <c r="Q187" s="20">
        <f t="shared" si="162"/>
        <v>39.504150020946049</v>
      </c>
      <c r="R187" s="59">
        <f t="shared" si="109"/>
        <v>331.18933720102746</v>
      </c>
      <c r="S187" s="59">
        <f ca="1">AVERAGE(OFFSET($R$3,0,0,'Données projet'!$E$9+1,1))-AVERAGE(OFFSET($H$3,0,0,'Données projet'!$E$9+1,1))</f>
        <v>490.57849401500789</v>
      </c>
      <c r="T187" s="59">
        <f t="shared" si="142"/>
        <v>221.7570623669753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142.13261915409856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142.13261915409856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>
        <f>VLOOKUP(A187,'Données projet'!$A$61:$I$81,2,0)</f>
        <v>300.14</v>
      </c>
      <c r="AG187" s="12">
        <f>VLOOKUP(A187,'Données projet'!$A$61:$I$81,9,0)</f>
        <v>-0.37000000000000455</v>
      </c>
      <c r="AH187" s="12">
        <f t="array" ref="AH187">INDEX(AG:AG,MIN(IF(ISNUMBER(AG187:AG383),ROW(AG187:AG383),"")))</f>
        <v>-0.37000000000000455</v>
      </c>
      <c r="AI187" s="13">
        <f>IF('Données projet'!$A$62&gt;35,AI186+AH187-AQ186,IF(A187&lt;'Données projet'!$A$62,$AF$205^A187,IF(A187='Données projet'!$A$62,'Données projet'!$B$62,AI186+AH187-AQ186)))</f>
        <v>300.13999999999919</v>
      </c>
      <c r="AJ187" s="13">
        <f>AI187*VLOOKUP('Données projet'!$B$10,Paramètres!$A$1:$I$89,3,0)*VLOOKUP('Données projet'!$B$10,Paramètres!$A$1:$I$89,5,0)</f>
        <v>201.33391199999946</v>
      </c>
      <c r="AK187" s="13">
        <f t="shared" si="164"/>
        <v>50.037207698003925</v>
      </c>
      <c r="AL187" s="20">
        <f t="shared" si="165"/>
        <v>437.80470014068919</v>
      </c>
      <c r="AM187" s="59">
        <f t="shared" si="113"/>
        <v>729.48988732077055</v>
      </c>
      <c r="AN187" s="59">
        <f ca="1">AVERAGE(OFFSET($AM$3,0,0,'Données projet'!$E$10+1,1))-AVERAGE(OFFSET($H$3,0,0,'Données projet'!$E$10+1,1))</f>
        <v>377.00534440335832</v>
      </c>
      <c r="AO187" s="59">
        <f t="shared" si="144"/>
        <v>131.56029120000656</v>
      </c>
      <c r="AP187" s="15">
        <f>IF(ISNA(VLOOKUP(A187,'Données projet'!$A$61:$I$81,3,0)),0,VLOOKUP(A187,'Données projet'!$A$61:$I$81,3,0))</f>
        <v>14</v>
      </c>
      <c r="AQ187" s="15">
        <f>IF(ISNA(VLOOKUP(A187,'Données projet'!$A$61:$I$81,4,0)),0,VLOOKUP(A187,'Données projet'!$A$61:$I$81,4,0))</f>
        <v>88.94</v>
      </c>
      <c r="AR187" s="16">
        <f>IF(ISNA(VLOOKUP(A187,'Données projet'!$A$61:$I$81,5,0)),0%,VLOOKUP(A187,'Données projet'!$A$61:$I$81,5,0)*VLOOKUP('Données projet'!$B$10,Paramètres!$A$1:$I$89,7,0))</f>
        <v>0.53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160.16836214615685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160.16836214615685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212.00000000000009</v>
      </c>
      <c r="BE187" s="13">
        <f>BD187*VLOOKUP('Données projet'!$B$11,Paramètres!$A$1:$I$89,3,0)*VLOOKUP('Données projet'!$B$11,Paramètres!$A$1:$I$89,5,0)</f>
        <v>185.20320000000009</v>
      </c>
      <c r="BF187" s="13">
        <f t="shared" si="167"/>
        <v>46.477875402099386</v>
      </c>
      <c r="BG187" s="20">
        <f t="shared" si="168"/>
        <v>403.5112063253232</v>
      </c>
      <c r="BH187" s="59">
        <f t="shared" si="116"/>
        <v>695.19639350540456</v>
      </c>
      <c r="BI187" s="59">
        <f ca="1">AVERAGE(OFFSET($BH$3,0,0,'Données projet'!$E$11+1,1))-AVERAGE(OFFSET($H$3,0,0,'Données projet'!$E$11+1,1))</f>
        <v>314.1123649635374</v>
      </c>
      <c r="BJ187" s="59">
        <f t="shared" si="146"/>
        <v>274.92342227914889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8.2970909741781771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8.2970909741781771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212.42519999999985</v>
      </c>
      <c r="CA187" s="13">
        <f t="shared" si="170"/>
        <v>52.465198231787184</v>
      </c>
      <c r="CB187" s="20">
        <f t="shared" si="171"/>
        <v>461.35077692036231</v>
      </c>
      <c r="CC187" s="59">
        <f t="shared" si="119"/>
        <v>753.03596410044372</v>
      </c>
      <c r="CD187" s="59">
        <f ca="1">AVERAGE(OFFSET($CC$3,0,0,'Données projet'!$E$12+1,1))-AVERAGE(OFFSET($H$3,0,0,'Données projet'!$E$12+1,1))</f>
        <v>309.86296291630748</v>
      </c>
      <c r="CE187" s="59">
        <f t="shared" si="148"/>
        <v>301.17633325088661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5.5318227834405933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5.5318227834405933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404.00000000000017</v>
      </c>
      <c r="CU187" s="17">
        <f>CT187*VLOOKUP('Données projet'!$B$13,Paramètres!$A$1:$I$89,3,0)*VLOOKUP('Données projet'!$B$13,Paramètres!$A$1:$I$89,5,0)</f>
        <v>346.63200000000018</v>
      </c>
      <c r="CV187" s="13">
        <f t="shared" si="173"/>
        <v>80.868615263336864</v>
      </c>
      <c r="CW187" s="20">
        <f t="shared" si="174"/>
        <v>744.56357158364528</v>
      </c>
      <c r="CX187" s="59">
        <f t="shared" si="122"/>
        <v>1036.2487587637268</v>
      </c>
      <c r="CY187" s="59">
        <f ca="1">AVERAGE(OFFSET($CX$3,0,0,'Données projet'!$E$13+1,1))-AVERAGE(OFFSET($H$3,0,0,'Données projet'!$E$13+1,1))</f>
        <v>462.66388549889928</v>
      </c>
      <c r="CZ187" s="59">
        <f t="shared" si="150"/>
        <v>265.3725203415089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28.141858744502816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28.141858744502816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210.25641030000014</v>
      </c>
      <c r="DP187" s="17">
        <f>DO187*VLOOKUP('Données projet'!$B$14,Paramètres!$A$1:$I$89,3,0)*VLOOKUP('Données projet'!$B$14,Paramètres!$A$1:$I$89,5,0)</f>
        <v>164.00000003400012</v>
      </c>
      <c r="DQ187" s="13">
        <f t="shared" si="176"/>
        <v>41.743425916009095</v>
      </c>
      <c r="DR187" s="20">
        <f t="shared" si="177"/>
        <v>358.3364668629327</v>
      </c>
      <c r="DS187" s="59">
        <f t="shared" si="125"/>
        <v>650.02165404301411</v>
      </c>
      <c r="DT187" s="59">
        <f ca="1">AVERAGE(OFFSET($DS$3,0,0,'Données projet'!$E$14+1,1))-AVERAGE(OFFSET($H$3,0,0,'Données projet'!$E$14+1,1))</f>
        <v>206.5241977687125</v>
      </c>
      <c r="DU187" s="59">
        <f t="shared" si="152"/>
        <v>205.25001043771269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3.3115911208002826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3.3115911208002826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155.99999999999991</v>
      </c>
      <c r="EK187" s="17">
        <f>EJ187*VLOOKUP('Données projet'!$B$15,Paramètres!$A$1:$I$89,3,0)*VLOOKUP('Données projet'!$B$15,Paramètres!$A$1:$I$89,5,0)</f>
        <v>136.28159999999994</v>
      </c>
      <c r="EL187" s="13">
        <f t="shared" si="179"/>
        <v>35.443842312892279</v>
      </c>
      <c r="EM187" s="20">
        <f t="shared" si="180"/>
        <v>299.08847869495395</v>
      </c>
      <c r="EN187" s="59">
        <f t="shared" si="128"/>
        <v>590.77366587503536</v>
      </c>
      <c r="EO187" s="59">
        <f ca="1">AVERAGE(OFFSET($EN$3,0,0,'Données projet'!$E$15+1,1))-AVERAGE(OFFSET($H$3,0,0,'Données projet'!$E$15+1,1))</f>
        <v>205.83135724908942</v>
      </c>
      <c r="EP187" s="59">
        <f t="shared" si="154"/>
        <v>193.60053377311405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3.2978229164173012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3.2978229164173012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204.00000000000017</v>
      </c>
      <c r="FF187" s="17">
        <f>FE187*VLOOKUP('Données projet'!$B$16,Paramètres!$A$1:$I$89,3,0)*VLOOKUP('Données projet'!$B$16,Paramètres!$A$1:$I$89,5,0)</f>
        <v>133.66080000000011</v>
      </c>
      <c r="FG187" s="13">
        <f t="shared" si="182"/>
        <v>34.840890682716783</v>
      </c>
      <c r="FH187" s="20">
        <f t="shared" si="183"/>
        <v>293.4737779390652</v>
      </c>
      <c r="FI187" s="59">
        <f t="shared" si="131"/>
        <v>585.15896511914661</v>
      </c>
      <c r="FJ187" s="59">
        <f ca="1">AVERAGE(OFFSET($FI$3,0,0,'Données projet'!$E$16+1,1))-AVERAGE(OFFSET($H$3,0,0,'Données projet'!$E$16+1,1))</f>
        <v>242.76791261317206</v>
      </c>
      <c r="FK187" s="59">
        <f t="shared" si="156"/>
        <v>244.28580264867682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6.1257211571697407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6.1257211571697407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18.829999999999643</v>
      </c>
      <c r="GA187" s="17">
        <f>FZ187*VLOOKUP('Données projet'!$B$17,Paramètres!$A$1:$I$89,3,0)*VLOOKUP('Données projet'!$B$17,Paramètres!$A$1:$I$89,5,0)</f>
        <v>17.918627999999661</v>
      </c>
      <c r="GB187" s="13">
        <f t="shared" si="185"/>
        <v>5.9016322671185755</v>
      </c>
      <c r="GC187" s="20">
        <f t="shared" si="186"/>
        <v>41.486953298564259</v>
      </c>
      <c r="GD187" s="59">
        <f t="shared" si="134"/>
        <v>333.1721404786457</v>
      </c>
      <c r="GE187" s="59">
        <f ca="1">AVERAGE(OFFSET($GD$3,0,0,'Données projet'!$E$17+1,1))-AVERAGE(OFFSET($H$3,0,0,'Données projet'!$E$17+1,1))</f>
        <v>512.71941256120977</v>
      </c>
      <c r="GF187" s="59">
        <f t="shared" si="158"/>
        <v>230.65031527019354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149.48430635172443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149.48430635172443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69.550505594567653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-5.6843418860808015E-14</v>
      </c>
      <c r="GV187" s="17">
        <f>GU187*VLOOKUP('Données projet'!$B$18,Paramètres!$A$1:$I$89,3,0)*VLOOKUP('Données projet'!$B$18,Paramètres!$A$1:$I$89,5,0)</f>
        <v>-2.5006556825246661E-14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180.68917161146683</v>
      </c>
      <c r="HA187" s="59">
        <f t="shared" si="160"/>
        <v>344.42126252322419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3.0288033400888223</v>
      </c>
      <c r="HH187" s="21">
        <f>EXP(-LN(2)/25)*HH186+(1-EXP(-LN(2)/25))/(LN(2)/25)*Calculateur!HC187*Calculateur!HE187*VLOOKUP('Données projet'!$B$18,Paramètres!$A$1:$I$89,3,0)*0.475*44/12</f>
        <v>0.23164953766162458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3.2604528777504469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2.25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8.25</v>
      </c>
      <c r="H188" s="66">
        <f t="shared" si="110"/>
        <v>223.66666666666666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18.829999999999643</v>
      </c>
      <c r="O188" s="13">
        <f>N188*VLOOKUP('Données projet'!$B$9,Paramètres!$A$1:$I$89,3,0)*VLOOKUP('Données projet'!$B$9,Paramètres!$A$1:$I$89,5,0)</f>
        <v>17.037383999999676</v>
      </c>
      <c r="P188" s="13">
        <f t="shared" si="141"/>
        <v>5.644424624466958</v>
      </c>
      <c r="Q188" s="20">
        <f t="shared" si="162"/>
        <v>39.504150020946049</v>
      </c>
      <c r="R188" s="59">
        <f t="shared" si="109"/>
        <v>331.21792885208356</v>
      </c>
      <c r="S188" s="59">
        <f ca="1">AVERAGE(OFFSET($R$3,0,0,'Données projet'!$E$9+1,1))-AVERAGE(OFFSET($H$3,0,0,'Données projet'!$E$9+1,1))</f>
        <v>490.57849401500789</v>
      </c>
      <c r="T188" s="59">
        <f t="shared" si="142"/>
        <v>221.7570623669753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139.34548518482421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139.34548518482421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1.75000000000054E-2</v>
      </c>
      <c r="AI188" s="13">
        <f>IF('Données projet'!$A$62&gt;35,AI187+AH188-AQ187,IF(A188&lt;'Données projet'!$A$62,$AF$205^A188,IF(A188='Données projet'!$A$62,'Données projet'!$B$62,AI187+AH188-AQ187)))</f>
        <v>211.21749999999918</v>
      </c>
      <c r="AJ188" s="13">
        <f>AI188*VLOOKUP('Données projet'!$B$10,Paramètres!$A$1:$I$89,3,0)*VLOOKUP('Données projet'!$B$10,Paramètres!$A$1:$I$89,5,0)</f>
        <v>141.68469899999945</v>
      </c>
      <c r="AK188" s="13">
        <f t="shared" si="164"/>
        <v>36.682677286317293</v>
      </c>
      <c r="AL188" s="20">
        <f t="shared" si="165"/>
        <v>310.65651369866833</v>
      </c>
      <c r="AM188" s="59">
        <f t="shared" si="113"/>
        <v>602.37029252980585</v>
      </c>
      <c r="AN188" s="59">
        <f ca="1">AVERAGE(OFFSET($AM$3,0,0,'Données projet'!$E$10+1,1))-AVERAGE(OFFSET($H$3,0,0,'Données projet'!$E$10+1,1))</f>
        <v>377.00534440335832</v>
      </c>
      <c r="AO188" s="59">
        <f t="shared" si="144"/>
        <v>131.56029120000656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157.02755825752524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157.02755825752524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212.00000000000009</v>
      </c>
      <c r="BE188" s="13">
        <f>BD188*VLOOKUP('Données projet'!$B$11,Paramètres!$A$1:$I$89,3,0)*VLOOKUP('Données projet'!$B$11,Paramètres!$A$1:$I$89,5,0)</f>
        <v>185.20320000000009</v>
      </c>
      <c r="BF188" s="13">
        <f t="shared" si="167"/>
        <v>46.477875402099386</v>
      </c>
      <c r="BG188" s="20">
        <f t="shared" si="168"/>
        <v>403.5112063253232</v>
      </c>
      <c r="BH188" s="59">
        <f t="shared" si="116"/>
        <v>695.22498515646066</v>
      </c>
      <c r="BI188" s="59">
        <f ca="1">AVERAGE(OFFSET($BH$3,0,0,'Données projet'!$E$11+1,1))-AVERAGE(OFFSET($H$3,0,0,'Données projet'!$E$11+1,1))</f>
        <v>314.1123649635374</v>
      </c>
      <c r="BJ188" s="59">
        <f t="shared" si="146"/>
        <v>274.92342227914889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8.1343900809003316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8.1343900809003316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212.42519999999985</v>
      </c>
      <c r="CA188" s="13">
        <f t="shared" si="170"/>
        <v>52.465198231787184</v>
      </c>
      <c r="CB188" s="20">
        <f t="shared" si="171"/>
        <v>461.35077692036231</v>
      </c>
      <c r="CC188" s="59">
        <f t="shared" si="119"/>
        <v>753.06455575149982</v>
      </c>
      <c r="CD188" s="59">
        <f ca="1">AVERAGE(OFFSET($CC$3,0,0,'Données projet'!$E$12+1,1))-AVERAGE(OFFSET($H$3,0,0,'Données projet'!$E$12+1,1))</f>
        <v>309.86296291630748</v>
      </c>
      <c r="CE188" s="59">
        <f t="shared" si="148"/>
        <v>301.17633325088661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5.4233471127360584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5.4233471127360584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404.00000000000017</v>
      </c>
      <c r="CU188" s="17">
        <f>CT188*VLOOKUP('Données projet'!$B$13,Paramètres!$A$1:$I$89,3,0)*VLOOKUP('Données projet'!$B$13,Paramètres!$A$1:$I$89,5,0)</f>
        <v>346.63200000000018</v>
      </c>
      <c r="CV188" s="13">
        <f t="shared" si="173"/>
        <v>80.868615263336864</v>
      </c>
      <c r="CW188" s="20">
        <f t="shared" si="174"/>
        <v>744.56357158364528</v>
      </c>
      <c r="CX188" s="59">
        <f t="shared" si="122"/>
        <v>1036.2773504147829</v>
      </c>
      <c r="CY188" s="59">
        <f ca="1">AVERAGE(OFFSET($CX$3,0,0,'Données projet'!$E$13+1,1))-AVERAGE(OFFSET($H$3,0,0,'Données projet'!$E$13+1,1))</f>
        <v>462.66388549889928</v>
      </c>
      <c r="CZ188" s="59">
        <f t="shared" si="150"/>
        <v>265.3725203415089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27.590014059362062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27.590014059362062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210.25641030000014</v>
      </c>
      <c r="DP188" s="17">
        <f>DO188*VLOOKUP('Données projet'!$B$14,Paramètres!$A$1:$I$89,3,0)*VLOOKUP('Données projet'!$B$14,Paramètres!$A$1:$I$89,5,0)</f>
        <v>164.00000003400012</v>
      </c>
      <c r="DQ188" s="13">
        <f t="shared" si="176"/>
        <v>41.743425916009095</v>
      </c>
      <c r="DR188" s="20">
        <f t="shared" si="177"/>
        <v>358.3364668629327</v>
      </c>
      <c r="DS188" s="59">
        <f t="shared" si="125"/>
        <v>650.05024569407021</v>
      </c>
      <c r="DT188" s="59">
        <f ca="1">AVERAGE(OFFSET($DS$3,0,0,'Données projet'!$E$14+1,1))-AVERAGE(OFFSET($H$3,0,0,'Données projet'!$E$14+1,1))</f>
        <v>206.5241977687125</v>
      </c>
      <c r="DU188" s="59">
        <f t="shared" si="152"/>
        <v>205.25001043771269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3.2466528387925271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3.2466528387925271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155.99999999999991</v>
      </c>
      <c r="EK188" s="17">
        <f>EJ188*VLOOKUP('Données projet'!$B$15,Paramètres!$A$1:$I$89,3,0)*VLOOKUP('Données projet'!$B$15,Paramètres!$A$1:$I$89,5,0)</f>
        <v>136.28159999999994</v>
      </c>
      <c r="EL188" s="13">
        <f t="shared" si="179"/>
        <v>35.443842312892279</v>
      </c>
      <c r="EM188" s="20">
        <f t="shared" si="180"/>
        <v>299.08847869495395</v>
      </c>
      <c r="EN188" s="59">
        <f t="shared" si="128"/>
        <v>590.80225752609147</v>
      </c>
      <c r="EO188" s="59">
        <f ca="1">AVERAGE(OFFSET($EN$3,0,0,'Données projet'!$E$15+1,1))-AVERAGE(OFFSET($H$3,0,0,'Données projet'!$E$15+1,1))</f>
        <v>205.83135724908942</v>
      </c>
      <c r="EP188" s="59">
        <f t="shared" si="154"/>
        <v>193.60053377311405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3.2331546204997204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3.2331546204997204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204.00000000000017</v>
      </c>
      <c r="FF188" s="17">
        <f>FE188*VLOOKUP('Données projet'!$B$16,Paramètres!$A$1:$I$89,3,0)*VLOOKUP('Données projet'!$B$16,Paramètres!$A$1:$I$89,5,0)</f>
        <v>133.66080000000011</v>
      </c>
      <c r="FG188" s="13">
        <f t="shared" si="182"/>
        <v>34.840890682716783</v>
      </c>
      <c r="FH188" s="20">
        <f t="shared" si="183"/>
        <v>293.4737779390652</v>
      </c>
      <c r="FI188" s="59">
        <f t="shared" si="131"/>
        <v>585.18755677020272</v>
      </c>
      <c r="FJ188" s="59">
        <f ca="1">AVERAGE(OFFSET($FI$3,0,0,'Données projet'!$E$16+1,1))-AVERAGE(OFFSET($H$3,0,0,'Données projet'!$E$16+1,1))</f>
        <v>242.76791261317206</v>
      </c>
      <c r="FK188" s="59">
        <f t="shared" si="156"/>
        <v>244.28580264867682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6.005599501598617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6.005599501598617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18.829999999999643</v>
      </c>
      <c r="GA188" s="17">
        <f>FZ188*VLOOKUP('Données projet'!$B$17,Paramètres!$A$1:$I$89,3,0)*VLOOKUP('Données projet'!$B$17,Paramètres!$A$1:$I$89,5,0)</f>
        <v>17.918627999999661</v>
      </c>
      <c r="GB188" s="13">
        <f t="shared" si="185"/>
        <v>5.9016322671185755</v>
      </c>
      <c r="GC188" s="20">
        <f t="shared" si="186"/>
        <v>41.486953298564259</v>
      </c>
      <c r="GD188" s="59">
        <f t="shared" si="134"/>
        <v>333.20073212970181</v>
      </c>
      <c r="GE188" s="59">
        <f ca="1">AVERAGE(OFFSET($GD$3,0,0,'Données projet'!$E$17+1,1))-AVERAGE(OFFSET($H$3,0,0,'Données projet'!$E$17+1,1))</f>
        <v>512.71941256120977</v>
      </c>
      <c r="GF188" s="59">
        <f t="shared" si="158"/>
        <v>230.65031527019354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146.55301028059105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146.55301028059105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69.558303317582954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-5.6843418860808015E-14</v>
      </c>
      <c r="GV188" s="17">
        <f>GU188*VLOOKUP('Données projet'!$B$18,Paramètres!$A$1:$I$89,3,0)*VLOOKUP('Données projet'!$B$18,Paramètres!$A$1:$I$89,5,0)</f>
        <v>-2.5006556825246661E-14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180.68917161146683</v>
      </c>
      <c r="HA188" s="59">
        <f t="shared" si="160"/>
        <v>344.42126252322419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2.9694103539773038</v>
      </c>
      <c r="HH188" s="21">
        <f>EXP(-LN(2)/25)*HH187+(1-EXP(-LN(2)/25))/(LN(2)/25)*Calculateur!HC188*Calculateur!HE188*VLOOKUP('Données projet'!$B$18,Paramètres!$A$1:$I$89,3,0)*0.475*44/12</f>
        <v>0.2253150688723477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3.1947254228496513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2.25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8.25</v>
      </c>
      <c r="H189" s="66">
        <f t="shared" si="110"/>
        <v>223.66666666666666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18.829999999999643</v>
      </c>
      <c r="O189" s="13">
        <f>N189*VLOOKUP('Données projet'!$B$9,Paramètres!$A$1:$I$89,3,0)*VLOOKUP('Données projet'!$B$9,Paramètres!$A$1:$I$89,5,0)</f>
        <v>17.037383999999676</v>
      </c>
      <c r="P189" s="13">
        <f t="shared" si="141"/>
        <v>5.644424624466958</v>
      </c>
      <c r="Q189" s="20">
        <f t="shared" si="162"/>
        <v>39.504150020946049</v>
      </c>
      <c r="R189" s="59">
        <f t="shared" si="109"/>
        <v>331.24602450191526</v>
      </c>
      <c r="S189" s="59">
        <f ca="1">AVERAGE(OFFSET($R$3,0,0,'Données projet'!$E$9+1,1))-AVERAGE(OFFSET($H$3,0,0,'Données projet'!$E$9+1,1))</f>
        <v>490.57849401500789</v>
      </c>
      <c r="T189" s="59">
        <f t="shared" si="142"/>
        <v>221.7570623669753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136.61300521270348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136.61300521270348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1.75000000000054E-2</v>
      </c>
      <c r="AI189" s="13">
        <f>IF('Données projet'!$A$62&gt;35,AI188+AH189-AQ188,IF(A189&lt;'Données projet'!$A$62,$AF$205^A189,IF(A189='Données projet'!$A$62,'Données projet'!$B$62,AI188+AH189-AQ188)))</f>
        <v>211.23499999999919</v>
      </c>
      <c r="AJ189" s="13">
        <f>AI189*VLOOKUP('Données projet'!$B$10,Paramètres!$A$1:$I$89,3,0)*VLOOKUP('Données projet'!$B$10,Paramètres!$A$1:$I$89,5,0)</f>
        <v>141.69643799999946</v>
      </c>
      <c r="AK189" s="13">
        <f t="shared" si="164"/>
        <v>36.685362771676168</v>
      </c>
      <c r="AL189" s="20">
        <f t="shared" si="165"/>
        <v>310.68163634400167</v>
      </c>
      <c r="AM189" s="59">
        <f t="shared" si="113"/>
        <v>602.42351082497089</v>
      </c>
      <c r="AN189" s="59">
        <f ca="1">AVERAGE(OFFSET($AM$3,0,0,'Données projet'!$E$10+1,1))-AVERAGE(OFFSET($H$3,0,0,'Données projet'!$E$10+1,1))</f>
        <v>377.00534440335832</v>
      </c>
      <c r="AO189" s="59">
        <f t="shared" si="144"/>
        <v>131.56029120000656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153.94834361744847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153.94834361744847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212.00000000000009</v>
      </c>
      <c r="BE189" s="13">
        <f>BD189*VLOOKUP('Données projet'!$B$11,Paramètres!$A$1:$I$89,3,0)*VLOOKUP('Données projet'!$B$11,Paramètres!$A$1:$I$89,5,0)</f>
        <v>185.20320000000009</v>
      </c>
      <c r="BF189" s="13">
        <f t="shared" si="167"/>
        <v>46.477875402099386</v>
      </c>
      <c r="BG189" s="20">
        <f t="shared" si="168"/>
        <v>403.5112063253232</v>
      </c>
      <c r="BH189" s="59">
        <f t="shared" si="116"/>
        <v>695.25308080629247</v>
      </c>
      <c r="BI189" s="59">
        <f ca="1">AVERAGE(OFFSET($BH$3,0,0,'Données projet'!$E$11+1,1))-AVERAGE(OFFSET($H$3,0,0,'Données projet'!$E$11+1,1))</f>
        <v>314.1123649635374</v>
      </c>
      <c r="BJ189" s="59">
        <f t="shared" si="146"/>
        <v>274.92342227914889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7.9748796529019188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7.9748796529019188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212.42519999999985</v>
      </c>
      <c r="CA189" s="13">
        <f t="shared" si="170"/>
        <v>52.465198231787184</v>
      </c>
      <c r="CB189" s="20">
        <f t="shared" si="171"/>
        <v>461.35077692036231</v>
      </c>
      <c r="CC189" s="59">
        <f t="shared" si="119"/>
        <v>753.09265140133152</v>
      </c>
      <c r="CD189" s="59">
        <f ca="1">AVERAGE(OFFSET($CC$3,0,0,'Données projet'!$E$12+1,1))-AVERAGE(OFFSET($H$3,0,0,'Données projet'!$E$12+1,1))</f>
        <v>309.86296291630748</v>
      </c>
      <c r="CE189" s="59">
        <f t="shared" si="148"/>
        <v>301.17633325088661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5.3169985837704132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5.3169985837704132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404.00000000000017</v>
      </c>
      <c r="CU189" s="17">
        <f>CT189*VLOOKUP('Données projet'!$B$13,Paramètres!$A$1:$I$89,3,0)*VLOOKUP('Données projet'!$B$13,Paramètres!$A$1:$I$89,5,0)</f>
        <v>346.63200000000018</v>
      </c>
      <c r="CV189" s="13">
        <f t="shared" si="173"/>
        <v>80.868615263336864</v>
      </c>
      <c r="CW189" s="20">
        <f t="shared" si="174"/>
        <v>744.56357158364528</v>
      </c>
      <c r="CX189" s="59">
        <f t="shared" si="122"/>
        <v>1036.3054460646144</v>
      </c>
      <c r="CY189" s="59">
        <f ca="1">AVERAGE(OFFSET($CX$3,0,0,'Données projet'!$E$13+1,1))-AVERAGE(OFFSET($H$3,0,0,'Données projet'!$E$13+1,1))</f>
        <v>462.66388549889928</v>
      </c>
      <c r="CZ189" s="59">
        <f t="shared" si="150"/>
        <v>265.3725203415089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27.048990711904896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27.048990711904896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210.25641030000014</v>
      </c>
      <c r="DP189" s="17">
        <f>DO189*VLOOKUP('Données projet'!$B$14,Paramètres!$A$1:$I$89,3,0)*VLOOKUP('Données projet'!$B$14,Paramètres!$A$1:$I$89,5,0)</f>
        <v>164.00000003400012</v>
      </c>
      <c r="DQ189" s="13">
        <f t="shared" si="176"/>
        <v>41.743425916009095</v>
      </c>
      <c r="DR189" s="20">
        <f t="shared" si="177"/>
        <v>358.3364668629327</v>
      </c>
      <c r="DS189" s="59">
        <f t="shared" si="125"/>
        <v>650.07834134390191</v>
      </c>
      <c r="DT189" s="59">
        <f ca="1">AVERAGE(OFFSET($DS$3,0,0,'Données projet'!$E$14+1,1))-AVERAGE(OFFSET($H$3,0,0,'Données projet'!$E$14+1,1))</f>
        <v>206.5241977687125</v>
      </c>
      <c r="DU189" s="59">
        <f t="shared" si="152"/>
        <v>205.25001043771269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3.1829879568865027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3.1829879568865027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155.99999999999991</v>
      </c>
      <c r="EK189" s="17">
        <f>EJ189*VLOOKUP('Données projet'!$B$15,Paramètres!$A$1:$I$89,3,0)*VLOOKUP('Données projet'!$B$15,Paramètres!$A$1:$I$89,5,0)</f>
        <v>136.28159999999994</v>
      </c>
      <c r="EL189" s="13">
        <f t="shared" si="179"/>
        <v>35.443842312892279</v>
      </c>
      <c r="EM189" s="20">
        <f t="shared" si="180"/>
        <v>299.08847869495395</v>
      </c>
      <c r="EN189" s="59">
        <f t="shared" si="128"/>
        <v>590.83035317592316</v>
      </c>
      <c r="EO189" s="59">
        <f ca="1">AVERAGE(OFFSET($EN$3,0,0,'Données projet'!$E$15+1,1))-AVERAGE(OFFSET($H$3,0,0,'Données projet'!$E$15+1,1))</f>
        <v>205.83135724908942</v>
      </c>
      <c r="EP189" s="59">
        <f t="shared" si="154"/>
        <v>193.60053377311405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3.1697544304213174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3.1697544304213174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204.00000000000017</v>
      </c>
      <c r="FF189" s="17">
        <f>FE189*VLOOKUP('Données projet'!$B$16,Paramètres!$A$1:$I$89,3,0)*VLOOKUP('Données projet'!$B$16,Paramètres!$A$1:$I$89,5,0)</f>
        <v>133.66080000000011</v>
      </c>
      <c r="FG189" s="13">
        <f t="shared" si="182"/>
        <v>34.840890682716783</v>
      </c>
      <c r="FH189" s="20">
        <f t="shared" si="183"/>
        <v>293.4737779390652</v>
      </c>
      <c r="FI189" s="59">
        <f t="shared" si="131"/>
        <v>585.21565242003442</v>
      </c>
      <c r="FJ189" s="59">
        <f ca="1">AVERAGE(OFFSET($FI$3,0,0,'Données projet'!$E$16+1,1))-AVERAGE(OFFSET($H$3,0,0,'Données projet'!$E$16+1,1))</f>
        <v>242.76791261317206</v>
      </c>
      <c r="FK189" s="59">
        <f t="shared" si="156"/>
        <v>244.28580264867682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5.8878333584262679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5.8878333584262679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18.829999999999643</v>
      </c>
      <c r="GA189" s="17">
        <f>FZ189*VLOOKUP('Données projet'!$B$17,Paramètres!$A$1:$I$89,3,0)*VLOOKUP('Données projet'!$B$17,Paramètres!$A$1:$I$89,5,0)</f>
        <v>17.918627999999661</v>
      </c>
      <c r="GB189" s="13">
        <f t="shared" si="185"/>
        <v>5.9016322671185755</v>
      </c>
      <c r="GC189" s="20">
        <f t="shared" si="186"/>
        <v>41.486953298564259</v>
      </c>
      <c r="GD189" s="59">
        <f t="shared" si="134"/>
        <v>333.2288277795335</v>
      </c>
      <c r="GE189" s="59">
        <f ca="1">AVERAGE(OFFSET($GD$3,0,0,'Données projet'!$E$17+1,1))-AVERAGE(OFFSET($H$3,0,0,'Données projet'!$E$17+1,1))</f>
        <v>512.71941256120977</v>
      </c>
      <c r="GF189" s="59">
        <f t="shared" si="158"/>
        <v>230.65031527019354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143.67919513749854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143.67919513749854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69.565965767537051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-5.6843418860808015E-14</v>
      </c>
      <c r="GV189" s="17">
        <f>GU189*VLOOKUP('Données projet'!$B$18,Paramètres!$A$1:$I$89,3,0)*VLOOKUP('Données projet'!$B$18,Paramètres!$A$1:$I$89,5,0)</f>
        <v>-2.5006556825246661E-14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180.68917161146683</v>
      </c>
      <c r="HA189" s="59">
        <f t="shared" si="160"/>
        <v>344.42126252322419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2.9111820280972873</v>
      </c>
      <c r="HH189" s="21">
        <f>EXP(-LN(2)/25)*HH188+(1-EXP(-LN(2)/25))/(LN(2)/25)*Calculateur!HC189*Calculateur!HE189*VLOOKUP('Données projet'!$B$18,Paramètres!$A$1:$I$89,3,0)*0.475*44/12</f>
        <v>0.21915381646522886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3.130335844562516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2.25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8.25</v>
      </c>
      <c r="H190" s="66">
        <f t="shared" si="110"/>
        <v>223.66666666666666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18.829999999999643</v>
      </c>
      <c r="O190" s="13">
        <f>N190*VLOOKUP('Données projet'!$B$9,Paramètres!$A$1:$I$89,3,0)*VLOOKUP('Données projet'!$B$9,Paramètres!$A$1:$I$89,5,0)</f>
        <v>17.037383999999676</v>
      </c>
      <c r="P190" s="13">
        <f t="shared" si="141"/>
        <v>5.644424624466958</v>
      </c>
      <c r="Q190" s="20">
        <f t="shared" si="162"/>
        <v>39.504150020946049</v>
      </c>
      <c r="R190" s="59">
        <f t="shared" si="109"/>
        <v>331.27363275503478</v>
      </c>
      <c r="S190" s="59">
        <f ca="1">AVERAGE(OFFSET($R$3,0,0,'Données projet'!$E$9+1,1))-AVERAGE(OFFSET($H$3,0,0,'Données projet'!$E$9+1,1))</f>
        <v>490.57849401500789</v>
      </c>
      <c r="T190" s="59">
        <f t="shared" si="142"/>
        <v>221.7570623669753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133.93410750618781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133.93410750618781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1.75000000000054E-2</v>
      </c>
      <c r="AI190" s="13">
        <f>IF('Données projet'!$A$62&gt;35,AI189+AH190-AQ189,IF(A190&lt;'Données projet'!$A$62,$AF$205^A190,IF(A190='Données projet'!$A$62,'Données projet'!$B$62,AI189+AH190-AQ189)))</f>
        <v>211.2524999999992</v>
      </c>
      <c r="AJ190" s="13">
        <f>AI190*VLOOKUP('Données projet'!$B$10,Paramètres!$A$1:$I$89,3,0)*VLOOKUP('Données projet'!$B$10,Paramètres!$A$1:$I$89,5,0)</f>
        <v>141.70817699999947</v>
      </c>
      <c r="AK190" s="13">
        <f t="shared" si="164"/>
        <v>36.688048231138232</v>
      </c>
      <c r="AL190" s="20">
        <f t="shared" si="165"/>
        <v>310.70675894423147</v>
      </c>
      <c r="AM190" s="59">
        <f t="shared" si="113"/>
        <v>602.47624167832021</v>
      </c>
      <c r="AN190" s="59">
        <f ca="1">AVERAGE(OFFSET($AM$3,0,0,'Données projet'!$E$10+1,1))-AVERAGE(OFFSET($H$3,0,0,'Données projet'!$E$10+1,1))</f>
        <v>377.00534440335832</v>
      </c>
      <c r="AO190" s="59">
        <f t="shared" si="144"/>
        <v>131.56029120000656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150.92951049832814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150.92951049832814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212.00000000000009</v>
      </c>
      <c r="BE190" s="13">
        <f>BD190*VLOOKUP('Données projet'!$B$11,Paramètres!$A$1:$I$89,3,0)*VLOOKUP('Données projet'!$B$11,Paramètres!$A$1:$I$89,5,0)</f>
        <v>185.20320000000009</v>
      </c>
      <c r="BF190" s="13">
        <f t="shared" si="167"/>
        <v>46.477875402099386</v>
      </c>
      <c r="BG190" s="20">
        <f t="shared" si="168"/>
        <v>403.5112063253232</v>
      </c>
      <c r="BH190" s="59">
        <f t="shared" si="116"/>
        <v>695.280689059412</v>
      </c>
      <c r="BI190" s="59">
        <f ca="1">AVERAGE(OFFSET($BH$3,0,0,'Données projet'!$E$11+1,1))-AVERAGE(OFFSET($H$3,0,0,'Données projet'!$E$11+1,1))</f>
        <v>314.1123649635374</v>
      </c>
      <c r="BJ190" s="59">
        <f t="shared" si="146"/>
        <v>274.92342227914889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7.8184971271048012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7.8184971271048012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212.42519999999985</v>
      </c>
      <c r="CA190" s="13">
        <f t="shared" si="170"/>
        <v>52.465198231787184</v>
      </c>
      <c r="CB190" s="20">
        <f t="shared" si="171"/>
        <v>461.35077692036231</v>
      </c>
      <c r="CC190" s="59">
        <f t="shared" si="119"/>
        <v>753.12025965445105</v>
      </c>
      <c r="CD190" s="59">
        <f ca="1">AVERAGE(OFFSET($CC$3,0,0,'Données projet'!$E$12+1,1))-AVERAGE(OFFSET($H$3,0,0,'Données projet'!$E$12+1,1))</f>
        <v>309.86296291630748</v>
      </c>
      <c r="CE190" s="59">
        <f t="shared" si="148"/>
        <v>301.17633325088661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5.2127354845915868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5.2127354845915868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404.00000000000017</v>
      </c>
      <c r="CU190" s="17">
        <f>CT190*VLOOKUP('Données projet'!$B$13,Paramètres!$A$1:$I$89,3,0)*VLOOKUP('Données projet'!$B$13,Paramètres!$A$1:$I$89,5,0)</f>
        <v>346.63200000000018</v>
      </c>
      <c r="CV190" s="13">
        <f t="shared" si="173"/>
        <v>80.868615263336864</v>
      </c>
      <c r="CW190" s="20">
        <f t="shared" si="174"/>
        <v>744.56357158364528</v>
      </c>
      <c r="CX190" s="59">
        <f t="shared" si="122"/>
        <v>1036.333054317734</v>
      </c>
      <c r="CY190" s="59">
        <f ca="1">AVERAGE(OFFSET($CX$3,0,0,'Données projet'!$E$13+1,1))-AVERAGE(OFFSET($H$3,0,0,'Données projet'!$E$13+1,1))</f>
        <v>462.66388549889928</v>
      </c>
      <c r="CZ190" s="59">
        <f t="shared" si="150"/>
        <v>265.3725203415089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26.518576502299709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26.518576502299709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210.25641030000014</v>
      </c>
      <c r="DP190" s="17">
        <f>DO190*VLOOKUP('Données projet'!$B$14,Paramètres!$A$1:$I$89,3,0)*VLOOKUP('Données projet'!$B$14,Paramètres!$A$1:$I$89,5,0)</f>
        <v>164.00000003400012</v>
      </c>
      <c r="DQ190" s="13">
        <f t="shared" si="176"/>
        <v>41.743425916009095</v>
      </c>
      <c r="DR190" s="20">
        <f t="shared" si="177"/>
        <v>358.3364668629327</v>
      </c>
      <c r="DS190" s="59">
        <f t="shared" si="125"/>
        <v>650.10594959702144</v>
      </c>
      <c r="DT190" s="59">
        <f ca="1">AVERAGE(OFFSET($DS$3,0,0,'Données projet'!$E$14+1,1))-AVERAGE(OFFSET($H$3,0,0,'Données projet'!$E$14+1,1))</f>
        <v>206.5241977687125</v>
      </c>
      <c r="DU190" s="59">
        <f t="shared" si="152"/>
        <v>205.25001043771269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3.1205715044829119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3.1205715044829119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155.99999999999991</v>
      </c>
      <c r="EK190" s="17">
        <f>EJ190*VLOOKUP('Données projet'!$B$15,Paramètres!$A$1:$I$89,3,0)*VLOOKUP('Données projet'!$B$15,Paramètres!$A$1:$I$89,5,0)</f>
        <v>136.28159999999994</v>
      </c>
      <c r="EL190" s="13">
        <f t="shared" si="179"/>
        <v>35.443842312892279</v>
      </c>
      <c r="EM190" s="20">
        <f t="shared" si="180"/>
        <v>299.08847869495395</v>
      </c>
      <c r="EN190" s="59">
        <f t="shared" si="128"/>
        <v>590.85796142904269</v>
      </c>
      <c r="EO190" s="59">
        <f ca="1">AVERAGE(OFFSET($EN$3,0,0,'Données projet'!$E$15+1,1))-AVERAGE(OFFSET($H$3,0,0,'Données projet'!$E$15+1,1))</f>
        <v>205.83135724908942</v>
      </c>
      <c r="EP190" s="59">
        <f t="shared" si="154"/>
        <v>193.60053377311405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3.1075974794000545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3.1075974794000545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204.00000000000017</v>
      </c>
      <c r="FF190" s="17">
        <f>FE190*VLOOKUP('Données projet'!$B$16,Paramètres!$A$1:$I$89,3,0)*VLOOKUP('Données projet'!$B$16,Paramètres!$A$1:$I$89,5,0)</f>
        <v>133.66080000000011</v>
      </c>
      <c r="FG190" s="13">
        <f t="shared" si="182"/>
        <v>34.840890682716783</v>
      </c>
      <c r="FH190" s="20">
        <f t="shared" si="183"/>
        <v>293.4737779390652</v>
      </c>
      <c r="FI190" s="59">
        <f t="shared" si="131"/>
        <v>585.24326067315394</v>
      </c>
      <c r="FJ190" s="59">
        <f ca="1">AVERAGE(OFFSET($FI$3,0,0,'Données projet'!$E$16+1,1))-AVERAGE(OFFSET($H$3,0,0,'Données projet'!$E$16+1,1))</f>
        <v>242.76791261317206</v>
      </c>
      <c r="FK190" s="59">
        <f t="shared" si="156"/>
        <v>244.28580264867682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5.7723765374912732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5.7723765374912732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18.829999999999643</v>
      </c>
      <c r="GA190" s="17">
        <f>FZ190*VLOOKUP('Données projet'!$B$17,Paramètres!$A$1:$I$89,3,0)*VLOOKUP('Données projet'!$B$17,Paramètres!$A$1:$I$89,5,0)</f>
        <v>17.918627999999661</v>
      </c>
      <c r="GB190" s="13">
        <f t="shared" si="185"/>
        <v>5.9016322671185755</v>
      </c>
      <c r="GC190" s="20">
        <f t="shared" si="186"/>
        <v>41.486953298564259</v>
      </c>
      <c r="GD190" s="59">
        <f t="shared" si="134"/>
        <v>333.25643603265303</v>
      </c>
      <c r="GE190" s="59">
        <f ca="1">AVERAGE(OFFSET($GD$3,0,0,'Données projet'!$E$17+1,1))-AVERAGE(OFFSET($H$3,0,0,'Données projet'!$E$17+1,1))</f>
        <v>512.71941256120977</v>
      </c>
      <c r="GF190" s="59">
        <f t="shared" si="158"/>
        <v>230.65031527019354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140.86173375650793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140.86173375650793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69.573495291115108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-5.6843418860808015E-14</v>
      </c>
      <c r="GV190" s="17">
        <f>GU190*VLOOKUP('Données projet'!$B$18,Paramètres!$A$1:$I$89,3,0)*VLOOKUP('Données projet'!$B$18,Paramètres!$A$1:$I$89,5,0)</f>
        <v>-2.5006556825246661E-14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180.68917161146683</v>
      </c>
      <c r="HA190" s="59">
        <f t="shared" si="160"/>
        <v>344.42126252322419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2.8540955241720063</v>
      </c>
      <c r="HH190" s="21">
        <f>EXP(-LN(2)/25)*HH189+(1-EXP(-LN(2)/25))/(LN(2)/25)*Calculateur!HC190*Calculateur!HE190*VLOOKUP('Données projet'!$B$18,Paramètres!$A$1:$I$89,3,0)*0.475*44/12</f>
        <v>0.21316104382918885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3.0672565680011949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2.25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8.25</v>
      </c>
      <c r="H191" s="66">
        <f t="shared" si="110"/>
        <v>223.66666666666666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18.829999999999643</v>
      </c>
      <c r="O191" s="13">
        <f>N191*VLOOKUP('Données projet'!$B$9,Paramètres!$A$1:$I$89,3,0)*VLOOKUP('Données projet'!$B$9,Paramètres!$A$1:$I$89,5,0)</f>
        <v>17.037383999999676</v>
      </c>
      <c r="P191" s="13">
        <f t="shared" si="141"/>
        <v>5.644424624466958</v>
      </c>
      <c r="Q191" s="20">
        <f t="shared" si="162"/>
        <v>39.504150020946049</v>
      </c>
      <c r="R191" s="59">
        <f t="shared" si="109"/>
        <v>331.30076206668548</v>
      </c>
      <c r="S191" s="59">
        <f ca="1">AVERAGE(OFFSET($R$3,0,0,'Données projet'!$E$9+1,1))-AVERAGE(OFFSET($H$3,0,0,'Données projet'!$E$9+1,1))</f>
        <v>490.57849401500789</v>
      </c>
      <c r="T191" s="59">
        <f t="shared" si="142"/>
        <v>221.7570623669753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131.30774134973066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131.30774134973066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>
        <f>VLOOKUP(A191,'Données projet'!$A$61:$I$81,2,0)</f>
        <v>211.27</v>
      </c>
      <c r="AG191" s="12">
        <f>VLOOKUP(A191,'Données projet'!$A$61:$I$81,9,0)</f>
        <v>1.75000000000054E-2</v>
      </c>
      <c r="AH191" s="12">
        <f t="array" ref="AH191">INDEX(AG:AG,MIN(IF(ISNUMBER(AG191:AG387),ROW(AG191:AG387),"")))</f>
        <v>1.75000000000054E-2</v>
      </c>
      <c r="AI191" s="13">
        <f>IF('Données projet'!$A$62&gt;35,AI190+AH191-AQ190,IF(A191&lt;'Données projet'!$A$62,$AF$205^A191,IF(A191='Données projet'!$A$62,'Données projet'!$B$62,AI190+AH191-AQ190)))</f>
        <v>211.26999999999921</v>
      </c>
      <c r="AJ191" s="13">
        <f>AI191*VLOOKUP('Données projet'!$B$10,Paramètres!$A$1:$I$89,3,0)*VLOOKUP('Données projet'!$B$10,Paramètres!$A$1:$I$89,5,0)</f>
        <v>141.71991599999947</v>
      </c>
      <c r="AK191" s="13">
        <f t="shared" si="164"/>
        <v>36.690733664705881</v>
      </c>
      <c r="AL191" s="20">
        <f t="shared" si="165"/>
        <v>310.7318814993618</v>
      </c>
      <c r="AM191" s="59">
        <f t="shared" si="113"/>
        <v>602.52849354510124</v>
      </c>
      <c r="AN191" s="59">
        <f ca="1">AVERAGE(OFFSET($AM$3,0,0,'Données projet'!$E$10+1,1))-AVERAGE(OFFSET($H$3,0,0,'Données projet'!$E$10+1,1))</f>
        <v>377.00534440335832</v>
      </c>
      <c r="AO191" s="59">
        <f t="shared" si="144"/>
        <v>131.56029120000656</v>
      </c>
      <c r="AP191" s="15">
        <f>IF(ISNA(VLOOKUP(A191,'Données projet'!$A$61:$I$81,3,0)),0,VLOOKUP(A191,'Données projet'!$A$61:$I$81,3,0))</f>
        <v>15</v>
      </c>
      <c r="AQ191" s="15">
        <f>IF(ISNA(VLOOKUP(A191,'Données projet'!$A$61:$I$81,4,0)),0,VLOOKUP(A191,'Données projet'!$A$61:$I$81,4,0))</f>
        <v>63.4</v>
      </c>
      <c r="AR191" s="16">
        <f>IF(ISNA(VLOOKUP(A191,'Données projet'!$A$61:$I$81,5,0)),0%,VLOOKUP(A191,'Données projet'!$A$61:$I$81,5,0)*VLOOKUP('Données projet'!$B$10,Paramètres!$A$1:$I$89,7,0))</f>
        <v>0.53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172.8874221822762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172.8874221822762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212.00000000000009</v>
      </c>
      <c r="BE191" s="13">
        <f>BD191*VLOOKUP('Données projet'!$B$11,Paramètres!$A$1:$I$89,3,0)*VLOOKUP('Données projet'!$B$11,Paramètres!$A$1:$I$89,5,0)</f>
        <v>185.20320000000009</v>
      </c>
      <c r="BF191" s="13">
        <f t="shared" si="167"/>
        <v>46.477875402099386</v>
      </c>
      <c r="BG191" s="20">
        <f t="shared" si="168"/>
        <v>403.5112063253232</v>
      </c>
      <c r="BH191" s="59">
        <f t="shared" si="116"/>
        <v>695.30781837106269</v>
      </c>
      <c r="BI191" s="59">
        <f ca="1">AVERAGE(OFFSET($BH$3,0,0,'Données projet'!$E$11+1,1))-AVERAGE(OFFSET($H$3,0,0,'Données projet'!$E$11+1,1))</f>
        <v>314.1123649635374</v>
      </c>
      <c r="BJ191" s="59">
        <f t="shared" si="146"/>
        <v>274.92342227914889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7.6651811672546426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7.6651811672546426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212.42519999999985</v>
      </c>
      <c r="CA191" s="13">
        <f t="shared" si="170"/>
        <v>52.465198231787184</v>
      </c>
      <c r="CB191" s="20">
        <f t="shared" si="171"/>
        <v>461.35077692036231</v>
      </c>
      <c r="CC191" s="59">
        <f t="shared" si="119"/>
        <v>753.14738896610174</v>
      </c>
      <c r="CD191" s="59">
        <f ca="1">AVERAGE(OFFSET($CC$3,0,0,'Données projet'!$E$12+1,1))-AVERAGE(OFFSET($H$3,0,0,'Données projet'!$E$12+1,1))</f>
        <v>309.86296291630748</v>
      </c>
      <c r="CE191" s="59">
        <f t="shared" si="148"/>
        <v>301.17633325088661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5.1105169211934465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5.1105169211934465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404.00000000000017</v>
      </c>
      <c r="CU191" s="17">
        <f>CT191*VLOOKUP('Données projet'!$B$13,Paramètres!$A$1:$I$89,3,0)*VLOOKUP('Données projet'!$B$13,Paramètres!$A$1:$I$89,5,0)</f>
        <v>346.63200000000018</v>
      </c>
      <c r="CV191" s="13">
        <f t="shared" si="173"/>
        <v>80.868615263336864</v>
      </c>
      <c r="CW191" s="20">
        <f t="shared" si="174"/>
        <v>744.56357158364528</v>
      </c>
      <c r="CX191" s="59">
        <f t="shared" si="122"/>
        <v>1036.3601836293847</v>
      </c>
      <c r="CY191" s="59">
        <f ca="1">AVERAGE(OFFSET($CX$3,0,0,'Données projet'!$E$13+1,1))-AVERAGE(OFFSET($H$3,0,0,'Données projet'!$E$13+1,1))</f>
        <v>462.66388549889928</v>
      </c>
      <c r="CZ191" s="59">
        <f t="shared" si="150"/>
        <v>265.3725203415089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25.998563391824156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25.998563391824156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210.25641030000014</v>
      </c>
      <c r="DP191" s="17">
        <f>DO191*VLOOKUP('Données projet'!$B$14,Paramètres!$A$1:$I$89,3,0)*VLOOKUP('Données projet'!$B$14,Paramètres!$A$1:$I$89,5,0)</f>
        <v>164.00000003400012</v>
      </c>
      <c r="DQ191" s="13">
        <f t="shared" si="176"/>
        <v>41.743425916009095</v>
      </c>
      <c r="DR191" s="20">
        <f t="shared" si="177"/>
        <v>358.3364668629327</v>
      </c>
      <c r="DS191" s="59">
        <f t="shared" si="125"/>
        <v>650.13307890867213</v>
      </c>
      <c r="DT191" s="59">
        <f ca="1">AVERAGE(OFFSET($DS$3,0,0,'Données projet'!$E$14+1,1))-AVERAGE(OFFSET($H$3,0,0,'Données projet'!$E$14+1,1))</f>
        <v>206.5241977687125</v>
      </c>
      <c r="DU191" s="59">
        <f t="shared" si="152"/>
        <v>205.25001043771269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3.0593790006406785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3.0593790006406785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155.99999999999991</v>
      </c>
      <c r="EK191" s="17">
        <f>EJ191*VLOOKUP('Données projet'!$B$15,Paramètres!$A$1:$I$89,3,0)*VLOOKUP('Données projet'!$B$15,Paramètres!$A$1:$I$89,5,0)</f>
        <v>136.28159999999994</v>
      </c>
      <c r="EL191" s="13">
        <f t="shared" si="179"/>
        <v>35.443842312892279</v>
      </c>
      <c r="EM191" s="20">
        <f t="shared" si="180"/>
        <v>299.08847869495395</v>
      </c>
      <c r="EN191" s="59">
        <f t="shared" si="128"/>
        <v>590.88509074069339</v>
      </c>
      <c r="EO191" s="59">
        <f ca="1">AVERAGE(OFFSET($EN$3,0,0,'Données projet'!$E$15+1,1))-AVERAGE(OFFSET($H$3,0,0,'Données projet'!$E$15+1,1))</f>
        <v>205.83135724908942</v>
      </c>
      <c r="EP191" s="59">
        <f t="shared" si="154"/>
        <v>193.60053377311405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3.0466593882763218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3.0466593882763218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204.00000000000017</v>
      </c>
      <c r="FF191" s="17">
        <f>FE191*VLOOKUP('Données projet'!$B$16,Paramètres!$A$1:$I$89,3,0)*VLOOKUP('Données projet'!$B$16,Paramètres!$A$1:$I$89,5,0)</f>
        <v>133.66080000000011</v>
      </c>
      <c r="FG191" s="13">
        <f t="shared" si="182"/>
        <v>34.840890682716783</v>
      </c>
      <c r="FH191" s="20">
        <f t="shared" si="183"/>
        <v>293.4737779390652</v>
      </c>
      <c r="FI191" s="59">
        <f t="shared" si="131"/>
        <v>585.27038998480464</v>
      </c>
      <c r="FJ191" s="59">
        <f ca="1">AVERAGE(OFFSET($FI$3,0,0,'Données projet'!$E$16+1,1))-AVERAGE(OFFSET($H$3,0,0,'Données projet'!$E$16+1,1))</f>
        <v>242.76791261317206</v>
      </c>
      <c r="FK191" s="59">
        <f t="shared" si="156"/>
        <v>244.28580264867682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5.6591837543931067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5.6591837543931067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18.829999999999643</v>
      </c>
      <c r="GA191" s="17">
        <f>FZ191*VLOOKUP('Données projet'!$B$17,Paramètres!$A$1:$I$89,3,0)*VLOOKUP('Données projet'!$B$17,Paramètres!$A$1:$I$89,5,0)</f>
        <v>17.918627999999661</v>
      </c>
      <c r="GB191" s="13">
        <f t="shared" si="185"/>
        <v>5.9016322671185755</v>
      </c>
      <c r="GC191" s="20">
        <f t="shared" si="186"/>
        <v>41.486953298564259</v>
      </c>
      <c r="GD191" s="59">
        <f t="shared" si="134"/>
        <v>333.28356534430372</v>
      </c>
      <c r="GE191" s="59">
        <f ca="1">AVERAGE(OFFSET($GD$3,0,0,'Données projet'!$E$17+1,1))-AVERAGE(OFFSET($H$3,0,0,'Données projet'!$E$17+1,1))</f>
        <v>512.71941256120977</v>
      </c>
      <c r="GF191" s="59">
        <f t="shared" si="158"/>
        <v>230.65031527019354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138.09952107471679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138.09952107471679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69.580894194292568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-5.6843418860808015E-14</v>
      </c>
      <c r="GV191" s="17">
        <f>GU191*VLOOKUP('Données projet'!$B$18,Paramètres!$A$1:$I$89,3,0)*VLOOKUP('Données projet'!$B$18,Paramètres!$A$1:$I$89,5,0)</f>
        <v>-2.5006556825246661E-14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180.68917161146683</v>
      </c>
      <c r="HA191" s="59">
        <f t="shared" si="160"/>
        <v>344.42126252322419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2.7981284517693705</v>
      </c>
      <c r="HH191" s="21">
        <f>EXP(-LN(2)/25)*HH190+(1-EXP(-LN(2)/25))/(LN(2)/25)*Calculateur!HC191*Calculateur!HE191*VLOOKUP('Données projet'!$B$18,Paramètres!$A$1:$I$89,3,0)*0.475*44/12</f>
        <v>0.20733214387602758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3.0054605956453981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2.25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8.25</v>
      </c>
      <c r="H192" s="66">
        <f t="shared" si="110"/>
        <v>223.66666666666666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18.829999999999643</v>
      </c>
      <c r="O192" s="13">
        <f>N192*VLOOKUP('Données projet'!$B$9,Paramètres!$A$1:$I$89,3,0)*VLOOKUP('Données projet'!$B$9,Paramètres!$A$1:$I$89,5,0)</f>
        <v>17.037383999999676</v>
      </c>
      <c r="P192" s="13">
        <f t="shared" si="141"/>
        <v>5.644424624466958</v>
      </c>
      <c r="Q192" s="20">
        <f t="shared" si="162"/>
        <v>39.504150020946049</v>
      </c>
      <c r="R192" s="59">
        <f t="shared" si="109"/>
        <v>331.32742074543114</v>
      </c>
      <c r="S192" s="59">
        <f ca="1">AVERAGE(OFFSET($R$3,0,0,'Données projet'!$E$9+1,1))-AVERAGE(OFFSET($H$3,0,0,'Données projet'!$E$9+1,1))</f>
        <v>490.57849401500789</v>
      </c>
      <c r="T192" s="59">
        <f t="shared" si="142"/>
        <v>221.7570623669753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128.73287663167645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128.73287663167645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-0.95333333333333792</v>
      </c>
      <c r="AI192" s="13">
        <f>IF('Données projet'!$A$62&gt;35,AI191+AH192-AQ191,IF(A192&lt;'Données projet'!$A$62,$AF$205^A192,IF(A192='Données projet'!$A$62,'Données projet'!$B$62,AI191+AH192-AQ191)))</f>
        <v>146.91666666666586</v>
      </c>
      <c r="AJ192" s="13">
        <f>AI192*VLOOKUP('Données projet'!$B$10,Paramètres!$A$1:$I$89,3,0)*VLOOKUP('Données projet'!$B$10,Paramètres!$A$1:$I$89,5,0)</f>
        <v>98.551699999999457</v>
      </c>
      <c r="AK192" s="13">
        <f t="shared" si="164"/>
        <v>26.616667629538767</v>
      </c>
      <c r="AL192" s="20">
        <f t="shared" si="165"/>
        <v>218.00157362144571</v>
      </c>
      <c r="AM192" s="59">
        <f t="shared" si="113"/>
        <v>509.82484434593084</v>
      </c>
      <c r="AN192" s="59">
        <f ca="1">AVERAGE(OFFSET($AM$3,0,0,'Données projet'!$E$10+1,1))-AVERAGE(OFFSET($H$3,0,0,'Données projet'!$E$10+1,1))</f>
        <v>377.00534440335832</v>
      </c>
      <c r="AO192" s="59">
        <f t="shared" si="144"/>
        <v>131.56029120000656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169.49720528419687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169.49720528419687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212.00000000000009</v>
      </c>
      <c r="BE192" s="13">
        <f>BD192*VLOOKUP('Données projet'!$B$11,Paramètres!$A$1:$I$89,3,0)*VLOOKUP('Données projet'!$B$11,Paramètres!$A$1:$I$89,5,0)</f>
        <v>185.20320000000009</v>
      </c>
      <c r="BF192" s="13">
        <f t="shared" si="167"/>
        <v>46.477875402099386</v>
      </c>
      <c r="BG192" s="20">
        <f t="shared" si="168"/>
        <v>403.5112063253232</v>
      </c>
      <c r="BH192" s="59">
        <f t="shared" si="116"/>
        <v>695.33447704980836</v>
      </c>
      <c r="BI192" s="59">
        <f ca="1">AVERAGE(OFFSET($BH$3,0,0,'Données projet'!$E$11+1,1))-AVERAGE(OFFSET($H$3,0,0,'Données projet'!$E$11+1,1))</f>
        <v>314.1123649635374</v>
      </c>
      <c r="BJ192" s="59">
        <f t="shared" si="146"/>
        <v>274.92342227914889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7.5148716398636433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7.5148716398636433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212.42519999999985</v>
      </c>
      <c r="CA192" s="13">
        <f t="shared" si="170"/>
        <v>52.465198231787184</v>
      </c>
      <c r="CB192" s="20">
        <f t="shared" si="171"/>
        <v>461.35077692036231</v>
      </c>
      <c r="CC192" s="59">
        <f t="shared" si="119"/>
        <v>753.17404764484741</v>
      </c>
      <c r="CD192" s="59">
        <f ca="1">AVERAGE(OFFSET($CC$3,0,0,'Données projet'!$E$12+1,1))-AVERAGE(OFFSET($H$3,0,0,'Données projet'!$E$12+1,1))</f>
        <v>309.86296291630748</v>
      </c>
      <c r="CE192" s="59">
        <f t="shared" si="148"/>
        <v>301.17633325088661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5.0103028014763762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5.0103028014763762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404.00000000000017</v>
      </c>
      <c r="CU192" s="17">
        <f>CT192*VLOOKUP('Données projet'!$B$13,Paramètres!$A$1:$I$89,3,0)*VLOOKUP('Données projet'!$B$13,Paramètres!$A$1:$I$89,5,0)</f>
        <v>346.63200000000018</v>
      </c>
      <c r="CV192" s="13">
        <f t="shared" si="173"/>
        <v>80.868615263336864</v>
      </c>
      <c r="CW192" s="20">
        <f t="shared" si="174"/>
        <v>744.56357158364528</v>
      </c>
      <c r="CX192" s="59">
        <f t="shared" si="122"/>
        <v>1036.3868423081303</v>
      </c>
      <c r="CY192" s="59">
        <f ca="1">AVERAGE(OFFSET($CX$3,0,0,'Données projet'!$E$13+1,1))-AVERAGE(OFFSET($H$3,0,0,'Données projet'!$E$13+1,1))</f>
        <v>462.66388549889928</v>
      </c>
      <c r="CZ192" s="59">
        <f t="shared" si="150"/>
        <v>265.3725203415089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25.48874742126835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25.48874742126835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210.25641030000014</v>
      </c>
      <c r="DP192" s="17">
        <f>DO192*VLOOKUP('Données projet'!$B$14,Paramètres!$A$1:$I$89,3,0)*VLOOKUP('Données projet'!$B$14,Paramètres!$A$1:$I$89,5,0)</f>
        <v>164.00000003400012</v>
      </c>
      <c r="DQ192" s="13">
        <f t="shared" si="176"/>
        <v>41.743425916009095</v>
      </c>
      <c r="DR192" s="20">
        <f t="shared" si="177"/>
        <v>358.3364668629327</v>
      </c>
      <c r="DS192" s="59">
        <f t="shared" si="125"/>
        <v>650.15973758741779</v>
      </c>
      <c r="DT192" s="59">
        <f ca="1">AVERAGE(OFFSET($DS$3,0,0,'Données projet'!$E$14+1,1))-AVERAGE(OFFSET($H$3,0,0,'Données projet'!$E$14+1,1))</f>
        <v>206.5241977687125</v>
      </c>
      <c r="DU192" s="59">
        <f t="shared" si="152"/>
        <v>205.25001043771269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2.9993864444750491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2.9993864444750491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155.99999999999991</v>
      </c>
      <c r="EK192" s="17">
        <f>EJ192*VLOOKUP('Données projet'!$B$15,Paramètres!$A$1:$I$89,3,0)*VLOOKUP('Données projet'!$B$15,Paramètres!$A$1:$I$89,5,0)</f>
        <v>136.28159999999994</v>
      </c>
      <c r="EL192" s="13">
        <f t="shared" si="179"/>
        <v>35.443842312892279</v>
      </c>
      <c r="EM192" s="20">
        <f t="shared" si="180"/>
        <v>299.08847869495395</v>
      </c>
      <c r="EN192" s="59">
        <f t="shared" si="128"/>
        <v>590.91174941943905</v>
      </c>
      <c r="EO192" s="59">
        <f ca="1">AVERAGE(OFFSET($EN$3,0,0,'Données projet'!$E$15+1,1))-AVERAGE(OFFSET($H$3,0,0,'Données projet'!$E$15+1,1))</f>
        <v>205.83135724908942</v>
      </c>
      <c r="EP192" s="59">
        <f t="shared" si="154"/>
        <v>193.60053377311405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2.9869162559509603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2.9869162559509603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204.00000000000017</v>
      </c>
      <c r="FF192" s="17">
        <f>FE192*VLOOKUP('Données projet'!$B$16,Paramètres!$A$1:$I$89,3,0)*VLOOKUP('Données projet'!$B$16,Paramètres!$A$1:$I$89,5,0)</f>
        <v>133.66080000000011</v>
      </c>
      <c r="FG192" s="13">
        <f t="shared" si="182"/>
        <v>34.840890682716783</v>
      </c>
      <c r="FH192" s="20">
        <f t="shared" si="183"/>
        <v>293.4737779390652</v>
      </c>
      <c r="FI192" s="59">
        <f t="shared" si="131"/>
        <v>585.2970486635503</v>
      </c>
      <c r="FJ192" s="59">
        <f ca="1">AVERAGE(OFFSET($FI$3,0,0,'Données projet'!$E$16+1,1))-AVERAGE(OFFSET($H$3,0,0,'Données projet'!$E$16+1,1))</f>
        <v>242.76791261317206</v>
      </c>
      <c r="FK192" s="59">
        <f t="shared" si="156"/>
        <v>244.28580264867682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5.5482106127307151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5.5482106127307151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18.829999999999643</v>
      </c>
      <c r="GA192" s="17">
        <f>FZ192*VLOOKUP('Données projet'!$B$17,Paramètres!$A$1:$I$89,3,0)*VLOOKUP('Données projet'!$B$17,Paramètres!$A$1:$I$89,5,0)</f>
        <v>17.918627999999661</v>
      </c>
      <c r="GB192" s="13">
        <f t="shared" si="185"/>
        <v>5.9016322671185755</v>
      </c>
      <c r="GC192" s="20">
        <f t="shared" si="186"/>
        <v>41.486953298564259</v>
      </c>
      <c r="GD192" s="59">
        <f t="shared" si="134"/>
        <v>333.31022402304939</v>
      </c>
      <c r="GE192" s="59">
        <f ca="1">AVERAGE(OFFSET($GD$3,0,0,'Données projet'!$E$17+1,1))-AVERAGE(OFFSET($H$3,0,0,'Données projet'!$E$17+1,1))</f>
        <v>512.71941256120977</v>
      </c>
      <c r="GF192" s="59">
        <f t="shared" si="158"/>
        <v>230.65031527019354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135.39147369883219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135.39147369883219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69.588164743041389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-5.6843418860808015E-14</v>
      </c>
      <c r="GV192" s="17">
        <f>GU192*VLOOKUP('Données projet'!$B$18,Paramètres!$A$1:$I$89,3,0)*VLOOKUP('Données projet'!$B$18,Paramètres!$A$1:$I$89,5,0)</f>
        <v>-2.5006556825246661E-14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180.68917161146683</v>
      </c>
      <c r="HA192" s="59">
        <f t="shared" si="160"/>
        <v>344.42126252322419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2.7432588595200071</v>
      </c>
      <c r="HH192" s="21">
        <f>EXP(-LN(2)/25)*HH191+(1-EXP(-LN(2)/25))/(LN(2)/25)*Calculateur!HC192*Calculateur!HE192*VLOOKUP('Données projet'!$B$18,Paramètres!$A$1:$I$89,3,0)*0.475*44/12</f>
        <v>0.20166263549861402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2.9449214950186211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2.25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8.25</v>
      </c>
      <c r="H193" s="66">
        <f t="shared" si="110"/>
        <v>223.66666666666666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18.829999999999643</v>
      </c>
      <c r="O193" s="13">
        <f>N193*VLOOKUP('Données projet'!$B$9,Paramètres!$A$1:$I$89,3,0)*VLOOKUP('Données projet'!$B$9,Paramètres!$A$1:$I$89,5,0)</f>
        <v>17.037383999999676</v>
      </c>
      <c r="P193" s="13">
        <f t="shared" si="141"/>
        <v>5.644424624466958</v>
      </c>
      <c r="Q193" s="20">
        <f t="shared" si="162"/>
        <v>39.504150020946049</v>
      </c>
      <c r="R193" s="59">
        <f t="shared" si="109"/>
        <v>331.35361695570043</v>
      </c>
      <c r="S193" s="59">
        <f ca="1">AVERAGE(OFFSET($R$3,0,0,'Données projet'!$E$9+1,1))-AVERAGE(OFFSET($H$3,0,0,'Données projet'!$E$9+1,1))</f>
        <v>490.57849401500789</v>
      </c>
      <c r="T193" s="59">
        <f t="shared" si="142"/>
        <v>221.7570623669753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126.20850344023088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126.20850344023088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-0.95333333333333792</v>
      </c>
      <c r="AI193" s="13">
        <f>IF('Données projet'!$A$62&gt;35,AI192+AH193-AQ192,IF(A193&lt;'Données projet'!$A$62,$AF$205^A193,IF(A193='Données projet'!$A$62,'Données projet'!$B$62,AI192+AH193-AQ192)))</f>
        <v>145.96333333333251</v>
      </c>
      <c r="AJ193" s="13">
        <f>AI193*VLOOKUP('Données projet'!$B$10,Paramètres!$A$1:$I$89,3,0)*VLOOKUP('Données projet'!$B$10,Paramètres!$A$1:$I$89,5,0)</f>
        <v>97.912203999999448</v>
      </c>
      <c r="AK193" s="13">
        <f t="shared" si="164"/>
        <v>26.463999817632811</v>
      </c>
      <c r="AL193" s="20">
        <f t="shared" si="165"/>
        <v>216.62188831570953</v>
      </c>
      <c r="AM193" s="59">
        <f t="shared" si="113"/>
        <v>508.47135525046394</v>
      </c>
      <c r="AN193" s="59">
        <f ca="1">AVERAGE(OFFSET($AM$3,0,0,'Données projet'!$E$10+1,1))-AVERAGE(OFFSET($H$3,0,0,'Données projet'!$E$10+1,1))</f>
        <v>377.00534440335832</v>
      </c>
      <c r="AO193" s="59">
        <f t="shared" si="144"/>
        <v>131.56029120000656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166.17346847166075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166.17346847166075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212.00000000000009</v>
      </c>
      <c r="BE193" s="13">
        <f>BD193*VLOOKUP('Données projet'!$B$11,Paramètres!$A$1:$I$89,3,0)*VLOOKUP('Données projet'!$B$11,Paramètres!$A$1:$I$89,5,0)</f>
        <v>185.20320000000009</v>
      </c>
      <c r="BF193" s="13">
        <f t="shared" si="167"/>
        <v>46.477875402099386</v>
      </c>
      <c r="BG193" s="20">
        <f t="shared" si="168"/>
        <v>403.5112063253232</v>
      </c>
      <c r="BH193" s="59">
        <f t="shared" si="116"/>
        <v>695.36067326007765</v>
      </c>
      <c r="BI193" s="59">
        <f ca="1">AVERAGE(OFFSET($BH$3,0,0,'Données projet'!$E$11+1,1))-AVERAGE(OFFSET($H$3,0,0,'Données projet'!$E$11+1,1))</f>
        <v>314.1123649635374</v>
      </c>
      <c r="BJ193" s="59">
        <f t="shared" si="146"/>
        <v>274.92342227914889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7.3675095906250228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7.3675095906250228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212.42519999999985</v>
      </c>
      <c r="CA193" s="13">
        <f t="shared" si="170"/>
        <v>52.465198231787184</v>
      </c>
      <c r="CB193" s="20">
        <f t="shared" si="171"/>
        <v>461.35077692036231</v>
      </c>
      <c r="CC193" s="59">
        <f t="shared" si="119"/>
        <v>753.2002438551167</v>
      </c>
      <c r="CD193" s="59">
        <f ca="1">AVERAGE(OFFSET($CC$3,0,0,'Données projet'!$E$12+1,1))-AVERAGE(OFFSET($H$3,0,0,'Données projet'!$E$12+1,1))</f>
        <v>309.86296291630748</v>
      </c>
      <c r="CE193" s="59">
        <f t="shared" si="148"/>
        <v>301.17633325088661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4.91205381952238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4.91205381952238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404.00000000000017</v>
      </c>
      <c r="CU193" s="17">
        <f>CT193*VLOOKUP('Données projet'!$B$13,Paramètres!$A$1:$I$89,3,0)*VLOOKUP('Données projet'!$B$13,Paramètres!$A$1:$I$89,5,0)</f>
        <v>346.63200000000018</v>
      </c>
      <c r="CV193" s="13">
        <f t="shared" si="173"/>
        <v>80.868615263336864</v>
      </c>
      <c r="CW193" s="20">
        <f t="shared" si="174"/>
        <v>744.56357158364528</v>
      </c>
      <c r="CX193" s="59">
        <f t="shared" si="122"/>
        <v>1036.4130385183996</v>
      </c>
      <c r="CY193" s="59">
        <f ca="1">AVERAGE(OFFSET($CX$3,0,0,'Données projet'!$E$13+1,1))-AVERAGE(OFFSET($H$3,0,0,'Données projet'!$E$13+1,1))</f>
        <v>462.66388549889928</v>
      </c>
      <c r="CZ193" s="59">
        <f t="shared" si="150"/>
        <v>265.3725203415089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24.988928630938105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24.988928630938105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210.25641030000014</v>
      </c>
      <c r="DP193" s="17">
        <f>DO193*VLOOKUP('Données projet'!$B$14,Paramètres!$A$1:$I$89,3,0)*VLOOKUP('Données projet'!$B$14,Paramètres!$A$1:$I$89,5,0)</f>
        <v>164.00000003400012</v>
      </c>
      <c r="DQ193" s="13">
        <f t="shared" si="176"/>
        <v>41.743425916009095</v>
      </c>
      <c r="DR193" s="20">
        <f t="shared" si="177"/>
        <v>358.3364668629327</v>
      </c>
      <c r="DS193" s="59">
        <f t="shared" si="125"/>
        <v>650.18593379768708</v>
      </c>
      <c r="DT193" s="59">
        <f ca="1">AVERAGE(OFFSET($DS$3,0,0,'Données projet'!$E$14+1,1))-AVERAGE(OFFSET($H$3,0,0,'Données projet'!$E$14+1,1))</f>
        <v>206.5241977687125</v>
      </c>
      <c r="DU193" s="59">
        <f t="shared" si="152"/>
        <v>205.25001043771269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2.9405703057439818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2.9405703057439818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155.99999999999991</v>
      </c>
      <c r="EK193" s="17">
        <f>EJ193*VLOOKUP('Données projet'!$B$15,Paramètres!$A$1:$I$89,3,0)*VLOOKUP('Données projet'!$B$15,Paramètres!$A$1:$I$89,5,0)</f>
        <v>136.28159999999994</v>
      </c>
      <c r="EL193" s="13">
        <f t="shared" si="179"/>
        <v>35.443842312892279</v>
      </c>
      <c r="EM193" s="20">
        <f t="shared" si="180"/>
        <v>299.08847869495395</v>
      </c>
      <c r="EN193" s="59">
        <f t="shared" si="128"/>
        <v>590.93794562970834</v>
      </c>
      <c r="EO193" s="59">
        <f ca="1">AVERAGE(OFFSET($EN$3,0,0,'Données projet'!$E$15+1,1))-AVERAGE(OFFSET($H$3,0,0,'Données projet'!$E$15+1,1))</f>
        <v>205.83135724908942</v>
      </c>
      <c r="EP193" s="59">
        <f t="shared" si="154"/>
        <v>193.60053377311405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2.9283446500107866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2.9283446500107866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204.00000000000017</v>
      </c>
      <c r="FF193" s="17">
        <f>FE193*VLOOKUP('Données projet'!$B$16,Paramètres!$A$1:$I$89,3,0)*VLOOKUP('Données projet'!$B$16,Paramètres!$A$1:$I$89,5,0)</f>
        <v>133.66080000000011</v>
      </c>
      <c r="FG193" s="13">
        <f t="shared" si="182"/>
        <v>34.840890682716783</v>
      </c>
      <c r="FH193" s="20">
        <f t="shared" si="183"/>
        <v>293.4737779390652</v>
      </c>
      <c r="FI193" s="59">
        <f t="shared" si="131"/>
        <v>585.32324487381959</v>
      </c>
      <c r="FJ193" s="59">
        <f ca="1">AVERAGE(OFFSET($FI$3,0,0,'Données projet'!$E$16+1,1))-AVERAGE(OFFSET($H$3,0,0,'Données projet'!$E$16+1,1))</f>
        <v>242.76791261317206</v>
      </c>
      <c r="FK193" s="59">
        <f t="shared" si="156"/>
        <v>244.28580264867682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5.4394135866893896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5.4394135866893896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18.829999999999643</v>
      </c>
      <c r="GA193" s="17">
        <f>FZ193*VLOOKUP('Données projet'!$B$17,Paramètres!$A$1:$I$89,3,0)*VLOOKUP('Données projet'!$B$17,Paramètres!$A$1:$I$89,5,0)</f>
        <v>17.918627999999661</v>
      </c>
      <c r="GB193" s="13">
        <f t="shared" si="185"/>
        <v>5.9016322671185755</v>
      </c>
      <c r="GC193" s="20">
        <f t="shared" si="186"/>
        <v>41.486953298564259</v>
      </c>
      <c r="GD193" s="59">
        <f t="shared" si="134"/>
        <v>333.33642023331868</v>
      </c>
      <c r="GE193" s="59">
        <f ca="1">AVERAGE(OFFSET($GD$3,0,0,'Données projet'!$E$17+1,1))-AVERAGE(OFFSET($H$3,0,0,'Données projet'!$E$17+1,1))</f>
        <v>512.71941256120977</v>
      </c>
      <c r="GF193" s="59">
        <f t="shared" si="158"/>
        <v>230.65031527019354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132.73652948024289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132.73652948024289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69.595309164023917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-5.6843418860808015E-14</v>
      </c>
      <c r="GV193" s="17">
        <f>GU193*VLOOKUP('Données projet'!$B$18,Paramètres!$A$1:$I$89,3,0)*VLOOKUP('Données projet'!$B$18,Paramètres!$A$1:$I$89,5,0)</f>
        <v>-2.5006556825246661E-14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180.68917161146683</v>
      </c>
      <c r="HA193" s="59">
        <f t="shared" si="160"/>
        <v>344.42126252322419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2.6894652265075072</v>
      </c>
      <c r="HH193" s="21">
        <f>EXP(-LN(2)/25)*HH192+(1-EXP(-LN(2)/25))/(LN(2)/25)*Calculateur!HC193*Calculateur!HE193*VLOOKUP('Données projet'!$B$18,Paramètres!$A$1:$I$89,3,0)*0.475*44/12</f>
        <v>0.19614816012592731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2.8856133866334344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2.25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8.25</v>
      </c>
      <c r="H194" s="66">
        <f t="shared" si="110"/>
        <v>223.66666666666666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18.829999999999643</v>
      </c>
      <c r="O194" s="13">
        <f>N194*VLOOKUP('Données projet'!$B$9,Paramètres!$A$1:$I$89,3,0)*VLOOKUP('Données projet'!$B$9,Paramètres!$A$1:$I$89,5,0)</f>
        <v>17.037383999999676</v>
      </c>
      <c r="P194" s="13">
        <f t="shared" si="141"/>
        <v>5.644424624466958</v>
      </c>
      <c r="Q194" s="20">
        <f t="shared" si="162"/>
        <v>39.504150020946049</v>
      </c>
      <c r="R194" s="59">
        <f t="shared" si="109"/>
        <v>331.37935872028748</v>
      </c>
      <c r="S194" s="59">
        <f ca="1">AVERAGE(OFFSET($R$3,0,0,'Données projet'!$E$9+1,1))-AVERAGE(OFFSET($H$3,0,0,'Données projet'!$E$9+1,1))</f>
        <v>490.57849401500789</v>
      </c>
      <c r="T194" s="59">
        <f t="shared" si="142"/>
        <v>221.7570623669753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123.73363166735395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123.73363166735395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>
        <f>VLOOKUP(A194,'Données projet'!$A$61:$I$81,2,0)</f>
        <v>145.01</v>
      </c>
      <c r="AG194" s="12">
        <f>VLOOKUP(A194,'Données projet'!$A$61:$I$81,9,0)</f>
        <v>-0.95333333333333792</v>
      </c>
      <c r="AH194" s="12">
        <f t="array" ref="AH194">INDEX(AG:AG,MIN(IF(ISNUMBER(AG194:AG390),ROW(AG194:AG390),"")))</f>
        <v>-0.95333333333333792</v>
      </c>
      <c r="AI194" s="13">
        <f>IF('Données projet'!$A$62&gt;35,AI193+AH194-AQ193,IF(A194&lt;'Données projet'!$A$62,$AF$205^A194,IF(A194='Données projet'!$A$62,'Données projet'!$B$62,AI193+AH194-AQ193)))</f>
        <v>145.00999999999917</v>
      </c>
      <c r="AJ194" s="13">
        <f>AI194*VLOOKUP('Données projet'!$B$10,Paramètres!$A$1:$I$89,3,0)*VLOOKUP('Données projet'!$B$10,Paramètres!$A$1:$I$89,5,0)</f>
        <v>97.27270799999944</v>
      </c>
      <c r="AK194" s="13">
        <f t="shared" si="164"/>
        <v>26.311215895671655</v>
      </c>
      <c r="AL194" s="20">
        <f t="shared" si="165"/>
        <v>215.24200078496048</v>
      </c>
      <c r="AM194" s="59">
        <f t="shared" si="113"/>
        <v>507.11720948430195</v>
      </c>
      <c r="AN194" s="59">
        <f ca="1">AVERAGE(OFFSET($AM$3,0,0,'Données projet'!$E$10+1,1))-AVERAGE(OFFSET($H$3,0,0,'Données projet'!$E$10+1,1))</f>
        <v>377.00534440335832</v>
      </c>
      <c r="AO194" s="59">
        <f t="shared" si="144"/>
        <v>131.56029120000656</v>
      </c>
      <c r="AP194" s="15">
        <f>IF(ISNA(VLOOKUP(A194,'Données projet'!$A$61:$I$81,3,0)),0,VLOOKUP(A194,'Données projet'!$A$61:$I$81,3,0))</f>
        <v>16</v>
      </c>
      <c r="AQ194" s="15">
        <f>IF(ISNA(VLOOKUP(A194,'Données projet'!$A$61:$I$81,4,0)),0,VLOOKUP(A194,'Données projet'!$A$61:$I$81,4,0))</f>
        <v>126.3</v>
      </c>
      <c r="AR194" s="16">
        <f>IF(ISNA(VLOOKUP(A194,'Données projet'!$A$61:$I$81,5,0)),0%,VLOOKUP(A194,'Données projet'!$A$61:$I$81,5,0)*VLOOKUP('Données projet'!$B$10,Paramètres!$A$1:$I$89,7,0))</f>
        <v>0.53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212.55349213895025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212.55349213895025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212.00000000000009</v>
      </c>
      <c r="BE194" s="13">
        <f>BD194*VLOOKUP('Données projet'!$B$11,Paramètres!$A$1:$I$89,3,0)*VLOOKUP('Données projet'!$B$11,Paramètres!$A$1:$I$89,5,0)</f>
        <v>185.20320000000009</v>
      </c>
      <c r="BF194" s="13">
        <f t="shared" si="167"/>
        <v>46.477875402099386</v>
      </c>
      <c r="BG194" s="20">
        <f t="shared" si="168"/>
        <v>403.5112063253232</v>
      </c>
      <c r="BH194" s="59">
        <f t="shared" si="116"/>
        <v>695.38641502466464</v>
      </c>
      <c r="BI194" s="59">
        <f ca="1">AVERAGE(OFFSET($BH$3,0,0,'Données projet'!$E$11+1,1))-AVERAGE(OFFSET($H$3,0,0,'Données projet'!$E$11+1,1))</f>
        <v>314.1123649635374</v>
      </c>
      <c r="BJ194" s="59">
        <f t="shared" si="146"/>
        <v>274.92342227914889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7.2230372212899967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7.2230372212899967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212.42519999999985</v>
      </c>
      <c r="CA194" s="13">
        <f t="shared" si="170"/>
        <v>52.465198231787184</v>
      </c>
      <c r="CB194" s="20">
        <f t="shared" si="171"/>
        <v>461.35077692036231</v>
      </c>
      <c r="CC194" s="59">
        <f t="shared" si="119"/>
        <v>753.22598561970381</v>
      </c>
      <c r="CD194" s="59">
        <f ca="1">AVERAGE(OFFSET($CC$3,0,0,'Données projet'!$E$12+1,1))-AVERAGE(OFFSET($H$3,0,0,'Données projet'!$E$12+1,1))</f>
        <v>309.86296291630748</v>
      </c>
      <c r="CE194" s="59">
        <f t="shared" si="148"/>
        <v>301.17633325088661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4.8157314401785403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4.8157314401785403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404.00000000000017</v>
      </c>
      <c r="CU194" s="17">
        <f>CT194*VLOOKUP('Données projet'!$B$13,Paramètres!$A$1:$I$89,3,0)*VLOOKUP('Données projet'!$B$13,Paramètres!$A$1:$I$89,5,0)</f>
        <v>346.63200000000018</v>
      </c>
      <c r="CV194" s="13">
        <f t="shared" si="173"/>
        <v>80.868615263336864</v>
      </c>
      <c r="CW194" s="20">
        <f t="shared" si="174"/>
        <v>744.56357158364528</v>
      </c>
      <c r="CX194" s="59">
        <f t="shared" si="122"/>
        <v>1036.4387802829867</v>
      </c>
      <c r="CY194" s="59">
        <f ca="1">AVERAGE(OFFSET($CX$3,0,0,'Données projet'!$E$13+1,1))-AVERAGE(OFFSET($H$3,0,0,'Données projet'!$E$13+1,1))</f>
        <v>462.66388549889928</v>
      </c>
      <c r="CZ194" s="59">
        <f t="shared" si="150"/>
        <v>265.3725203415089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24.498910982226878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24.498910982226878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210.25641030000014</v>
      </c>
      <c r="DP194" s="17">
        <f>DO194*VLOOKUP('Données projet'!$B$14,Paramètres!$A$1:$I$89,3,0)*VLOOKUP('Données projet'!$B$14,Paramètres!$A$1:$I$89,5,0)</f>
        <v>164.00000003400012</v>
      </c>
      <c r="DQ194" s="13">
        <f t="shared" si="176"/>
        <v>41.743425916009095</v>
      </c>
      <c r="DR194" s="20">
        <f t="shared" si="177"/>
        <v>358.3364668629327</v>
      </c>
      <c r="DS194" s="59">
        <f t="shared" si="125"/>
        <v>650.21167556227419</v>
      </c>
      <c r="DT194" s="59">
        <f ca="1">AVERAGE(OFFSET($DS$3,0,0,'Données projet'!$E$14+1,1))-AVERAGE(OFFSET($H$3,0,0,'Données projet'!$E$14+1,1))</f>
        <v>206.5241977687125</v>
      </c>
      <c r="DU194" s="59">
        <f t="shared" si="152"/>
        <v>205.25001043771269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2.8829075156191286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2.8829075156191286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155.99999999999991</v>
      </c>
      <c r="EK194" s="17">
        <f>EJ194*VLOOKUP('Données projet'!$B$15,Paramètres!$A$1:$I$89,3,0)*VLOOKUP('Données projet'!$B$15,Paramètres!$A$1:$I$89,5,0)</f>
        <v>136.28159999999994</v>
      </c>
      <c r="EL194" s="13">
        <f t="shared" si="179"/>
        <v>35.443842312892279</v>
      </c>
      <c r="EM194" s="20">
        <f t="shared" si="180"/>
        <v>299.08847869495395</v>
      </c>
      <c r="EN194" s="59">
        <f t="shared" si="128"/>
        <v>590.96368739429545</v>
      </c>
      <c r="EO194" s="59">
        <f ca="1">AVERAGE(OFFSET($EN$3,0,0,'Données projet'!$E$15+1,1))-AVERAGE(OFFSET($H$3,0,0,'Données projet'!$E$15+1,1))</f>
        <v>205.83135724908942</v>
      </c>
      <c r="EP194" s="59">
        <f t="shared" si="154"/>
        <v>193.60053377311405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2.8709215975379476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2.8709215975379476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204.00000000000017</v>
      </c>
      <c r="FF194" s="17">
        <f>FE194*VLOOKUP('Données projet'!$B$16,Paramètres!$A$1:$I$89,3,0)*VLOOKUP('Données projet'!$B$16,Paramètres!$A$1:$I$89,5,0)</f>
        <v>133.66080000000011</v>
      </c>
      <c r="FG194" s="13">
        <f t="shared" si="182"/>
        <v>34.840890682716783</v>
      </c>
      <c r="FH194" s="20">
        <f t="shared" si="183"/>
        <v>293.4737779390652</v>
      </c>
      <c r="FI194" s="59">
        <f t="shared" si="131"/>
        <v>585.34898663840659</v>
      </c>
      <c r="FJ194" s="59">
        <f ca="1">AVERAGE(OFFSET($FI$3,0,0,'Données projet'!$E$16+1,1))-AVERAGE(OFFSET($H$3,0,0,'Données projet'!$E$16+1,1))</f>
        <v>242.76791261317206</v>
      </c>
      <c r="FK194" s="59">
        <f t="shared" si="156"/>
        <v>244.28580264867682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5.3327500039691014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5.3327500039691014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18.829999999999643</v>
      </c>
      <c r="GA194" s="17">
        <f>FZ194*VLOOKUP('Données projet'!$B$17,Paramètres!$A$1:$I$89,3,0)*VLOOKUP('Données projet'!$B$17,Paramètres!$A$1:$I$89,5,0)</f>
        <v>17.918627999999661</v>
      </c>
      <c r="GB194" s="13">
        <f t="shared" si="185"/>
        <v>5.9016322671185755</v>
      </c>
      <c r="GC194" s="20">
        <f t="shared" si="186"/>
        <v>41.486953298564259</v>
      </c>
      <c r="GD194" s="59">
        <f t="shared" si="134"/>
        <v>333.36216199790567</v>
      </c>
      <c r="GE194" s="59">
        <f ca="1">AVERAGE(OFFSET($GD$3,0,0,'Données projet'!$E$17+1,1))-AVERAGE(OFFSET($H$3,0,0,'Données projet'!$E$17+1,1))</f>
        <v>512.71941256120977</v>
      </c>
      <c r="GF194" s="59">
        <f t="shared" si="158"/>
        <v>230.65031527019354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130.13364709842406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130.13364709842406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69.602329645274935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-5.6843418860808015E-14</v>
      </c>
      <c r="GV194" s="17">
        <f>GU194*VLOOKUP('Données projet'!$B$18,Paramètres!$A$1:$I$89,3,0)*VLOOKUP('Données projet'!$B$18,Paramètres!$A$1:$I$89,5,0)</f>
        <v>-2.5006556825246661E-14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180.68917161146683</v>
      </c>
      <c r="HA194" s="59">
        <f t="shared" si="160"/>
        <v>344.42126252322419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2.6367264538275061</v>
      </c>
      <c r="HH194" s="21">
        <f>EXP(-LN(2)/25)*HH193+(1-EXP(-LN(2)/25))/(LN(2)/25)*Calculateur!HC194*Calculateur!HE194*VLOOKUP('Données projet'!$B$18,Paramètres!$A$1:$I$89,3,0)*0.475*44/12</f>
        <v>0.19078447837230039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2.8275109321998064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2.25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8.25</v>
      </c>
      <c r="H195" s="66">
        <f t="shared" si="110"/>
        <v>223.66666666666666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18.829999999999643</v>
      </c>
      <c r="O195" s="13">
        <f>N195*VLOOKUP('Données projet'!$B$9,Paramètres!$A$1:$I$89,3,0)*VLOOKUP('Données projet'!$B$9,Paramètres!$A$1:$I$89,5,0)</f>
        <v>17.037383999999676</v>
      </c>
      <c r="P195" s="13">
        <f t="shared" si="141"/>
        <v>5.644424624466958</v>
      </c>
      <c r="Q195" s="20">
        <f t="shared" si="162"/>
        <v>39.504150020946049</v>
      </c>
      <c r="R195" s="59">
        <f t="shared" ref="R195:R203" si="191">Q195+(I195+J195)*44/12</f>
        <v>331.40465392280896</v>
      </c>
      <c r="S195" s="59">
        <f ca="1">AVERAGE(OFFSET($R$3,0,0,'Données projet'!$E$9+1,1))-AVERAGE(OFFSET($H$3,0,0,'Données projet'!$E$9+1,1))</f>
        <v>490.57849401500789</v>
      </c>
      <c r="T195" s="59">
        <f t="shared" si="142"/>
        <v>221.7570623669753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121.3072906204204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121.3072906204204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18.70999999999917</v>
      </c>
      <c r="AJ195" s="13">
        <f>AI195*VLOOKUP('Données projet'!$B$10,Paramètres!$A$1:$I$89,3,0)*VLOOKUP('Données projet'!$B$10,Paramètres!$A$1:$I$89,5,0)</f>
        <v>12.550667999999442</v>
      </c>
      <c r="AK195" s="13">
        <f t="shared" si="164"/>
        <v>4.3085792539205476</v>
      </c>
      <c r="AL195" s="20">
        <f t="shared" si="165"/>
        <v>29.363188967243982</v>
      </c>
      <c r="AM195" s="59">
        <f t="shared" si="113"/>
        <v>321.26369286910688</v>
      </c>
      <c r="AN195" s="59">
        <f ca="1">AVERAGE(OFFSET($AM$3,0,0,'Données projet'!$E$10+1,1))-AVERAGE(OFFSET($H$3,0,0,'Données projet'!$E$10+1,1))</f>
        <v>377.00534440335832</v>
      </c>
      <c r="AO195" s="59">
        <f t="shared" si="144"/>
        <v>131.56029120000656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208.38544780293427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208.38544780293427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212.00000000000009</v>
      </c>
      <c r="BE195" s="13">
        <f>BD195*VLOOKUP('Données projet'!$B$11,Paramètres!$A$1:$I$89,3,0)*VLOOKUP('Données projet'!$B$11,Paramètres!$A$1:$I$89,5,0)</f>
        <v>185.20320000000009</v>
      </c>
      <c r="BF195" s="13">
        <f t="shared" si="167"/>
        <v>46.477875402099386</v>
      </c>
      <c r="BG195" s="20">
        <f t="shared" si="168"/>
        <v>403.5112063253232</v>
      </c>
      <c r="BH195" s="59">
        <f t="shared" si="116"/>
        <v>695.41171022718618</v>
      </c>
      <c r="BI195" s="59">
        <f ca="1">AVERAGE(OFFSET($BH$3,0,0,'Données projet'!$E$11+1,1))-AVERAGE(OFFSET($H$3,0,0,'Données projet'!$E$11+1,1))</f>
        <v>314.1123649635374</v>
      </c>
      <c r="BJ195" s="59">
        <f t="shared" si="146"/>
        <v>274.92342227914889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7.0813978669981861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7.0813978669981861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212.42519999999985</v>
      </c>
      <c r="CA195" s="13">
        <f t="shared" si="170"/>
        <v>52.465198231787184</v>
      </c>
      <c r="CB195" s="20">
        <f t="shared" si="171"/>
        <v>461.35077692036231</v>
      </c>
      <c r="CC195" s="59">
        <f t="shared" si="119"/>
        <v>753.25128082222523</v>
      </c>
      <c r="CD195" s="59">
        <f ca="1">AVERAGE(OFFSET($CC$3,0,0,'Données projet'!$E$12+1,1))-AVERAGE(OFFSET($H$3,0,0,'Données projet'!$E$12+1,1))</f>
        <v>309.86296291630748</v>
      </c>
      <c r="CE195" s="59">
        <f t="shared" si="148"/>
        <v>301.17633325088661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4.7212978839427828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4.7212978839427828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404.00000000000017</v>
      </c>
      <c r="CU195" s="17">
        <f>CT195*VLOOKUP('Données projet'!$B$13,Paramètres!$A$1:$I$89,3,0)*VLOOKUP('Données projet'!$B$13,Paramètres!$A$1:$I$89,5,0)</f>
        <v>346.63200000000018</v>
      </c>
      <c r="CV195" s="13">
        <f t="shared" si="173"/>
        <v>80.868615263336864</v>
      </c>
      <c r="CW195" s="20">
        <f t="shared" si="174"/>
        <v>744.56357158364528</v>
      </c>
      <c r="CX195" s="59">
        <f t="shared" si="122"/>
        <v>1036.4640754855081</v>
      </c>
      <c r="CY195" s="59">
        <f ca="1">AVERAGE(OFFSET($CX$3,0,0,'Données projet'!$E$13+1,1))-AVERAGE(OFFSET($H$3,0,0,'Données projet'!$E$13+1,1))</f>
        <v>462.66388549889928</v>
      </c>
      <c r="CZ195" s="59">
        <f t="shared" si="150"/>
        <v>265.3725203415089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24.018502280725624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24.018502280725624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210.25641030000014</v>
      </c>
      <c r="DP195" s="17">
        <f>DO195*VLOOKUP('Données projet'!$B$14,Paramètres!$A$1:$I$89,3,0)*VLOOKUP('Données projet'!$B$14,Paramètres!$A$1:$I$89,5,0)</f>
        <v>164.00000003400012</v>
      </c>
      <c r="DQ195" s="13">
        <f t="shared" si="176"/>
        <v>41.743425916009095</v>
      </c>
      <c r="DR195" s="20">
        <f t="shared" si="177"/>
        <v>358.3364668629327</v>
      </c>
      <c r="DS195" s="59">
        <f t="shared" si="125"/>
        <v>650.23697076479561</v>
      </c>
      <c r="DT195" s="59">
        <f ca="1">AVERAGE(OFFSET($DS$3,0,0,'Données projet'!$E$14+1,1))-AVERAGE(OFFSET($H$3,0,0,'Données projet'!$E$14+1,1))</f>
        <v>206.5241977687125</v>
      </c>
      <c r="DU195" s="59">
        <f t="shared" si="152"/>
        <v>205.25001043771269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2.8263754576377944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2.8263754576377944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155.99999999999991</v>
      </c>
      <c r="EK195" s="17">
        <f>EJ195*VLOOKUP('Données projet'!$B$15,Paramètres!$A$1:$I$89,3,0)*VLOOKUP('Données projet'!$B$15,Paramètres!$A$1:$I$89,5,0)</f>
        <v>136.28159999999994</v>
      </c>
      <c r="EL195" s="13">
        <f t="shared" si="179"/>
        <v>35.443842312892279</v>
      </c>
      <c r="EM195" s="20">
        <f t="shared" si="180"/>
        <v>299.08847869495395</v>
      </c>
      <c r="EN195" s="59">
        <f t="shared" si="128"/>
        <v>590.98898259681687</v>
      </c>
      <c r="EO195" s="59">
        <f ca="1">AVERAGE(OFFSET($EN$3,0,0,'Données projet'!$E$15+1,1))-AVERAGE(OFFSET($H$3,0,0,'Données projet'!$E$15+1,1))</f>
        <v>205.83135724908942</v>
      </c>
      <c r="EP195" s="59">
        <f t="shared" si="154"/>
        <v>193.60053377311405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2.8146245760994972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2.8146245760994972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204.00000000000017</v>
      </c>
      <c r="FF195" s="17">
        <f>FE195*VLOOKUP('Données projet'!$B$16,Paramètres!$A$1:$I$89,3,0)*VLOOKUP('Données projet'!$B$16,Paramètres!$A$1:$I$89,5,0)</f>
        <v>133.66080000000011</v>
      </c>
      <c r="FG195" s="13">
        <f t="shared" si="182"/>
        <v>34.840890682716783</v>
      </c>
      <c r="FH195" s="20">
        <f t="shared" si="183"/>
        <v>293.4737779390652</v>
      </c>
      <c r="FI195" s="59">
        <f t="shared" si="131"/>
        <v>585.37428184092812</v>
      </c>
      <c r="FJ195" s="59">
        <f ca="1">AVERAGE(OFFSET($FI$3,0,0,'Données projet'!$E$16+1,1))-AVERAGE(OFFSET($H$3,0,0,'Données projet'!$E$16+1,1))</f>
        <v>242.76791261317206</v>
      </c>
      <c r="FK195" s="59">
        <f t="shared" si="156"/>
        <v>244.28580264867682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5.228178029047597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5.228178029047597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18.829999999999643</v>
      </c>
      <c r="GA195" s="17">
        <f>FZ195*VLOOKUP('Données projet'!$B$17,Paramètres!$A$1:$I$89,3,0)*VLOOKUP('Données projet'!$B$17,Paramètres!$A$1:$I$89,5,0)</f>
        <v>17.918627999999661</v>
      </c>
      <c r="GB195" s="13">
        <f t="shared" si="185"/>
        <v>5.9016322671185755</v>
      </c>
      <c r="GC195" s="20">
        <f t="shared" si="186"/>
        <v>41.486953298564259</v>
      </c>
      <c r="GD195" s="59">
        <f t="shared" si="134"/>
        <v>333.38745720042721</v>
      </c>
      <c r="GE195" s="59">
        <f ca="1">AVERAGE(OFFSET($GD$3,0,0,'Données projet'!$E$17+1,1))-AVERAGE(OFFSET($H$3,0,0,'Données projet'!$E$17+1,1))</f>
        <v>512.71941256120977</v>
      </c>
      <c r="GF195" s="59">
        <f t="shared" si="158"/>
        <v>230.65031527019354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127.58180565251119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127.58180565251119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69.609228336871695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-5.6843418860808015E-14</v>
      </c>
      <c r="GV195" s="17">
        <f>GU195*VLOOKUP('Données projet'!$B$18,Paramètres!$A$1:$I$89,3,0)*VLOOKUP('Données projet'!$B$18,Paramètres!$A$1:$I$89,5,0)</f>
        <v>-2.5006556825246661E-14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180.68917161146683</v>
      </c>
      <c r="HA195" s="59">
        <f t="shared" si="160"/>
        <v>344.42126252322419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2.5850218563122844</v>
      </c>
      <c r="HH195" s="21">
        <f>EXP(-LN(2)/25)*HH194+(1-EXP(-LN(2)/25))/(LN(2)/25)*Calculateur!HC195*Calculateur!HE195*VLOOKUP('Données projet'!$B$18,Paramètres!$A$1:$I$89,3,0)*0.475*44/12</f>
        <v>0.18556746677829017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2.7705893230905745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2.25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8.25</v>
      </c>
      <c r="H196" s="66">
        <f t="shared" ref="H196:H203" si="192">(B196+E196+F196)*44/12+(C196+D196)*0.475*44/12</f>
        <v>223.66666666666666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18.829999999999643</v>
      </c>
      <c r="O196" s="13">
        <f>N196*VLOOKUP('Données projet'!$B$9,Paramètres!$A$1:$I$89,3,0)*VLOOKUP('Données projet'!$B$9,Paramètres!$A$1:$I$89,5,0)</f>
        <v>17.037383999999676</v>
      </c>
      <c r="P196" s="13">
        <f t="shared" si="141"/>
        <v>5.644424624466958</v>
      </c>
      <c r="Q196" s="20">
        <f t="shared" si="162"/>
        <v>39.504150020946049</v>
      </c>
      <c r="R196" s="59">
        <f t="shared" si="191"/>
        <v>331.42951031011819</v>
      </c>
      <c r="S196" s="59">
        <f ca="1">AVERAGE(OFFSET($R$3,0,0,'Données projet'!$E$9+1,1))-AVERAGE(OFFSET($H$3,0,0,'Données projet'!$E$9+1,1))</f>
        <v>490.57849401500789</v>
      </c>
      <c r="T196" s="59">
        <f t="shared" si="142"/>
        <v>221.7570623669753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118.92852864149532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118.92852864149532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18.70999999999917</v>
      </c>
      <c r="AJ196" s="13">
        <f>AI196*VLOOKUP('Données projet'!$B$10,Paramètres!$A$1:$I$89,3,0)*VLOOKUP('Données projet'!$B$10,Paramètres!$A$1:$I$89,5,0)</f>
        <v>12.550667999999442</v>
      </c>
      <c r="AK196" s="13">
        <f t="shared" si="164"/>
        <v>4.3085792539205476</v>
      </c>
      <c r="AL196" s="20">
        <f t="shared" si="165"/>
        <v>29.363188967243982</v>
      </c>
      <c r="AM196" s="59">
        <f t="shared" ref="AM196:AM203" si="193">AL196+(AD196+AE196)*44/12</f>
        <v>321.2885492564161</v>
      </c>
      <c r="AN196" s="59">
        <f ca="1">AVERAGE(OFFSET($AM$3,0,0,'Données projet'!$E$10+1,1))-AVERAGE(OFFSET($H$3,0,0,'Données projet'!$E$10+1,1))</f>
        <v>377.00534440335832</v>
      </c>
      <c r="AO196" s="59">
        <f t="shared" si="144"/>
        <v>131.56029120000656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204.29913627409155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204.29913627409155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212.00000000000009</v>
      </c>
      <c r="BE196" s="13">
        <f>BD196*VLOOKUP('Données projet'!$B$11,Paramètres!$A$1:$I$89,3,0)*VLOOKUP('Données projet'!$B$11,Paramètres!$A$1:$I$89,5,0)</f>
        <v>185.20320000000009</v>
      </c>
      <c r="BF196" s="13">
        <f t="shared" si="167"/>
        <v>46.477875402099386</v>
      </c>
      <c r="BG196" s="20">
        <f t="shared" si="168"/>
        <v>403.5112063253232</v>
      </c>
      <c r="BH196" s="59">
        <f t="shared" ref="BH196:BH203" si="194">BG196+(AY196+AZ196)*44/12</f>
        <v>695.4365666144954</v>
      </c>
      <c r="BI196" s="59">
        <f ca="1">AVERAGE(OFFSET($BH$3,0,0,'Données projet'!$E$11+1,1))-AVERAGE(OFFSET($H$3,0,0,'Données projet'!$E$11+1,1))</f>
        <v>314.1123649635374</v>
      </c>
      <c r="BJ196" s="59">
        <f t="shared" si="146"/>
        <v>274.92342227914889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6.9425359740525625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6.9425359740525625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212.42519999999985</v>
      </c>
      <c r="CA196" s="13">
        <f t="shared" si="170"/>
        <v>52.465198231787184</v>
      </c>
      <c r="CB196" s="20">
        <f t="shared" si="171"/>
        <v>461.35077692036231</v>
      </c>
      <c r="CC196" s="59">
        <f t="shared" ref="CC196:CC203" si="195">CB196+(BT196+BU196)*44/12</f>
        <v>753.27613720953445</v>
      </c>
      <c r="CD196" s="59">
        <f ca="1">AVERAGE(OFFSET($CC$3,0,0,'Données projet'!$E$12+1,1))-AVERAGE(OFFSET($H$3,0,0,'Données projet'!$E$12+1,1))</f>
        <v>309.86296291630748</v>
      </c>
      <c r="CE196" s="59">
        <f t="shared" si="148"/>
        <v>301.17633325088661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4.6287161121460265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4.6287161121460265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404.00000000000017</v>
      </c>
      <c r="CU196" s="17">
        <f>CT196*VLOOKUP('Données projet'!$B$13,Paramètres!$A$1:$I$89,3,0)*VLOOKUP('Données projet'!$B$13,Paramètres!$A$1:$I$89,5,0)</f>
        <v>346.63200000000018</v>
      </c>
      <c r="CV196" s="13">
        <f t="shared" si="173"/>
        <v>80.868615263336864</v>
      </c>
      <c r="CW196" s="20">
        <f t="shared" si="174"/>
        <v>744.56357158364528</v>
      </c>
      <c r="CX196" s="59">
        <f t="shared" ref="CX196:CX203" si="196">CW196+(CO196+CP196)*44/12</f>
        <v>1036.4889318728174</v>
      </c>
      <c r="CY196" s="59">
        <f ca="1">AVERAGE(OFFSET($CX$3,0,0,'Données projet'!$E$13+1,1))-AVERAGE(OFFSET($H$3,0,0,'Données projet'!$E$13+1,1))</f>
        <v>462.66388549889928</v>
      </c>
      <c r="CZ196" s="59">
        <f t="shared" si="150"/>
        <v>265.3725203415089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23.547514100840434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23.547514100840434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210.25641030000014</v>
      </c>
      <c r="DP196" s="17">
        <f>DO196*VLOOKUP('Données projet'!$B$14,Paramètres!$A$1:$I$89,3,0)*VLOOKUP('Données projet'!$B$14,Paramètres!$A$1:$I$89,5,0)</f>
        <v>164.00000003400012</v>
      </c>
      <c r="DQ196" s="13">
        <f t="shared" si="176"/>
        <v>41.743425916009095</v>
      </c>
      <c r="DR196" s="20">
        <f t="shared" si="177"/>
        <v>358.3364668629327</v>
      </c>
      <c r="DS196" s="59">
        <f t="shared" ref="DS196:DS203" si="197">DR196+(DJ196+DK196)*44/12</f>
        <v>650.26182715210484</v>
      </c>
      <c r="DT196" s="59">
        <f ca="1">AVERAGE(OFFSET($DS$3,0,0,'Données projet'!$E$14+1,1))-AVERAGE(OFFSET($H$3,0,0,'Données projet'!$E$14+1,1))</f>
        <v>206.5241977687125</v>
      </c>
      <c r="DU196" s="59">
        <f t="shared" si="152"/>
        <v>205.25001043771269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2.7709519588323235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2.7709519588323235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155.99999999999991</v>
      </c>
      <c r="EK196" s="17">
        <f>EJ196*VLOOKUP('Données projet'!$B$15,Paramètres!$A$1:$I$89,3,0)*VLOOKUP('Données projet'!$B$15,Paramètres!$A$1:$I$89,5,0)</f>
        <v>136.28159999999994</v>
      </c>
      <c r="EL196" s="13">
        <f t="shared" si="179"/>
        <v>35.443842312892279</v>
      </c>
      <c r="EM196" s="20">
        <f t="shared" si="180"/>
        <v>299.08847869495395</v>
      </c>
      <c r="EN196" s="59">
        <f t="shared" ref="EN196:EN203" si="198">EM196+(EE196+EF196)*44/12</f>
        <v>591.0138389841261</v>
      </c>
      <c r="EO196" s="59">
        <f ca="1">AVERAGE(OFFSET($EN$3,0,0,'Données projet'!$E$15+1,1))-AVERAGE(OFFSET($H$3,0,0,'Données projet'!$E$15+1,1))</f>
        <v>205.83135724908942</v>
      </c>
      <c r="EP196" s="59">
        <f t="shared" si="154"/>
        <v>193.60053377311405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2.7594315049136622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2.7594315049136622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204.00000000000017</v>
      </c>
      <c r="FF196" s="17">
        <f>FE196*VLOOKUP('Données projet'!$B$16,Paramètres!$A$1:$I$89,3,0)*VLOOKUP('Données projet'!$B$16,Paramètres!$A$1:$I$89,5,0)</f>
        <v>133.66080000000011</v>
      </c>
      <c r="FG196" s="13">
        <f t="shared" si="182"/>
        <v>34.840890682716783</v>
      </c>
      <c r="FH196" s="20">
        <f t="shared" si="183"/>
        <v>293.4737779390652</v>
      </c>
      <c r="FI196" s="59">
        <f t="shared" ref="FI196:FI203" si="199">FH196+(EZ196+FA196)*44/12</f>
        <v>585.39913822823735</v>
      </c>
      <c r="FJ196" s="59">
        <f ca="1">AVERAGE(OFFSET($FI$3,0,0,'Données projet'!$E$16+1,1))-AVERAGE(OFFSET($H$3,0,0,'Données projet'!$E$16+1,1))</f>
        <v>242.76791261317206</v>
      </c>
      <c r="FK196" s="59">
        <f t="shared" si="156"/>
        <v>244.28580264867682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5.125656646771696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5.125656646771696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18.829999999999643</v>
      </c>
      <c r="GA196" s="17">
        <f>FZ196*VLOOKUP('Données projet'!$B$17,Paramètres!$A$1:$I$89,3,0)*VLOOKUP('Données projet'!$B$17,Paramètres!$A$1:$I$89,5,0)</f>
        <v>17.918627999999661</v>
      </c>
      <c r="GB196" s="13">
        <f t="shared" si="185"/>
        <v>5.9016322671185755</v>
      </c>
      <c r="GC196" s="20">
        <f t="shared" si="186"/>
        <v>41.486953298564259</v>
      </c>
      <c r="GD196" s="59">
        <f t="shared" ref="GD196:GD203" si="200">GC196+(FU196+FV196)*44/12</f>
        <v>333.41231358773643</v>
      </c>
      <c r="GE196" s="59">
        <f ca="1">AVERAGE(OFFSET($GD$3,0,0,'Données projet'!$E$17+1,1))-AVERAGE(OFFSET($H$3,0,0,'Données projet'!$E$17+1,1))</f>
        <v>512.71941256120977</v>
      </c>
      <c r="GF196" s="59">
        <f t="shared" si="158"/>
        <v>230.65031527019354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125.08000426088309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125.08000426088309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69.616007351592401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-5.6843418860808015E-14</v>
      </c>
      <c r="GV196" s="17">
        <f>GU196*VLOOKUP('Données projet'!$B$18,Paramètres!$A$1:$I$89,3,0)*VLOOKUP('Données projet'!$B$18,Paramètres!$A$1:$I$89,5,0)</f>
        <v>-2.5006556825246661E-14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180.68917161146683</v>
      </c>
      <c r="HA196" s="59">
        <f t="shared" si="160"/>
        <v>344.42126252322419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2.5343311544176461</v>
      </c>
      <c r="HH196" s="21">
        <f>EXP(-LN(2)/25)*HH195+(1-EXP(-LN(2)/25))/(LN(2)/25)*Calculateur!HC196*Calculateur!HE196*VLOOKUP('Données projet'!$B$18,Paramètres!$A$1:$I$89,3,0)*0.475*44/12</f>
        <v>0.18049311464066886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2.7148242690583149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2.25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8.25</v>
      </c>
      <c r="H197" s="66">
        <f t="shared" si="192"/>
        <v>223.66666666666666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18.829999999999643</v>
      </c>
      <c r="O197" s="13">
        <f>N197*VLOOKUP('Données projet'!$B$9,Paramètres!$A$1:$I$89,3,0)*VLOOKUP('Données projet'!$B$9,Paramètres!$A$1:$I$89,5,0)</f>
        <v>17.037383999999676</v>
      </c>
      <c r="P197" s="13">
        <f t="shared" ref="P197:P203" si="203">EXP(-1.0587+0.8836*LN(O197)+0.284)</f>
        <v>5.644424624466958</v>
      </c>
      <c r="Q197" s="20">
        <f t="shared" si="162"/>
        <v>39.504150020946049</v>
      </c>
      <c r="R197" s="59">
        <f t="shared" si="191"/>
        <v>331.45393549467826</v>
      </c>
      <c r="S197" s="59">
        <f ca="1">AVERAGE(OFFSET($R$3,0,0,'Données projet'!$E$9+1,1))-AVERAGE(OFFSET($H$3,0,0,'Données projet'!$E$9+1,1))</f>
        <v>490.57849401500789</v>
      </c>
      <c r="T197" s="59">
        <f t="shared" ref="T197:T203" si="204">$T$3</f>
        <v>221.7570623669753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116.59641273407541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116.59641273407541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18.70999999999917</v>
      </c>
      <c r="AJ197" s="13">
        <f>AI197*VLOOKUP('Données projet'!$B$10,Paramètres!$A$1:$I$89,3,0)*VLOOKUP('Données projet'!$B$10,Paramètres!$A$1:$I$89,5,0)</f>
        <v>12.550667999999442</v>
      </c>
      <c r="AK197" s="13">
        <f t="shared" si="164"/>
        <v>4.3085792539205476</v>
      </c>
      <c r="AL197" s="20">
        <f t="shared" si="165"/>
        <v>29.363188967243982</v>
      </c>
      <c r="AM197" s="59">
        <f t="shared" si="193"/>
        <v>321.31297444097618</v>
      </c>
      <c r="AN197" s="59">
        <f ca="1">AVERAGE(OFFSET($AM$3,0,0,'Données projet'!$E$10+1,1))-AVERAGE(OFFSET($H$3,0,0,'Données projet'!$E$10+1,1))</f>
        <v>377.00534440335832</v>
      </c>
      <c r="AO197" s="59">
        <f t="shared" ref="AO197:AO203" si="205">$AO$3</f>
        <v>131.56029120000656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200.29295482192552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200.29295482192552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212.00000000000009</v>
      </c>
      <c r="BE197" s="13">
        <f>BD197*VLOOKUP('Données projet'!$B$11,Paramètres!$A$1:$I$89,3,0)*VLOOKUP('Données projet'!$B$11,Paramètres!$A$1:$I$89,5,0)</f>
        <v>185.20320000000009</v>
      </c>
      <c r="BF197" s="13">
        <f t="shared" si="167"/>
        <v>46.477875402099386</v>
      </c>
      <c r="BG197" s="20">
        <f t="shared" si="168"/>
        <v>403.5112063253232</v>
      </c>
      <c r="BH197" s="59">
        <f t="shared" si="194"/>
        <v>695.46099179905536</v>
      </c>
      <c r="BI197" s="59">
        <f ca="1">AVERAGE(OFFSET($BH$3,0,0,'Données projet'!$E$11+1,1))-AVERAGE(OFFSET($H$3,0,0,'Données projet'!$E$11+1,1))</f>
        <v>314.1123649635374</v>
      </c>
      <c r="BJ197" s="59">
        <f t="shared" ref="BJ197:BJ203" si="206">$BJ$3</f>
        <v>274.92342227914889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6.8063970781302112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6.8063970781302112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212.42519999999985</v>
      </c>
      <c r="CA197" s="13">
        <f t="shared" si="170"/>
        <v>52.465198231787184</v>
      </c>
      <c r="CB197" s="20">
        <f t="shared" si="171"/>
        <v>461.35077692036231</v>
      </c>
      <c r="CC197" s="59">
        <f t="shared" si="195"/>
        <v>753.30056239409453</v>
      </c>
      <c r="CD197" s="59">
        <f ca="1">AVERAGE(OFFSET($CC$3,0,0,'Données projet'!$E$12+1,1))-AVERAGE(OFFSET($H$3,0,0,'Données projet'!$E$12+1,1))</f>
        <v>309.86296291630748</v>
      </c>
      <c r="CE197" s="59">
        <f t="shared" ref="CE197:CE203" si="207">$CE$3</f>
        <v>301.17633325088661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4.5379498124249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4.5379498124249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404.00000000000017</v>
      </c>
      <c r="CU197" s="17">
        <f>CT197*VLOOKUP('Données projet'!$B$13,Paramètres!$A$1:$I$89,3,0)*VLOOKUP('Données projet'!$B$13,Paramètres!$A$1:$I$89,5,0)</f>
        <v>346.63200000000018</v>
      </c>
      <c r="CV197" s="13">
        <f t="shared" si="173"/>
        <v>80.868615263336864</v>
      </c>
      <c r="CW197" s="20">
        <f t="shared" si="174"/>
        <v>744.56357158364528</v>
      </c>
      <c r="CX197" s="59">
        <f t="shared" si="196"/>
        <v>1036.5133570573776</v>
      </c>
      <c r="CY197" s="59">
        <f ca="1">AVERAGE(OFFSET($CX$3,0,0,'Données projet'!$E$13+1,1))-AVERAGE(OFFSET($H$3,0,0,'Données projet'!$E$13+1,1))</f>
        <v>462.66388549889928</v>
      </c>
      <c r="CZ197" s="59">
        <f t="shared" ref="CZ197:CZ203" si="208">$CZ$3</f>
        <v>265.3725203415089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23.08576171188837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23.08576171188837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210.25641030000014</v>
      </c>
      <c r="DP197" s="17">
        <f>DO197*VLOOKUP('Données projet'!$B$14,Paramètres!$A$1:$I$89,3,0)*VLOOKUP('Données projet'!$B$14,Paramètres!$A$1:$I$89,5,0)</f>
        <v>164.00000003400012</v>
      </c>
      <c r="DQ197" s="13">
        <f t="shared" si="176"/>
        <v>41.743425916009095</v>
      </c>
      <c r="DR197" s="20">
        <f t="shared" si="177"/>
        <v>358.3364668629327</v>
      </c>
      <c r="DS197" s="59">
        <f t="shared" si="197"/>
        <v>650.28625233666492</v>
      </c>
      <c r="DT197" s="59">
        <f ca="1">AVERAGE(OFFSET($DS$3,0,0,'Données projet'!$E$14+1,1))-AVERAGE(OFFSET($H$3,0,0,'Données projet'!$E$14+1,1))</f>
        <v>206.5241977687125</v>
      </c>
      <c r="DU197" s="59">
        <f t="shared" ref="DU197:DU203" si="209">$DU$3</f>
        <v>205.25001043771269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2.7166152810334316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2.7166152810334316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155.99999999999991</v>
      </c>
      <c r="EK197" s="17">
        <f>EJ197*VLOOKUP('Données projet'!$B$15,Paramètres!$A$1:$I$89,3,0)*VLOOKUP('Données projet'!$B$15,Paramètres!$A$1:$I$89,5,0)</f>
        <v>136.28159999999994</v>
      </c>
      <c r="EL197" s="13">
        <f t="shared" si="179"/>
        <v>35.443842312892279</v>
      </c>
      <c r="EM197" s="20">
        <f t="shared" si="180"/>
        <v>299.08847869495395</v>
      </c>
      <c r="EN197" s="59">
        <f t="shared" si="198"/>
        <v>591.03826416868617</v>
      </c>
      <c r="EO197" s="59">
        <f ca="1">AVERAGE(OFFSET($EN$3,0,0,'Données projet'!$E$15+1,1))-AVERAGE(OFFSET($H$3,0,0,'Données projet'!$E$15+1,1))</f>
        <v>205.83135724908942</v>
      </c>
      <c r="EP197" s="59">
        <f t="shared" ref="EP197:EP203" si="210">$EP$3</f>
        <v>193.60053377311405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2.7053207361893321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2.7053207361893321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204.00000000000017</v>
      </c>
      <c r="FF197" s="17">
        <f>FE197*VLOOKUP('Données projet'!$B$16,Paramètres!$A$1:$I$89,3,0)*VLOOKUP('Données projet'!$B$16,Paramètres!$A$1:$I$89,5,0)</f>
        <v>133.66080000000011</v>
      </c>
      <c r="FG197" s="13">
        <f t="shared" si="182"/>
        <v>34.840890682716783</v>
      </c>
      <c r="FH197" s="20">
        <f t="shared" si="183"/>
        <v>293.4737779390652</v>
      </c>
      <c r="FI197" s="59">
        <f t="shared" si="199"/>
        <v>585.42356341279742</v>
      </c>
      <c r="FJ197" s="59">
        <f ca="1">AVERAGE(OFFSET($FI$3,0,0,'Données projet'!$E$16+1,1))-AVERAGE(OFFSET($H$3,0,0,'Données projet'!$E$16+1,1))</f>
        <v>242.76791261317206</v>
      </c>
      <c r="FK197" s="59">
        <f t="shared" ref="FK197:FK203" si="211">$FK$3</f>
        <v>244.28580264867682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5.0251456462703565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5.0251456462703565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18.829999999999643</v>
      </c>
      <c r="GA197" s="17">
        <f>FZ197*VLOOKUP('Données projet'!$B$17,Paramètres!$A$1:$I$89,3,0)*VLOOKUP('Données projet'!$B$17,Paramètres!$A$1:$I$89,5,0)</f>
        <v>17.918627999999661</v>
      </c>
      <c r="GB197" s="13">
        <f t="shared" si="185"/>
        <v>5.9016322671185755</v>
      </c>
      <c r="GC197" s="20">
        <f t="shared" si="186"/>
        <v>41.486953298564259</v>
      </c>
      <c r="GD197" s="59">
        <f t="shared" si="200"/>
        <v>333.43673877229651</v>
      </c>
      <c r="GE197" s="59">
        <f ca="1">AVERAGE(OFFSET($GD$3,0,0,'Données projet'!$E$17+1,1))-AVERAGE(OFFSET($H$3,0,0,'Données projet'!$E$17+1,1))</f>
        <v>512.71941256120977</v>
      </c>
      <c r="GF197" s="59">
        <f t="shared" ref="GF197:GF203" si="212">$GF$3</f>
        <v>230.65031527019354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122.62726166859663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122.62726166859663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69.622668765563333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-5.6843418860808015E-14</v>
      </c>
      <c r="GV197" s="17">
        <f>GU197*VLOOKUP('Données projet'!$B$18,Paramètres!$A$1:$I$89,3,0)*VLOOKUP('Données projet'!$B$18,Paramètres!$A$1:$I$89,5,0)</f>
        <v>-2.5006556825246661E-14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180.68917161146683</v>
      </c>
      <c r="HA197" s="59">
        <f t="shared" ref="HA197:HA203" si="213">$HA$3</f>
        <v>344.42126252322419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2.4846344662688864</v>
      </c>
      <c r="HH197" s="21">
        <f>EXP(-LN(2)/25)*HH196+(1-EXP(-LN(2)/25))/(LN(2)/25)*Calculateur!HC197*Calculateur!HE197*VLOOKUP('Données projet'!$B$18,Paramètres!$A$1:$I$89,3,0)*0.475*44/12</f>
        <v>0.1755575209290994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2.6601919871979858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2.25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8.25</v>
      </c>
      <c r="H198" s="66">
        <f t="shared" si="192"/>
        <v>223.66666666666666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18.829999999999643</v>
      </c>
      <c r="O198" s="13">
        <f>N198*VLOOKUP('Données projet'!$B$9,Paramètres!$A$1:$I$89,3,0)*VLOOKUP('Données projet'!$B$9,Paramètres!$A$1:$I$89,5,0)</f>
        <v>17.037383999999676</v>
      </c>
      <c r="P198" s="13">
        <f t="shared" si="203"/>
        <v>5.644424624466958</v>
      </c>
      <c r="Q198" s="20">
        <f t="shared" si="162"/>
        <v>39.504150020946049</v>
      </c>
      <c r="R198" s="59">
        <f t="shared" si="191"/>
        <v>331.47793695689268</v>
      </c>
      <c r="S198" s="59">
        <f ca="1">AVERAGE(OFFSET($R$3,0,0,'Données projet'!$E$9+1,1))-AVERAGE(OFFSET($H$3,0,0,'Données projet'!$E$9+1,1))</f>
        <v>490.57849401500789</v>
      </c>
      <c r="T198" s="59">
        <f t="shared" si="204"/>
        <v>221.7570623669753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114.31002819714976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114.31002819714976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18.70999999999917</v>
      </c>
      <c r="AJ198" s="13">
        <f>AI198*VLOOKUP('Données projet'!$B$10,Paramètres!$A$1:$I$89,3,0)*VLOOKUP('Données projet'!$B$10,Paramètres!$A$1:$I$89,5,0)</f>
        <v>12.550667999999442</v>
      </c>
      <c r="AK198" s="13">
        <f t="shared" si="164"/>
        <v>4.3085792539205476</v>
      </c>
      <c r="AL198" s="20">
        <f t="shared" si="165"/>
        <v>29.363188967243982</v>
      </c>
      <c r="AM198" s="59">
        <f t="shared" si="193"/>
        <v>321.33697590319059</v>
      </c>
      <c r="AN198" s="59">
        <f ca="1">AVERAGE(OFFSET($AM$3,0,0,'Données projet'!$E$10+1,1))-AVERAGE(OFFSET($H$3,0,0,'Données projet'!$E$10+1,1))</f>
        <v>377.00534440335832</v>
      </c>
      <c r="AO198" s="59">
        <f t="shared" si="205"/>
        <v>131.56029120000656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196.36533214450705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196.36533214450705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212.00000000000009</v>
      </c>
      <c r="BE198" s="13">
        <f>BD198*VLOOKUP('Données projet'!$B$11,Paramètres!$A$1:$I$89,3,0)*VLOOKUP('Données projet'!$B$11,Paramètres!$A$1:$I$89,5,0)</f>
        <v>185.20320000000009</v>
      </c>
      <c r="BF198" s="13">
        <f t="shared" si="167"/>
        <v>46.477875402099386</v>
      </c>
      <c r="BG198" s="20">
        <f t="shared" si="168"/>
        <v>403.5112063253232</v>
      </c>
      <c r="BH198" s="59">
        <f t="shared" si="194"/>
        <v>695.48499326126989</v>
      </c>
      <c r="BI198" s="59">
        <f ca="1">AVERAGE(OFFSET($BH$3,0,0,'Données projet'!$E$11+1,1))-AVERAGE(OFFSET($H$3,0,0,'Données projet'!$E$11+1,1))</f>
        <v>314.1123649635374</v>
      </c>
      <c r="BJ198" s="59">
        <f t="shared" si="206"/>
        <v>274.92342227914889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6.6729277829203699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6.6729277829203699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212.42519999999985</v>
      </c>
      <c r="CA198" s="13">
        <f t="shared" si="170"/>
        <v>52.465198231787184</v>
      </c>
      <c r="CB198" s="20">
        <f t="shared" si="171"/>
        <v>461.35077692036231</v>
      </c>
      <c r="CC198" s="59">
        <f t="shared" si="195"/>
        <v>753.32456385630894</v>
      </c>
      <c r="CD198" s="59">
        <f ca="1">AVERAGE(OFFSET($CC$3,0,0,'Données projet'!$E$12+1,1))-AVERAGE(OFFSET($H$3,0,0,'Données projet'!$E$12+1,1))</f>
        <v>309.86296291630748</v>
      </c>
      <c r="CE198" s="59">
        <f t="shared" si="207"/>
        <v>301.17633325088661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4.4489633844793284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4.4489633844793284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404.00000000000017</v>
      </c>
      <c r="CU198" s="17">
        <f>CT198*VLOOKUP('Données projet'!$B$13,Paramètres!$A$1:$I$89,3,0)*VLOOKUP('Données projet'!$B$13,Paramètres!$A$1:$I$89,5,0)</f>
        <v>346.63200000000018</v>
      </c>
      <c r="CV198" s="13">
        <f t="shared" si="173"/>
        <v>80.868615263336864</v>
      </c>
      <c r="CW198" s="20">
        <f t="shared" si="174"/>
        <v>744.56357158364528</v>
      </c>
      <c r="CX198" s="59">
        <f t="shared" si="196"/>
        <v>1036.5373585195919</v>
      </c>
      <c r="CY198" s="59">
        <f ca="1">AVERAGE(OFFSET($CX$3,0,0,'Données projet'!$E$13+1,1))-AVERAGE(OFFSET($H$3,0,0,'Données projet'!$E$13+1,1))</f>
        <v>462.66388549889928</v>
      </c>
      <c r="CZ198" s="59">
        <f t="shared" si="208"/>
        <v>265.3725203415089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22.633064005642506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22.633064005642506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210.25641030000014</v>
      </c>
      <c r="DP198" s="17">
        <f>DO198*VLOOKUP('Données projet'!$B$14,Paramètres!$A$1:$I$89,3,0)*VLOOKUP('Données projet'!$B$14,Paramètres!$A$1:$I$89,5,0)</f>
        <v>164.00000003400012</v>
      </c>
      <c r="DQ198" s="13">
        <f t="shared" si="176"/>
        <v>41.743425916009095</v>
      </c>
      <c r="DR198" s="20">
        <f t="shared" si="177"/>
        <v>358.3364668629327</v>
      </c>
      <c r="DS198" s="59">
        <f t="shared" si="197"/>
        <v>650.31025379887933</v>
      </c>
      <c r="DT198" s="59">
        <f ca="1">AVERAGE(OFFSET($DS$3,0,0,'Données projet'!$E$14+1,1))-AVERAGE(OFFSET($H$3,0,0,'Données projet'!$E$14+1,1))</f>
        <v>206.5241977687125</v>
      </c>
      <c r="DU198" s="59">
        <f t="shared" si="209"/>
        <v>205.25001043771269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2.6633441123440753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2.6633441123440753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155.99999999999991</v>
      </c>
      <c r="EK198" s="17">
        <f>EJ198*VLOOKUP('Données projet'!$B$15,Paramètres!$A$1:$I$89,3,0)*VLOOKUP('Données projet'!$B$15,Paramètres!$A$1:$I$89,5,0)</f>
        <v>136.28159999999994</v>
      </c>
      <c r="EL198" s="13">
        <f t="shared" si="179"/>
        <v>35.443842312892279</v>
      </c>
      <c r="EM198" s="20">
        <f t="shared" si="180"/>
        <v>299.08847869495395</v>
      </c>
      <c r="EN198" s="59">
        <f t="shared" si="198"/>
        <v>591.06226563090058</v>
      </c>
      <c r="EO198" s="59">
        <f ca="1">AVERAGE(OFFSET($EN$3,0,0,'Données projet'!$E$15+1,1))-AVERAGE(OFFSET($H$3,0,0,'Données projet'!$E$15+1,1))</f>
        <v>205.83135724908942</v>
      </c>
      <c r="EP198" s="59">
        <f t="shared" si="210"/>
        <v>193.60053377311405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2.6522710466353763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2.6522710466353763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204.00000000000017</v>
      </c>
      <c r="FF198" s="17">
        <f>FE198*VLOOKUP('Données projet'!$B$16,Paramètres!$A$1:$I$89,3,0)*VLOOKUP('Données projet'!$B$16,Paramètres!$A$1:$I$89,5,0)</f>
        <v>133.66080000000011</v>
      </c>
      <c r="FG198" s="13">
        <f t="shared" si="182"/>
        <v>34.840890682716783</v>
      </c>
      <c r="FH198" s="20">
        <f t="shared" si="183"/>
        <v>293.4737779390652</v>
      </c>
      <c r="FI198" s="59">
        <f t="shared" si="199"/>
        <v>585.44756487501184</v>
      </c>
      <c r="FJ198" s="59">
        <f ca="1">AVERAGE(OFFSET($FI$3,0,0,'Données projet'!$E$16+1,1))-AVERAGE(OFFSET($H$3,0,0,'Données projet'!$E$16+1,1))</f>
        <v>242.76791261317206</v>
      </c>
      <c r="FK198" s="59">
        <f t="shared" si="211"/>
        <v>244.28580264867682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4.9266056051831919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4.9266056051831919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18.829999999999643</v>
      </c>
      <c r="GA198" s="17">
        <f>FZ198*VLOOKUP('Données projet'!$B$17,Paramètres!$A$1:$I$89,3,0)*VLOOKUP('Données projet'!$B$17,Paramètres!$A$1:$I$89,5,0)</f>
        <v>17.918627999999661</v>
      </c>
      <c r="GB198" s="13">
        <f t="shared" si="185"/>
        <v>5.9016322671185755</v>
      </c>
      <c r="GC198" s="20">
        <f t="shared" si="186"/>
        <v>41.486953298564259</v>
      </c>
      <c r="GD198" s="59">
        <f t="shared" si="200"/>
        <v>333.46074023451092</v>
      </c>
      <c r="GE198" s="59">
        <f ca="1">AVERAGE(OFFSET($GD$3,0,0,'Données projet'!$E$17+1,1))-AVERAGE(OFFSET($H$3,0,0,'Données projet'!$E$17+1,1))</f>
        <v>512.71941256120977</v>
      </c>
      <c r="GF198" s="59">
        <f t="shared" si="212"/>
        <v>230.65031527019354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120.22261586251965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120.22261586251965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69.629214618894537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-5.6843418860808015E-14</v>
      </c>
      <c r="GV198" s="17">
        <f>GU198*VLOOKUP('Données projet'!$B$18,Paramètres!$A$1:$I$89,3,0)*VLOOKUP('Données projet'!$B$18,Paramètres!$A$1:$I$89,5,0)</f>
        <v>-2.5006556825246661E-14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180.68917161146683</v>
      </c>
      <c r="HA198" s="59">
        <f t="shared" si="213"/>
        <v>344.42126252322419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2.4359122998627369</v>
      </c>
      <c r="HH198" s="21">
        <f>EXP(-LN(2)/25)*HH197+(1-EXP(-LN(2)/25))/(LN(2)/25)*Calculateur!HC198*Calculateur!HE198*VLOOKUP('Données projet'!$B$18,Paramètres!$A$1:$I$89,3,0)*0.475*44/12</f>
        <v>0.1707568912871244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2.6066691911498614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2.25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8.25</v>
      </c>
      <c r="H199" s="66">
        <f t="shared" si="192"/>
        <v>223.66666666666666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18.829999999999643</v>
      </c>
      <c r="O199" s="13">
        <f>N199*VLOOKUP('Données projet'!$B$9,Paramètres!$A$1:$I$89,3,0)*VLOOKUP('Données projet'!$B$9,Paramètres!$A$1:$I$89,5,0)</f>
        <v>17.037383999999676</v>
      </c>
      <c r="P199" s="13">
        <f t="shared" si="203"/>
        <v>5.644424624466958</v>
      </c>
      <c r="Q199" s="20">
        <f t="shared" si="162"/>
        <v>39.504150020946049</v>
      </c>
      <c r="R199" s="59">
        <f t="shared" si="191"/>
        <v>331.50152204739697</v>
      </c>
      <c r="S199" s="59">
        <f ca="1">AVERAGE(OFFSET($R$3,0,0,'Données projet'!$E$9+1,1))-AVERAGE(OFFSET($H$3,0,0,'Données projet'!$E$9+1,1))</f>
        <v>490.57849401500789</v>
      </c>
      <c r="T199" s="59">
        <f t="shared" si="204"/>
        <v>221.7570623669753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112.06847826643636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112.06847826643636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18.70999999999917</v>
      </c>
      <c r="AJ199" s="13">
        <f>AI199*VLOOKUP('Données projet'!$B$10,Paramètres!$A$1:$I$89,3,0)*VLOOKUP('Données projet'!$B$10,Paramètres!$A$1:$I$89,5,0)</f>
        <v>12.550667999999442</v>
      </c>
      <c r="AK199" s="13">
        <f t="shared" si="164"/>
        <v>4.3085792539205476</v>
      </c>
      <c r="AL199" s="20">
        <f t="shared" si="165"/>
        <v>29.363188967243982</v>
      </c>
      <c r="AM199" s="59">
        <f t="shared" si="193"/>
        <v>321.36056099369489</v>
      </c>
      <c r="AN199" s="59">
        <f ca="1">AVERAGE(OFFSET($AM$3,0,0,'Données projet'!$E$10+1,1))-AVERAGE(OFFSET($H$3,0,0,'Données projet'!$E$10+1,1))</f>
        <v>377.00534440335832</v>
      </c>
      <c r="AO199" s="59">
        <f t="shared" si="205"/>
        <v>131.56029120000656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192.51472775217948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192.51472775217948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212.00000000000009</v>
      </c>
      <c r="BE199" s="13">
        <f>BD199*VLOOKUP('Données projet'!$B$11,Paramètres!$A$1:$I$89,3,0)*VLOOKUP('Données projet'!$B$11,Paramètres!$A$1:$I$89,5,0)</f>
        <v>185.20320000000009</v>
      </c>
      <c r="BF199" s="13">
        <f t="shared" si="167"/>
        <v>46.477875402099386</v>
      </c>
      <c r="BG199" s="20">
        <f t="shared" si="168"/>
        <v>403.5112063253232</v>
      </c>
      <c r="BH199" s="59">
        <f t="shared" si="194"/>
        <v>695.50857835177408</v>
      </c>
      <c r="BI199" s="59">
        <f ca="1">AVERAGE(OFFSET($BH$3,0,0,'Données projet'!$E$11+1,1))-AVERAGE(OFFSET($H$3,0,0,'Données projet'!$E$11+1,1))</f>
        <v>314.1123649635374</v>
      </c>
      <c r="BJ199" s="59">
        <f t="shared" si="206"/>
        <v>274.92342227914889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6.542075739181362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6.542075739181362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212.42519999999985</v>
      </c>
      <c r="CA199" s="13">
        <f t="shared" si="170"/>
        <v>52.465198231787184</v>
      </c>
      <c r="CB199" s="20">
        <f t="shared" si="171"/>
        <v>461.35077692036231</v>
      </c>
      <c r="CC199" s="59">
        <f t="shared" si="195"/>
        <v>753.34814894681324</v>
      </c>
      <c r="CD199" s="59">
        <f ca="1">AVERAGE(OFFSET($CC$3,0,0,'Données projet'!$E$12+1,1))-AVERAGE(OFFSET($H$3,0,0,'Données projet'!$E$12+1,1))</f>
        <v>309.86296291630748</v>
      </c>
      <c r="CE199" s="59">
        <f t="shared" si="207"/>
        <v>301.17633325088661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4.3617219261094071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4.3617219261094071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404.00000000000017</v>
      </c>
      <c r="CU199" s="17">
        <f>CT199*VLOOKUP('Données projet'!$B$13,Paramètres!$A$1:$I$89,3,0)*VLOOKUP('Données projet'!$B$13,Paramètres!$A$1:$I$89,5,0)</f>
        <v>346.63200000000018</v>
      </c>
      <c r="CV199" s="13">
        <f t="shared" si="173"/>
        <v>80.868615263336864</v>
      </c>
      <c r="CW199" s="20">
        <f t="shared" si="174"/>
        <v>744.56357158364528</v>
      </c>
      <c r="CX199" s="59">
        <f t="shared" si="196"/>
        <v>1036.5609436100963</v>
      </c>
      <c r="CY199" s="59">
        <f ca="1">AVERAGE(OFFSET($CX$3,0,0,'Données projet'!$E$13+1,1))-AVERAGE(OFFSET($H$3,0,0,'Données projet'!$E$13+1,1))</f>
        <v>462.66388549889928</v>
      </c>
      <c r="CZ199" s="59">
        <f t="shared" si="208"/>
        <v>265.3725203415089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22.189243425297789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22.189243425297789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210.25641030000014</v>
      </c>
      <c r="DP199" s="17">
        <f>DO199*VLOOKUP('Données projet'!$B$14,Paramètres!$A$1:$I$89,3,0)*VLOOKUP('Données projet'!$B$14,Paramètres!$A$1:$I$89,5,0)</f>
        <v>164.00000003400012</v>
      </c>
      <c r="DQ199" s="13">
        <f t="shared" si="176"/>
        <v>41.743425916009095</v>
      </c>
      <c r="DR199" s="20">
        <f t="shared" si="177"/>
        <v>358.3364668629327</v>
      </c>
      <c r="DS199" s="59">
        <f t="shared" si="197"/>
        <v>650.33383888938363</v>
      </c>
      <c r="DT199" s="59">
        <f ca="1">AVERAGE(OFFSET($DS$3,0,0,'Données projet'!$E$14+1,1))-AVERAGE(OFFSET($H$3,0,0,'Données projet'!$E$14+1,1))</f>
        <v>206.5241977687125</v>
      </c>
      <c r="DU199" s="59">
        <f t="shared" si="209"/>
        <v>205.25001043771269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2.6111175587805127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2.6111175587805127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155.99999999999991</v>
      </c>
      <c r="EK199" s="17">
        <f>EJ199*VLOOKUP('Données projet'!$B$15,Paramètres!$A$1:$I$89,3,0)*VLOOKUP('Données projet'!$B$15,Paramètres!$A$1:$I$89,5,0)</f>
        <v>136.28159999999994</v>
      </c>
      <c r="EL199" s="13">
        <f t="shared" si="179"/>
        <v>35.443842312892279</v>
      </c>
      <c r="EM199" s="20">
        <f t="shared" si="180"/>
        <v>299.08847869495395</v>
      </c>
      <c r="EN199" s="59">
        <f t="shared" si="198"/>
        <v>591.08585072140488</v>
      </c>
      <c r="EO199" s="59">
        <f ca="1">AVERAGE(OFFSET($EN$3,0,0,'Données projet'!$E$15+1,1))-AVERAGE(OFFSET($H$3,0,0,'Données projet'!$E$15+1,1))</f>
        <v>205.83135724908942</v>
      </c>
      <c r="EP199" s="59">
        <f t="shared" si="210"/>
        <v>193.60053377311405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2.6002616291364578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2.6002616291364578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204.00000000000017</v>
      </c>
      <c r="FF199" s="17">
        <f>FE199*VLOOKUP('Données projet'!$B$16,Paramètres!$A$1:$I$89,3,0)*VLOOKUP('Données projet'!$B$16,Paramètres!$A$1:$I$89,5,0)</f>
        <v>133.66080000000011</v>
      </c>
      <c r="FG199" s="13">
        <f t="shared" si="182"/>
        <v>34.840890682716783</v>
      </c>
      <c r="FH199" s="20">
        <f t="shared" si="183"/>
        <v>293.4737779390652</v>
      </c>
      <c r="FI199" s="59">
        <f t="shared" si="199"/>
        <v>585.47114996551613</v>
      </c>
      <c r="FJ199" s="59">
        <f ca="1">AVERAGE(OFFSET($FI$3,0,0,'Données projet'!$E$16+1,1))-AVERAGE(OFFSET($H$3,0,0,'Données projet'!$E$16+1,1))</f>
        <v>242.76791261317206</v>
      </c>
      <c r="FK199" s="59">
        <f t="shared" si="211"/>
        <v>244.28580264867682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4.8299978741982565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4.8299978741982565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18.829999999999643</v>
      </c>
      <c r="GA199" s="17">
        <f>FZ199*VLOOKUP('Données projet'!$B$17,Paramètres!$A$1:$I$89,3,0)*VLOOKUP('Données projet'!$B$17,Paramètres!$A$1:$I$89,5,0)</f>
        <v>17.918627999999661</v>
      </c>
      <c r="GB199" s="13">
        <f t="shared" si="185"/>
        <v>5.9016322671185755</v>
      </c>
      <c r="GC199" s="20">
        <f t="shared" si="186"/>
        <v>41.486953298564259</v>
      </c>
      <c r="GD199" s="59">
        <f t="shared" si="200"/>
        <v>333.48432532501522</v>
      </c>
      <c r="GE199" s="59">
        <f ca="1">AVERAGE(OFFSET($GD$3,0,0,'Données projet'!$E$17+1,1))-AVERAGE(OFFSET($H$3,0,0,'Données projet'!$E$17+1,1))</f>
        <v>512.71941256120977</v>
      </c>
      <c r="GF199" s="59">
        <f t="shared" si="212"/>
        <v>230.65031527019354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117.86512369401072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117.86512369401072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69.635646916304793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-5.6843418860808015E-14</v>
      </c>
      <c r="GV199" s="17">
        <f>GU199*VLOOKUP('Données projet'!$B$18,Paramètres!$A$1:$I$89,3,0)*VLOOKUP('Données projet'!$B$18,Paramètres!$A$1:$I$89,5,0)</f>
        <v>-2.5006556825246661E-14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180.68917161146683</v>
      </c>
      <c r="HA199" s="59">
        <f t="shared" si="213"/>
        <v>344.42126252322419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2.3881455454222249</v>
      </c>
      <c r="HH199" s="21">
        <f>EXP(-LN(2)/25)*HH198+(1-EXP(-LN(2)/25))/(LN(2)/25)*Calculateur!HC199*Calculateur!HE199*VLOOKUP('Données projet'!$B$18,Paramètres!$A$1:$I$89,3,0)*0.475*44/12</f>
        <v>0.16608753511516333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2.5542330805373883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2.25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8.25</v>
      </c>
      <c r="H200" s="66">
        <f t="shared" si="192"/>
        <v>223.66666666666666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18.829999999999643</v>
      </c>
      <c r="O200" s="13">
        <f>N200*VLOOKUP('Données projet'!$B$9,Paramètres!$A$1:$I$89,3,0)*VLOOKUP('Données projet'!$B$9,Paramètres!$A$1:$I$89,5,0)</f>
        <v>17.037383999999676</v>
      </c>
      <c r="P200" s="13">
        <f t="shared" si="203"/>
        <v>5.644424624466958</v>
      </c>
      <c r="Q200" s="20">
        <f t="shared" si="162"/>
        <v>39.504150020946049</v>
      </c>
      <c r="R200" s="59">
        <f t="shared" si="191"/>
        <v>331.52469798930929</v>
      </c>
      <c r="S200" s="59">
        <f ca="1">AVERAGE(OFFSET($R$3,0,0,'Données projet'!$E$9+1,1))-AVERAGE(OFFSET($H$3,0,0,'Données projet'!$E$9+1,1))</f>
        <v>490.57849401500789</v>
      </c>
      <c r="T200" s="59">
        <f t="shared" si="204"/>
        <v>221.7570623669753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109.87088376265379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109.87088376265379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18.70999999999917</v>
      </c>
      <c r="AJ200" s="13">
        <f>AI200*VLOOKUP('Données projet'!$B$10,Paramètres!$A$1:$I$89,3,0)*VLOOKUP('Données projet'!$B$10,Paramètres!$A$1:$I$89,5,0)</f>
        <v>12.550667999999442</v>
      </c>
      <c r="AK200" s="13">
        <f t="shared" si="164"/>
        <v>4.3085792539205476</v>
      </c>
      <c r="AL200" s="20">
        <f t="shared" si="165"/>
        <v>29.363188967243982</v>
      </c>
      <c r="AM200" s="59">
        <f t="shared" si="193"/>
        <v>321.3837369356072</v>
      </c>
      <c r="AN200" s="59">
        <f ca="1">AVERAGE(OFFSET($AM$3,0,0,'Données projet'!$E$10+1,1))-AVERAGE(OFFSET($H$3,0,0,'Données projet'!$E$10+1,1))</f>
        <v>377.00534440335832</v>
      </c>
      <c r="AO200" s="59">
        <f t="shared" si="205"/>
        <v>131.56029120000656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188.73963136334868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188.73963136334868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212.00000000000009</v>
      </c>
      <c r="BE200" s="13">
        <f>BD200*VLOOKUP('Données projet'!$B$11,Paramètres!$A$1:$I$89,3,0)*VLOOKUP('Données projet'!$B$11,Paramètres!$A$1:$I$89,5,0)</f>
        <v>185.20320000000009</v>
      </c>
      <c r="BF200" s="13">
        <f t="shared" si="167"/>
        <v>46.477875402099386</v>
      </c>
      <c r="BG200" s="20">
        <f t="shared" si="168"/>
        <v>403.5112063253232</v>
      </c>
      <c r="BH200" s="59">
        <f t="shared" si="194"/>
        <v>695.53175429368639</v>
      </c>
      <c r="BI200" s="59">
        <f ca="1">AVERAGE(OFFSET($BH$3,0,0,'Données projet'!$E$11+1,1))-AVERAGE(OFFSET($H$3,0,0,'Données projet'!$E$11+1,1))</f>
        <v>314.1123649635374</v>
      </c>
      <c r="BJ200" s="59">
        <f t="shared" si="206"/>
        <v>274.92342227914889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6.41378962420821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6.41378962420821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212.42519999999985</v>
      </c>
      <c r="CA200" s="13">
        <f t="shared" si="170"/>
        <v>52.465198231787184</v>
      </c>
      <c r="CB200" s="20">
        <f t="shared" si="171"/>
        <v>461.35077692036231</v>
      </c>
      <c r="CC200" s="59">
        <f t="shared" si="195"/>
        <v>753.37132488872555</v>
      </c>
      <c r="CD200" s="59">
        <f ca="1">AVERAGE(OFFSET($CC$3,0,0,'Données projet'!$E$12+1,1))-AVERAGE(OFFSET($H$3,0,0,'Données projet'!$E$12+1,1))</f>
        <v>309.86296291630748</v>
      </c>
      <c r="CE200" s="59">
        <f t="shared" si="207"/>
        <v>301.17633325088661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4.2761912195260852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4.2761912195260852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404.00000000000017</v>
      </c>
      <c r="CU200" s="17">
        <f>CT200*VLOOKUP('Données projet'!$B$13,Paramètres!$A$1:$I$89,3,0)*VLOOKUP('Données projet'!$B$13,Paramètres!$A$1:$I$89,5,0)</f>
        <v>346.63200000000018</v>
      </c>
      <c r="CV200" s="13">
        <f t="shared" si="173"/>
        <v>80.868615263336864</v>
      </c>
      <c r="CW200" s="20">
        <f t="shared" si="174"/>
        <v>744.56357158364528</v>
      </c>
      <c r="CX200" s="59">
        <f t="shared" si="196"/>
        <v>1036.5841195520086</v>
      </c>
      <c r="CY200" s="59">
        <f ca="1">AVERAGE(OFFSET($CX$3,0,0,'Données projet'!$E$13+1,1))-AVERAGE(OFFSET($H$3,0,0,'Données projet'!$E$13+1,1))</f>
        <v>462.66388549889928</v>
      </c>
      <c r="CZ200" s="59">
        <f t="shared" si="208"/>
        <v>265.3725203415089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21.754125895829809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21.754125895829809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210.25641030000014</v>
      </c>
      <c r="DP200" s="17">
        <f>DO200*VLOOKUP('Données projet'!$B$14,Paramètres!$A$1:$I$89,3,0)*VLOOKUP('Données projet'!$B$14,Paramètres!$A$1:$I$89,5,0)</f>
        <v>164.00000003400012</v>
      </c>
      <c r="DQ200" s="13">
        <f t="shared" si="176"/>
        <v>41.743425916009095</v>
      </c>
      <c r="DR200" s="20">
        <f t="shared" si="177"/>
        <v>358.3364668629327</v>
      </c>
      <c r="DS200" s="59">
        <f t="shared" si="197"/>
        <v>650.35701483129594</v>
      </c>
      <c r="DT200" s="59">
        <f ca="1">AVERAGE(OFFSET($DS$3,0,0,'Données projet'!$E$14+1,1))-AVERAGE(OFFSET($H$3,0,0,'Données projet'!$E$14+1,1))</f>
        <v>206.5241977687125</v>
      </c>
      <c r="DU200" s="59">
        <f t="shared" si="209"/>
        <v>205.25001043771269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2.5599151360772789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2.5599151360772789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155.99999999999991</v>
      </c>
      <c r="EK200" s="17">
        <f>EJ200*VLOOKUP('Données projet'!$B$15,Paramètres!$A$1:$I$89,3,0)*VLOOKUP('Données projet'!$B$15,Paramètres!$A$1:$I$89,5,0)</f>
        <v>136.28159999999994</v>
      </c>
      <c r="EL200" s="13">
        <f t="shared" si="179"/>
        <v>35.443842312892279</v>
      </c>
      <c r="EM200" s="20">
        <f t="shared" si="180"/>
        <v>299.08847869495395</v>
      </c>
      <c r="EN200" s="59">
        <f t="shared" si="198"/>
        <v>591.1090266633172</v>
      </c>
      <c r="EO200" s="59">
        <f ca="1">AVERAGE(OFFSET($EN$3,0,0,'Données projet'!$E$15+1,1))-AVERAGE(OFFSET($H$3,0,0,'Données projet'!$E$15+1,1))</f>
        <v>205.83135724908942</v>
      </c>
      <c r="EP200" s="59">
        <f t="shared" si="210"/>
        <v>193.60053377311405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2.5492720845920807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2.5492720845920807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204.00000000000017</v>
      </c>
      <c r="FF200" s="17">
        <f>FE200*VLOOKUP('Données projet'!$B$16,Paramètres!$A$1:$I$89,3,0)*VLOOKUP('Données projet'!$B$16,Paramètres!$A$1:$I$89,5,0)</f>
        <v>133.66080000000011</v>
      </c>
      <c r="FG200" s="13">
        <f t="shared" si="182"/>
        <v>34.840890682716783</v>
      </c>
      <c r="FH200" s="20">
        <f t="shared" si="183"/>
        <v>293.4737779390652</v>
      </c>
      <c r="FI200" s="59">
        <f t="shared" si="199"/>
        <v>585.49432590742845</v>
      </c>
      <c r="FJ200" s="59">
        <f ca="1">AVERAGE(OFFSET($FI$3,0,0,'Données projet'!$E$16+1,1))-AVERAGE(OFFSET($H$3,0,0,'Données projet'!$E$16+1,1))</f>
        <v>242.76791261317206</v>
      </c>
      <c r="FK200" s="59">
        <f t="shared" si="211"/>
        <v>244.28580264867682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4.7352845618930379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4.7352845618930379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18.829999999999643</v>
      </c>
      <c r="GA200" s="17">
        <f>FZ200*VLOOKUP('Données projet'!$B$17,Paramètres!$A$1:$I$89,3,0)*VLOOKUP('Données projet'!$B$17,Paramètres!$A$1:$I$89,5,0)</f>
        <v>17.918627999999661</v>
      </c>
      <c r="GB200" s="13">
        <f t="shared" si="185"/>
        <v>5.9016322671185755</v>
      </c>
      <c r="GC200" s="20">
        <f t="shared" si="186"/>
        <v>41.486953298564259</v>
      </c>
      <c r="GD200" s="59">
        <f t="shared" si="200"/>
        <v>333.50750126692753</v>
      </c>
      <c r="GE200" s="59">
        <f ca="1">AVERAGE(OFFSET($GD$3,0,0,'Données projet'!$E$17+1,1))-AVERAGE(OFFSET($H$3,0,0,'Données projet'!$E$17+1,1))</f>
        <v>512.71941256120977</v>
      </c>
      <c r="GF200" s="59">
        <f t="shared" si="212"/>
        <v>230.65031527019354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115.55386050899801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115.55386050899801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69.64196762773544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-5.6843418860808015E-14</v>
      </c>
      <c r="GV200" s="17">
        <f>GU200*VLOOKUP('Données projet'!$B$18,Paramètres!$A$1:$I$89,3,0)*VLOOKUP('Données projet'!$B$18,Paramètres!$A$1:$I$89,5,0)</f>
        <v>-2.5006556825246661E-14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180.68917161146683</v>
      </c>
      <c r="HA200" s="59">
        <f t="shared" si="213"/>
        <v>344.42126252322419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2.3413154679014481</v>
      </c>
      <c r="HH200" s="21">
        <f>EXP(-LN(2)/25)*HH199+(1-EXP(-LN(2)/25))/(LN(2)/25)*Calculateur!HC200*Calculateur!HE200*VLOOKUP('Données projet'!$B$18,Paramètres!$A$1:$I$89,3,0)*0.475*44/12</f>
        <v>0.16154586273327531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2.5028613306347234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2.25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8.25</v>
      </c>
      <c r="H201" s="66">
        <f t="shared" si="192"/>
        <v>223.66666666666666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18.829999999999643</v>
      </c>
      <c r="O201" s="13">
        <f>N201*VLOOKUP('Données projet'!$B$9,Paramètres!$A$1:$I$89,3,0)*VLOOKUP('Données projet'!$B$9,Paramètres!$A$1:$I$89,5,0)</f>
        <v>17.037383999999676</v>
      </c>
      <c r="P201" s="13">
        <f t="shared" si="203"/>
        <v>5.644424624466958</v>
      </c>
      <c r="Q201" s="20">
        <f t="shared" si="162"/>
        <v>39.504150020946049</v>
      </c>
      <c r="R201" s="59">
        <f t="shared" si="191"/>
        <v>331.54747188044314</v>
      </c>
      <c r="S201" s="59">
        <f ca="1">AVERAGE(OFFSET($R$3,0,0,'Données projet'!$E$9+1,1))-AVERAGE(OFFSET($H$3,0,0,'Données projet'!$E$9+1,1))</f>
        <v>490.57849401500789</v>
      </c>
      <c r="T201" s="59">
        <f t="shared" si="204"/>
        <v>221.7570623669753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107.7163827466901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107.7163827466901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18.70999999999917</v>
      </c>
      <c r="AJ201" s="13">
        <f>AI201*VLOOKUP('Données projet'!$B$10,Paramètres!$A$1:$I$89,3,0)*VLOOKUP('Données projet'!$B$10,Paramètres!$A$1:$I$89,5,0)</f>
        <v>12.550667999999442</v>
      </c>
      <c r="AK201" s="13">
        <f t="shared" si="164"/>
        <v>4.3085792539205476</v>
      </c>
      <c r="AL201" s="20">
        <f t="shared" si="165"/>
        <v>29.363188967243982</v>
      </c>
      <c r="AM201" s="59">
        <f t="shared" si="193"/>
        <v>321.40651082674106</v>
      </c>
      <c r="AN201" s="59">
        <f ca="1">AVERAGE(OFFSET($AM$3,0,0,'Données projet'!$E$10+1,1))-AVERAGE(OFFSET($H$3,0,0,'Données projet'!$E$10+1,1))</f>
        <v>377.00534440335832</v>
      </c>
      <c r="AO201" s="59">
        <f t="shared" si="205"/>
        <v>131.56029120000656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185.0385623121214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185.0385623121214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212.00000000000009</v>
      </c>
      <c r="BE201" s="13">
        <f>BD201*VLOOKUP('Données projet'!$B$11,Paramètres!$A$1:$I$89,3,0)*VLOOKUP('Données projet'!$B$11,Paramètres!$A$1:$I$89,5,0)</f>
        <v>185.20320000000009</v>
      </c>
      <c r="BF201" s="13">
        <f t="shared" si="167"/>
        <v>46.477875402099386</v>
      </c>
      <c r="BG201" s="20">
        <f t="shared" si="168"/>
        <v>403.5112063253232</v>
      </c>
      <c r="BH201" s="59">
        <f t="shared" si="194"/>
        <v>695.55452818482036</v>
      </c>
      <c r="BI201" s="59">
        <f ca="1">AVERAGE(OFFSET($BH$3,0,0,'Données projet'!$E$11+1,1))-AVERAGE(OFFSET($H$3,0,0,'Données projet'!$E$11+1,1))</f>
        <v>314.1123649635374</v>
      </c>
      <c r="BJ201" s="59">
        <f t="shared" si="206"/>
        <v>274.92342227914889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6.2880191217028774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6.2880191217028774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212.42519999999985</v>
      </c>
      <c r="CA201" s="13">
        <f t="shared" si="170"/>
        <v>52.465198231787184</v>
      </c>
      <c r="CB201" s="20">
        <f t="shared" si="171"/>
        <v>461.35077692036231</v>
      </c>
      <c r="CC201" s="59">
        <f t="shared" si="195"/>
        <v>753.39409877985941</v>
      </c>
      <c r="CD201" s="59">
        <f ca="1">AVERAGE(OFFSET($CC$3,0,0,'Données projet'!$E$12+1,1))-AVERAGE(OFFSET($H$3,0,0,'Données projet'!$E$12+1,1))</f>
        <v>309.86296291630748</v>
      </c>
      <c r="CE201" s="59">
        <f t="shared" si="207"/>
        <v>301.17633325088661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4.1923377179302825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4.1923377179302825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404.00000000000017</v>
      </c>
      <c r="CU201" s="17">
        <f>CT201*VLOOKUP('Données projet'!$B$13,Paramètres!$A$1:$I$89,3,0)*VLOOKUP('Données projet'!$B$13,Paramètres!$A$1:$I$89,5,0)</f>
        <v>346.63200000000018</v>
      </c>
      <c r="CV201" s="13">
        <f t="shared" si="173"/>
        <v>80.868615263336864</v>
      </c>
      <c r="CW201" s="20">
        <f t="shared" si="174"/>
        <v>744.56357158364528</v>
      </c>
      <c r="CX201" s="59">
        <f t="shared" si="196"/>
        <v>1036.6068934431423</v>
      </c>
      <c r="CY201" s="59">
        <f ca="1">AVERAGE(OFFSET($CX$3,0,0,'Données projet'!$E$13+1,1))-AVERAGE(OFFSET($H$3,0,0,'Données projet'!$E$13+1,1))</f>
        <v>462.66388549889928</v>
      </c>
      <c r="CZ201" s="59">
        <f t="shared" si="208"/>
        <v>265.3725203415089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21.327540755719205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21.327540755719205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210.25641030000014</v>
      </c>
      <c r="DP201" s="17">
        <f>DO201*VLOOKUP('Données projet'!$B$14,Paramètres!$A$1:$I$89,3,0)*VLOOKUP('Données projet'!$B$14,Paramètres!$A$1:$I$89,5,0)</f>
        <v>164.00000003400012</v>
      </c>
      <c r="DQ201" s="13">
        <f t="shared" si="176"/>
        <v>41.743425916009095</v>
      </c>
      <c r="DR201" s="20">
        <f t="shared" si="177"/>
        <v>358.3364668629327</v>
      </c>
      <c r="DS201" s="59">
        <f t="shared" si="197"/>
        <v>650.37978872242979</v>
      </c>
      <c r="DT201" s="59">
        <f ca="1">AVERAGE(OFFSET($DS$3,0,0,'Données projet'!$E$14+1,1))-AVERAGE(OFFSET($H$3,0,0,'Données projet'!$E$14+1,1))</f>
        <v>206.5241977687125</v>
      </c>
      <c r="DU201" s="59">
        <f t="shared" si="209"/>
        <v>205.25001043771269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2.5097167616528617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2.5097167616528617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155.99999999999991</v>
      </c>
      <c r="EK201" s="17">
        <f>EJ201*VLOOKUP('Données projet'!$B$15,Paramètres!$A$1:$I$89,3,0)*VLOOKUP('Données projet'!$B$15,Paramètres!$A$1:$I$89,5,0)</f>
        <v>136.28159999999994</v>
      </c>
      <c r="EL201" s="13">
        <f t="shared" si="179"/>
        <v>35.443842312892279</v>
      </c>
      <c r="EM201" s="20">
        <f t="shared" si="180"/>
        <v>299.08847869495395</v>
      </c>
      <c r="EN201" s="59">
        <f t="shared" si="198"/>
        <v>591.13180055445105</v>
      </c>
      <c r="EO201" s="59">
        <f ca="1">AVERAGE(OFFSET($EN$3,0,0,'Données projet'!$E$15+1,1))-AVERAGE(OFFSET($H$3,0,0,'Données projet'!$E$15+1,1))</f>
        <v>205.83135724908942</v>
      </c>
      <c r="EP201" s="59">
        <f t="shared" si="210"/>
        <v>193.60053377311405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2.4992824139156675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2.4992824139156675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204.00000000000017</v>
      </c>
      <c r="FF201" s="17">
        <f>FE201*VLOOKUP('Données projet'!$B$16,Paramètres!$A$1:$I$89,3,0)*VLOOKUP('Données projet'!$B$16,Paramètres!$A$1:$I$89,5,0)</f>
        <v>133.66080000000011</v>
      </c>
      <c r="FG201" s="13">
        <f t="shared" si="182"/>
        <v>34.840890682716783</v>
      </c>
      <c r="FH201" s="20">
        <f t="shared" si="183"/>
        <v>293.4737779390652</v>
      </c>
      <c r="FI201" s="59">
        <f t="shared" si="199"/>
        <v>585.5170997985623</v>
      </c>
      <c r="FJ201" s="59">
        <f ca="1">AVERAGE(OFFSET($FI$3,0,0,'Données projet'!$E$16+1,1))-AVERAGE(OFFSET($H$3,0,0,'Données projet'!$E$16+1,1))</f>
        <v>242.76791261317206</v>
      </c>
      <c r="FK201" s="59">
        <f t="shared" si="211"/>
        <v>244.28580264867682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4.6424285198727082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4.6424285198727082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18.829999999999643</v>
      </c>
      <c r="GA201" s="17">
        <f>FZ201*VLOOKUP('Données projet'!$B$17,Paramètres!$A$1:$I$89,3,0)*VLOOKUP('Données projet'!$B$17,Paramètres!$A$1:$I$89,5,0)</f>
        <v>17.918627999999661</v>
      </c>
      <c r="GB201" s="13">
        <f t="shared" si="185"/>
        <v>5.9016322671185755</v>
      </c>
      <c r="GC201" s="20">
        <f t="shared" si="186"/>
        <v>41.486953298564259</v>
      </c>
      <c r="GD201" s="59">
        <f t="shared" si="200"/>
        <v>333.53027515806139</v>
      </c>
      <c r="GE201" s="59">
        <f ca="1">AVERAGE(OFFSET($GD$3,0,0,'Données projet'!$E$17+1,1))-AVERAGE(OFFSET($H$3,0,0,'Données projet'!$E$17+1,1))</f>
        <v>512.71941256120977</v>
      </c>
      <c r="GF201" s="59">
        <f t="shared" si="212"/>
        <v>230.65031527019354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113.28791978531206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113.28791978531206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69.648178688953763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-5.6843418860808015E-14</v>
      </c>
      <c r="GV201" s="17">
        <f>GU201*VLOOKUP('Données projet'!$B$18,Paramètres!$A$1:$I$89,3,0)*VLOOKUP('Données projet'!$B$18,Paramètres!$A$1:$I$89,5,0)</f>
        <v>-2.5006556825246661E-14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180.68917161146683</v>
      </c>
      <c r="HA201" s="59">
        <f t="shared" si="213"/>
        <v>344.42126252322419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2.2954036996373266</v>
      </c>
      <c r="HH201" s="21">
        <f>EXP(-LN(2)/25)*HH200+(1-EXP(-LN(2)/25))/(LN(2)/25)*Calculateur!HC201*Calculateur!HE201*VLOOKUP('Données projet'!$B$18,Paramètres!$A$1:$I$89,3,0)*0.475*44/12</f>
        <v>0.15712838262150619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2.4525320822588328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2.25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8.25</v>
      </c>
      <c r="H202" s="66">
        <f t="shared" si="192"/>
        <v>223.66666666666666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18.829999999999643</v>
      </c>
      <c r="O202" s="13">
        <f>N202*VLOOKUP('Données projet'!$B$9,Paramètres!$A$1:$I$89,3,0)*VLOOKUP('Données projet'!$B$9,Paramètres!$A$1:$I$89,5,0)</f>
        <v>17.037383999999676</v>
      </c>
      <c r="P202" s="13">
        <f t="shared" si="203"/>
        <v>5.644424624466958</v>
      </c>
      <c r="Q202" s="20">
        <f t="shared" si="162"/>
        <v>39.504150020946049</v>
      </c>
      <c r="R202" s="59">
        <f t="shared" si="191"/>
        <v>331.56985069548068</v>
      </c>
      <c r="S202" s="59">
        <f ca="1">AVERAGE(OFFSET($R$3,0,0,'Données projet'!$E$9+1,1))-AVERAGE(OFFSET($H$3,0,0,'Données projet'!$E$9+1,1))</f>
        <v>490.57849401500789</v>
      </c>
      <c r="T202" s="59">
        <f t="shared" si="204"/>
        <v>221.7570623669753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105.60413018153359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105.60413018153359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18.70999999999917</v>
      </c>
      <c r="AJ202" s="13">
        <f>AI202*VLOOKUP('Données projet'!$B$10,Paramètres!$A$1:$I$89,3,0)*VLOOKUP('Données projet'!$B$10,Paramètres!$A$1:$I$89,5,0)</f>
        <v>12.550667999999442</v>
      </c>
      <c r="AK202" s="13">
        <f t="shared" si="164"/>
        <v>4.3085792539205476</v>
      </c>
      <c r="AL202" s="20">
        <f t="shared" si="165"/>
        <v>29.363188967243982</v>
      </c>
      <c r="AM202" s="59">
        <f t="shared" si="193"/>
        <v>321.4288896417786</v>
      </c>
      <c r="AN202" s="59">
        <f ca="1">AVERAGE(OFFSET($AM$3,0,0,'Données projet'!$E$10+1,1))-AVERAGE(OFFSET($H$3,0,0,'Données projet'!$E$10+1,1))</f>
        <v>377.00534440335832</v>
      </c>
      <c r="AO202" s="59">
        <f t="shared" si="205"/>
        <v>131.56029120000656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181.41006896755948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181.41006896755948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212.00000000000009</v>
      </c>
      <c r="BE202" s="13">
        <f>BD202*VLOOKUP('Données projet'!$B$11,Paramètres!$A$1:$I$89,3,0)*VLOOKUP('Données projet'!$B$11,Paramètres!$A$1:$I$89,5,0)</f>
        <v>185.20320000000009</v>
      </c>
      <c r="BF202" s="13">
        <f t="shared" si="167"/>
        <v>46.477875402099386</v>
      </c>
      <c r="BG202" s="20">
        <f t="shared" si="168"/>
        <v>403.5112063253232</v>
      </c>
      <c r="BH202" s="59">
        <f t="shared" si="194"/>
        <v>695.57690699985778</v>
      </c>
      <c r="BI202" s="59">
        <f ca="1">AVERAGE(OFFSET($BH$3,0,0,'Données projet'!$E$11+1,1))-AVERAGE(OFFSET($H$3,0,0,'Données projet'!$E$11+1,1))</f>
        <v>314.1123649635374</v>
      </c>
      <c r="BJ202" s="59">
        <f t="shared" si="206"/>
        <v>274.92342227914889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6.1647149020392424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6.1647149020392424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212.42519999999985</v>
      </c>
      <c r="CA202" s="13">
        <f t="shared" si="170"/>
        <v>52.465198231787184</v>
      </c>
      <c r="CB202" s="20">
        <f t="shared" si="171"/>
        <v>461.35077692036231</v>
      </c>
      <c r="CC202" s="59">
        <f t="shared" si="195"/>
        <v>753.41647759489695</v>
      </c>
      <c r="CD202" s="59">
        <f ca="1">AVERAGE(OFFSET($CC$3,0,0,'Données projet'!$E$12+1,1))-AVERAGE(OFFSET($H$3,0,0,'Données projet'!$E$12+1,1))</f>
        <v>309.86296291630748</v>
      </c>
      <c r="CE202" s="59">
        <f t="shared" si="207"/>
        <v>301.17633325088661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4.1101285323551879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4.1101285323551879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404.00000000000017</v>
      </c>
      <c r="CU202" s="17">
        <f>CT202*VLOOKUP('Données projet'!$B$13,Paramètres!$A$1:$I$89,3,0)*VLOOKUP('Données projet'!$B$13,Paramètres!$A$1:$I$89,5,0)</f>
        <v>346.63200000000018</v>
      </c>
      <c r="CV202" s="13">
        <f t="shared" si="173"/>
        <v>80.868615263336864</v>
      </c>
      <c r="CW202" s="20">
        <f t="shared" si="174"/>
        <v>744.56357158364528</v>
      </c>
      <c r="CX202" s="59">
        <f t="shared" si="196"/>
        <v>1036.62927225818</v>
      </c>
      <c r="CY202" s="59">
        <f ca="1">AVERAGE(OFFSET($CX$3,0,0,'Données projet'!$E$13+1,1))-AVERAGE(OFFSET($H$3,0,0,'Données projet'!$E$13+1,1))</f>
        <v>462.66388549889928</v>
      </c>
      <c r="CZ202" s="59">
        <f t="shared" si="208"/>
        <v>265.3725203415089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20.90932069001493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20.90932069001493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210.25641030000014</v>
      </c>
      <c r="DP202" s="17">
        <f>DO202*VLOOKUP('Données projet'!$B$14,Paramètres!$A$1:$I$89,3,0)*VLOOKUP('Données projet'!$B$14,Paramètres!$A$1:$I$89,5,0)</f>
        <v>164.00000003400012</v>
      </c>
      <c r="DQ202" s="13">
        <f t="shared" si="176"/>
        <v>41.743425916009095</v>
      </c>
      <c r="DR202" s="20">
        <f t="shared" si="177"/>
        <v>358.3364668629327</v>
      </c>
      <c r="DS202" s="59">
        <f t="shared" si="197"/>
        <v>650.40216753746734</v>
      </c>
      <c r="DT202" s="59">
        <f ca="1">AVERAGE(OFFSET($DS$3,0,0,'Données projet'!$E$14+1,1))-AVERAGE(OFFSET($H$3,0,0,'Données projet'!$E$14+1,1))</f>
        <v>206.5241977687125</v>
      </c>
      <c r="DU202" s="59">
        <f t="shared" si="209"/>
        <v>205.25001043771269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2.4605027467329221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2.4605027467329221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155.99999999999991</v>
      </c>
      <c r="EK202" s="17">
        <f>EJ202*VLOOKUP('Données projet'!$B$15,Paramètres!$A$1:$I$89,3,0)*VLOOKUP('Données projet'!$B$15,Paramètres!$A$1:$I$89,5,0)</f>
        <v>136.28159999999994</v>
      </c>
      <c r="EL202" s="13">
        <f t="shared" si="179"/>
        <v>35.443842312892279</v>
      </c>
      <c r="EM202" s="20">
        <f t="shared" si="180"/>
        <v>299.08847869495395</v>
      </c>
      <c r="EN202" s="59">
        <f t="shared" si="198"/>
        <v>591.15417936948859</v>
      </c>
      <c r="EO202" s="59">
        <f ca="1">AVERAGE(OFFSET($EN$3,0,0,'Données projet'!$E$15+1,1))-AVERAGE(OFFSET($H$3,0,0,'Données projet'!$E$15+1,1))</f>
        <v>205.83135724908942</v>
      </c>
      <c r="EP202" s="59">
        <f t="shared" si="210"/>
        <v>193.60053377311405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2.4502730101905308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2.4502730101905308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204.00000000000017</v>
      </c>
      <c r="FF202" s="17">
        <f>FE202*VLOOKUP('Données projet'!$B$16,Paramètres!$A$1:$I$89,3,0)*VLOOKUP('Données projet'!$B$16,Paramètres!$A$1:$I$89,5,0)</f>
        <v>133.66080000000011</v>
      </c>
      <c r="FG202" s="13">
        <f t="shared" si="182"/>
        <v>34.840890682716783</v>
      </c>
      <c r="FH202" s="20">
        <f t="shared" si="183"/>
        <v>293.4737779390652</v>
      </c>
      <c r="FI202" s="59">
        <f t="shared" si="199"/>
        <v>585.53947861359984</v>
      </c>
      <c r="FJ202" s="59">
        <f ca="1">AVERAGE(OFFSET($FI$3,0,0,'Données projet'!$E$16+1,1))-AVERAGE(OFFSET($H$3,0,0,'Données projet'!$E$16+1,1))</f>
        <v>242.76791261317206</v>
      </c>
      <c r="FK202" s="59">
        <f t="shared" si="211"/>
        <v>244.28580264867682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4.5513933281998042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4.5513933281998042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18.829999999999643</v>
      </c>
      <c r="GA202" s="17">
        <f>FZ202*VLOOKUP('Données projet'!$B$17,Paramètres!$A$1:$I$89,3,0)*VLOOKUP('Données projet'!$B$17,Paramètres!$A$1:$I$89,5,0)</f>
        <v>17.918627999999661</v>
      </c>
      <c r="GB202" s="13">
        <f t="shared" si="185"/>
        <v>5.9016322671185755</v>
      </c>
      <c r="GC202" s="20">
        <f t="shared" si="186"/>
        <v>41.486953298564259</v>
      </c>
      <c r="GD202" s="59">
        <f t="shared" si="200"/>
        <v>333.55265397309893</v>
      </c>
      <c r="GE202" s="59">
        <f ca="1">AVERAGE(OFFSET($GD$3,0,0,'Données projet'!$E$17+1,1))-AVERAGE(OFFSET($H$3,0,0,'Données projet'!$E$17+1,1))</f>
        <v>512.71941256120977</v>
      </c>
      <c r="GF202" s="59">
        <f t="shared" si="212"/>
        <v>230.65031527019354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111.06641277713021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111.06641277713021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69.654282002145806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-5.6843418860808015E-14</v>
      </c>
      <c r="GV202" s="17">
        <f>GU202*VLOOKUP('Données projet'!$B$18,Paramètres!$A$1:$I$89,3,0)*VLOOKUP('Données projet'!$B$18,Paramètres!$A$1:$I$89,5,0)</f>
        <v>-2.5006556825246661E-14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180.68917161146683</v>
      </c>
      <c r="HA202" s="59">
        <f t="shared" si="213"/>
        <v>344.42126252322419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2.2503922331454511</v>
      </c>
      <c r="HH202" s="21">
        <f>EXP(-LN(2)/25)*HH201+(1-EXP(-LN(2)/25))/(LN(2)/25)*Calculateur!HC202*Calculateur!HE202*VLOOKUP('Données projet'!$B$18,Paramètres!$A$1:$I$89,3,0)*0.475*44/12</f>
        <v>0.15283169873569857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2.4032239318811497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2.25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58.75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8.25</v>
      </c>
      <c r="H203" s="66">
        <f t="shared" si="192"/>
        <v>223.66666666666666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18.829999999999643</v>
      </c>
      <c r="O203" s="13">
        <f>N203*VLOOKUP('Données projet'!$B$9,Paramètres!$A$1:$I$89,3,0)*VLOOKUP('Données projet'!$B$9,Paramètres!$A$1:$I$89,5,0)</f>
        <v>17.037383999999676</v>
      </c>
      <c r="P203" s="13">
        <f t="shared" si="203"/>
        <v>5.644424624466958</v>
      </c>
      <c r="Q203" s="20">
        <f t="shared" si="162"/>
        <v>39.504150020946049</v>
      </c>
      <c r="R203" s="59">
        <f t="shared" si="191"/>
        <v>331.5918412881087</v>
      </c>
      <c r="S203" s="59">
        <f ca="1">AVERAGE(OFFSET($R$3,0,0,'Données projet'!$E$9+1,1))-AVERAGE(OFFSET($H$3,0,0,'Données projet'!$E$9+1,1))</f>
        <v>490.57849401500789</v>
      </c>
      <c r="T203" s="59">
        <f t="shared" si="204"/>
        <v>221.7570623669753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103.53329760083295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103.53329760083295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18.70999999999917</v>
      </c>
      <c r="AJ203" s="13">
        <f>AI203*VLOOKUP('Données projet'!$B$10,Paramètres!$A$1:$I$89,3,0)*VLOOKUP('Données projet'!$B$10,Paramètres!$A$1:$I$89,5,0)</f>
        <v>12.550667999999442</v>
      </c>
      <c r="AK203" s="13">
        <f t="shared" si="164"/>
        <v>4.3085792539205476</v>
      </c>
      <c r="AL203" s="20">
        <f t="shared" si="165"/>
        <v>29.363188967243982</v>
      </c>
      <c r="AM203" s="59">
        <f t="shared" si="193"/>
        <v>321.45088023440661</v>
      </c>
      <c r="AN203" s="59">
        <f ca="1">AVERAGE(OFFSET($AM$3,0,0,'Données projet'!$E$10+1,1))-AVERAGE(OFFSET($H$3,0,0,'Données projet'!$E$10+1,1))</f>
        <v>377.00534440335832</v>
      </c>
      <c r="AO203" s="59">
        <f t="shared" si="205"/>
        <v>131.56029120000656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177.852728164322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177.852728164322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212.00000000000009</v>
      </c>
      <c r="BE203" s="13">
        <f>BD203*VLOOKUP('Données projet'!$B$11,Paramètres!$A$1:$I$89,3,0)*VLOOKUP('Données projet'!$B$11,Paramètres!$A$1:$I$89,5,0)</f>
        <v>185.20320000000009</v>
      </c>
      <c r="BF203" s="13">
        <f t="shared" si="167"/>
        <v>46.477875402099386</v>
      </c>
      <c r="BG203" s="20">
        <f t="shared" si="168"/>
        <v>403.5112063253232</v>
      </c>
      <c r="BH203" s="59">
        <f t="shared" si="194"/>
        <v>695.59889759248586</v>
      </c>
      <c r="BI203" s="59">
        <f ca="1">AVERAGE(OFFSET($BH$3,0,0,'Données projet'!$E$11+1,1))-AVERAGE(OFFSET($H$3,0,0,'Données projet'!$E$11+1,1))</f>
        <v>314.1123649635374</v>
      </c>
      <c r="BJ203" s="59">
        <f t="shared" si="206"/>
        <v>274.92342227914889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6.0438286029150632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6.0438286029150632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212.42519999999985</v>
      </c>
      <c r="CA203" s="13">
        <f t="shared" si="170"/>
        <v>52.465198231787184</v>
      </c>
      <c r="CB203" s="20">
        <f t="shared" si="171"/>
        <v>461.35077692036231</v>
      </c>
      <c r="CC203" s="59">
        <f t="shared" si="195"/>
        <v>753.4384681875249</v>
      </c>
      <c r="CD203" s="59">
        <f ca="1">AVERAGE(OFFSET($CC$3,0,0,'Données projet'!$E$12+1,1))-AVERAGE(OFFSET($H$3,0,0,'Données projet'!$E$12+1,1))</f>
        <v>309.86296291630748</v>
      </c>
      <c r="CE203" s="59">
        <f t="shared" si="207"/>
        <v>301.17633325088661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4.0295314187665685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4.0295314187665685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404.00000000000017</v>
      </c>
      <c r="CU203" s="17">
        <f>CT203*VLOOKUP('Données projet'!$B$13,Paramètres!$A$1:$I$89,3,0)*VLOOKUP('Données projet'!$B$13,Paramètres!$A$1:$I$89,5,0)</f>
        <v>346.63200000000018</v>
      </c>
      <c r="CV203" s="13">
        <f t="shared" si="173"/>
        <v>80.868615263336864</v>
      </c>
      <c r="CW203" s="20">
        <f t="shared" si="174"/>
        <v>744.56357158364528</v>
      </c>
      <c r="CX203" s="59">
        <f t="shared" si="196"/>
        <v>1036.6512628508081</v>
      </c>
      <c r="CY203" s="59">
        <f ca="1">AVERAGE(OFFSET($CX$3,0,0,'Données projet'!$E$13+1,1))-AVERAGE(OFFSET($H$3,0,0,'Données projet'!$E$13+1,1))</f>
        <v>462.66388549889928</v>
      </c>
      <c r="CZ203" s="59">
        <f t="shared" si="208"/>
        <v>265.3725203415089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20.49930166471006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20.49930166471006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210.25641030000014</v>
      </c>
      <c r="DP203" s="17">
        <f>DO203*VLOOKUP('Données projet'!$B$14,Paramètres!$A$1:$I$89,3,0)*VLOOKUP('Données projet'!$B$14,Paramètres!$A$1:$I$89,5,0)</f>
        <v>164.00000003400012</v>
      </c>
      <c r="DQ203" s="13">
        <f t="shared" si="176"/>
        <v>41.743425916009095</v>
      </c>
      <c r="DR203" s="20">
        <f t="shared" si="177"/>
        <v>358.3364668629327</v>
      </c>
      <c r="DS203" s="59">
        <f t="shared" si="197"/>
        <v>650.42415813009529</v>
      </c>
      <c r="DT203" s="59">
        <f ca="1">AVERAGE(OFFSET($DS$3,0,0,'Données projet'!$E$14+1,1))-AVERAGE(OFFSET($H$3,0,0,'Données projet'!$E$14+1,1))</f>
        <v>206.5241977687125</v>
      </c>
      <c r="DU203" s="59">
        <f t="shared" si="209"/>
        <v>205.25001043771269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2.4122537886279773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2.4122537886279773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155.99999999999991</v>
      </c>
      <c r="EK203" s="17">
        <f>EJ203*VLOOKUP('Données projet'!$B$15,Paramètres!$A$1:$I$89,3,0)*VLOOKUP('Données projet'!$B$15,Paramètres!$A$1:$I$89,5,0)</f>
        <v>136.28159999999994</v>
      </c>
      <c r="EL203" s="13">
        <f t="shared" si="179"/>
        <v>35.443842312892279</v>
      </c>
      <c r="EM203" s="20">
        <f t="shared" si="180"/>
        <v>299.08847869495395</v>
      </c>
      <c r="EN203" s="59">
        <f t="shared" si="198"/>
        <v>591.17616996211655</v>
      </c>
      <c r="EO203" s="59">
        <f ca="1">AVERAGE(OFFSET($EN$3,0,0,'Données projet'!$E$15+1,1))-AVERAGE(OFFSET($H$3,0,0,'Données projet'!$E$15+1,1))</f>
        <v>205.83135724908942</v>
      </c>
      <c r="EP203" s="59">
        <f t="shared" si="210"/>
        <v>193.60053377311405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2.402224650979659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2.402224650979659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204.00000000000017</v>
      </c>
      <c r="FF203" s="17">
        <f>FE203*VLOOKUP('Données projet'!$B$16,Paramètres!$A$1:$I$89,3,0)*VLOOKUP('Données projet'!$B$16,Paramètres!$A$1:$I$89,5,0)</f>
        <v>133.66080000000011</v>
      </c>
      <c r="FG203" s="13">
        <f t="shared" si="182"/>
        <v>34.840890682716783</v>
      </c>
      <c r="FH203" s="20">
        <f t="shared" si="183"/>
        <v>293.4737779390652</v>
      </c>
      <c r="FI203" s="59">
        <f t="shared" si="199"/>
        <v>585.56146920622791</v>
      </c>
      <c r="FJ203" s="59">
        <f ca="1">AVERAGE(OFFSET($FI$3,0,0,'Données projet'!$E$16+1,1))-AVERAGE(OFFSET($H$3,0,0,'Données projet'!$E$16+1,1))</f>
        <v>242.76791261317206</v>
      </c>
      <c r="FK203" s="59">
        <f t="shared" si="211"/>
        <v>244.28580264867682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4.462143281109622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4.462143281109622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18.829999999999643</v>
      </c>
      <c r="GA203" s="17">
        <f>FZ203*VLOOKUP('Données projet'!$B$17,Paramètres!$A$1:$I$89,3,0)*VLOOKUP('Données projet'!$B$17,Paramètres!$A$1:$I$89,5,0)</f>
        <v>17.918627999999661</v>
      </c>
      <c r="GB203" s="13">
        <f t="shared" si="185"/>
        <v>5.9016322671185755</v>
      </c>
      <c r="GC203" s="20">
        <f t="shared" si="186"/>
        <v>41.486953298564259</v>
      </c>
      <c r="GD203" s="59">
        <f t="shared" si="200"/>
        <v>333.57464456572689</v>
      </c>
      <c r="GE203" s="59">
        <f ca="1">AVERAGE(OFFSET($GD$3,0,0,'Données projet'!$E$17+1,1))-AVERAGE(OFFSET($H$3,0,0,'Données projet'!$E$17+1,1))</f>
        <v>512.71941256120977</v>
      </c>
      <c r="GF203" s="59">
        <f t="shared" si="212"/>
        <v>230.65031527019354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108.88846816639334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108.88846816639334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69.660279436498911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-5.6843418860808015E-14</v>
      </c>
      <c r="GV203" s="17">
        <f>GU203*VLOOKUP('Données projet'!$B$18,Paramètres!$A$1:$I$89,3,0)*VLOOKUP('Données projet'!$B$18,Paramètres!$A$1:$I$89,5,0)</f>
        <v>-2.5006556825246661E-14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180.68917161146683</v>
      </c>
      <c r="HA203" s="59">
        <f t="shared" si="213"/>
        <v>344.42126252322419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2.2062634140571977</v>
      </c>
      <c r="HH203" s="21">
        <f>EXP(-LN(2)/25)*HH202+(1-EXP(-LN(2)/25))/(LN(2)/25)*Calculateur!HC203*Calculateur!HE203*VLOOKUP('Données projet'!$B$18,Paramètres!$A$1:$I$89,3,0)*0.475*44/12</f>
        <v>0.14865250789670117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2.3549159219538991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1.1608269964394529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1.1440997575314964</v>
      </c>
      <c r="BA205" s="81">
        <f>EXP(LN('Données projet'!B88)/'Données projet'!A88)</f>
        <v>1.335141362540313</v>
      </c>
      <c r="BV205" s="81">
        <f>EXP(LN('Données projet'!B114)/'Données projet'!A114)</f>
        <v>1.2721747796233518</v>
      </c>
      <c r="CQ205" s="81">
        <f>EXP(LN('Données projet'!B140)/'Données projet'!A140)</f>
        <v>1.189207115002721</v>
      </c>
      <c r="DL205" s="81">
        <f>EXP(LN('Données projet'!B166)/'Données projet'!A166)</f>
        <v>1.2414494093530228</v>
      </c>
      <c r="EG205" s="81">
        <f>EXP(LN('Données projet'!B192)/'Données projet'!A192)</f>
        <v>1.1554831727638066</v>
      </c>
      <c r="FB205" s="81">
        <f>EXP(LN('Données projet'!B218)/'Données projet'!A218)</f>
        <v>1.2457309396155174</v>
      </c>
      <c r="FW205" s="81">
        <f>EXP(LN('Données projet'!B244)/'Données projet'!A244)</f>
        <v>1.1608269964394529</v>
      </c>
      <c r="GR205" s="81">
        <f>EXP(LN('Données projet'!B270)/'Données projet'!A270)</f>
        <v>1.660847009958063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0.99367800000000006</v>
      </c>
      <c r="C6" s="145">
        <f ca="1">IF(OR('Données projet'!B9="",'Données projet'!C9="",'Données projet'!C9=0%),0,Calculateur!S3)</f>
        <v>490.57849401500789</v>
      </c>
      <c r="D6" s="145">
        <f>IF(OR('Données projet'!B9="",'Données projet'!C9="",'Données projet'!C9=0%),0,Calculateur!T3)</f>
        <v>221.7570623669753</v>
      </c>
      <c r="E6" s="145">
        <f ca="1">MIN(C6,D6)</f>
        <v>221.7570623669753</v>
      </c>
      <c r="F6" s="145">
        <f ca="1">E6*B6</f>
        <v>220.35511421869131</v>
      </c>
      <c r="G6" s="145">
        <f ca="1">F6*(100%-'Données projet'!$C$24)*(100%-'Données projet'!$C$25)*(100%-'Données projet'!$C$26)*(100%-'Données projet'!$C$27)</f>
        <v>198.31960279682218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198.31960279682218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Tilleul</v>
      </c>
      <c r="B7" s="152">
        <f>'Données projet'!D10</f>
        <v>0.76705200000000007</v>
      </c>
      <c r="C7" s="145">
        <f ca="1">IF(OR('Données projet'!B10="",'Données projet'!C10="",'Données projet'!C10=0%),0,Calculateur!AN3)</f>
        <v>377.00534440335832</v>
      </c>
      <c r="D7" s="145">
        <f>IF(OR('Données projet'!B10="",'Données projet'!C10="",'Données projet'!C10=0%),0,Calculateur!AO3)</f>
        <v>131.56029120000656</v>
      </c>
      <c r="E7" s="145">
        <f t="shared" ref="E7:E15" ca="1" si="0">MIN(C7,D7)</f>
        <v>131.56029120000656</v>
      </c>
      <c r="F7" s="145">
        <f t="shared" ref="F7:F15" ca="1" si="1">E7*B7</f>
        <v>100.91358448554745</v>
      </c>
      <c r="G7" s="145">
        <f ca="1">F7*(100%-'Données projet'!$C$24)*(100%-'Données projet'!$C$25)*(100%-'Données projet'!$C$26)*(100%-'Données projet'!$C$27)</f>
        <v>90.822226036992703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90.822226036992703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rouge d'Amérique</v>
      </c>
      <c r="B8" s="152">
        <f>'Données projet'!D11</f>
        <v>0.66245399999999999</v>
      </c>
      <c r="C8" s="145">
        <f ca="1">IF(OR('Données projet'!B11="",'Données projet'!C11="",'Données projet'!C11=0%),0,Calculateur!BI3)</f>
        <v>314.1123649635374</v>
      </c>
      <c r="D8" s="145">
        <f>IF(OR('Données projet'!B11="",'Données projet'!C11="",'Données projet'!C11=0%),0,Calculateur!BJ3)</f>
        <v>274.92342227914889</v>
      </c>
      <c r="E8" s="145">
        <f t="shared" ca="1" si="0"/>
        <v>274.92342227914889</v>
      </c>
      <c r="F8" s="145">
        <f t="shared" ca="1" si="1"/>
        <v>182.12412078251131</v>
      </c>
      <c r="G8" s="145">
        <f ca="1">F8*(100%-'Données projet'!$C$24)*(100%-'Données projet'!$C$25)*(100%-'Données projet'!$C$26)*(100%-'Données projet'!$C$27)</f>
        <v>163.91170870426018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11.261718</v>
      </c>
      <c r="K8" s="149">
        <f>J8*(100%-'Données projet'!$C$24)*(100%-'Données projet'!$C$25)*(100%-'Données projet'!$C$26)*(100%-'Données projet'!$C$27)</f>
        <v>10.1355462</v>
      </c>
      <c r="L8" s="150">
        <f t="shared" ca="1" si="2"/>
        <v>174.04725490426017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plane</v>
      </c>
      <c r="B9" s="152">
        <f>'Données projet'!D12</f>
        <v>0.99367800000000006</v>
      </c>
      <c r="C9" s="145">
        <f ca="1">IF(OR('Données projet'!B12="",'Données projet'!C12="",'Données projet'!C12=0%),0,Calculateur!CD3)</f>
        <v>309.86296291630748</v>
      </c>
      <c r="D9" s="145">
        <f>IF(OR('Données projet'!B12="",'Données projet'!C12="",'Données projet'!C12=0%),0,Calculateur!CE3)</f>
        <v>301.17633325088661</v>
      </c>
      <c r="E9" s="145">
        <f t="shared" ca="1" si="0"/>
        <v>301.17633325088661</v>
      </c>
      <c r="F9" s="145">
        <f t="shared" ca="1" si="1"/>
        <v>299.27229647207452</v>
      </c>
      <c r="G9" s="145">
        <f ca="1">F9*(100%-'Données projet'!$C$24)*(100%-'Données projet'!$C$25)*(100%-'Données projet'!$C$26)*(100%-'Données projet'!$C$27)</f>
        <v>269.34506682486705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24.5935305</v>
      </c>
      <c r="K9" s="149">
        <f>J9*(100%-'Données projet'!$C$24)*(100%-'Données projet'!$C$25)*(100%-'Données projet'!$C$26)*(100%-'Données projet'!$C$27)</f>
        <v>22.134177449999999</v>
      </c>
      <c r="L9" s="150">
        <f t="shared" ca="1" si="2"/>
        <v>291.47924427486703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Hêtre</v>
      </c>
      <c r="B10" s="152">
        <f>'Données projet'!D13</f>
        <v>0.33122400000000002</v>
      </c>
      <c r="C10" s="145">
        <f ca="1">IF(OR('Données projet'!B13="",'Données projet'!C13="",'Données projet'!C13=0%),0,Calculateur!CY3)</f>
        <v>462.66388549889928</v>
      </c>
      <c r="D10" s="145">
        <f>IF(OR('Données projet'!B13="",'Données projet'!C13="",'Données projet'!C13=0%),0,Calculateur!CZ3)</f>
        <v>265.3725203415089</v>
      </c>
      <c r="E10" s="145">
        <f t="shared" ca="1" si="0"/>
        <v>265.3725203415089</v>
      </c>
      <c r="F10" s="145">
        <f t="shared" ca="1" si="1"/>
        <v>87.897747677595945</v>
      </c>
      <c r="G10" s="145">
        <f ca="1">F10*(100%-'Données projet'!$C$24)*(100%-'Données projet'!$C$25)*(100%-'Données projet'!$C$26)*(100%-'Données projet'!$C$27)</f>
        <v>79.107972909836349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2.8982100000000002</v>
      </c>
      <c r="K10" s="149">
        <f>J10*(100%-'Données projet'!$C$24)*(100%-'Données projet'!$C$25)*(100%-'Données projet'!$C$26)*(100%-'Données projet'!$C$27)</f>
        <v>2.6083890000000003</v>
      </c>
      <c r="L10" s="150">
        <f t="shared" ca="1" si="2"/>
        <v>81.716361909836351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Merisier</v>
      </c>
      <c r="B11" s="152">
        <f>'Données projet'!D14</f>
        <v>0.33122400000000002</v>
      </c>
      <c r="C11" s="145">
        <f ca="1">IF(OR('Données projet'!B14="",'Données projet'!C14="",'Données projet'!C14=0%),0,Calculateur!DT3)</f>
        <v>206.5241977687125</v>
      </c>
      <c r="D11" s="145">
        <f>IF(OR('Données projet'!B14="",'Données projet'!C14="",'Données projet'!C14=0%),0,Calculateur!DU3)</f>
        <v>205.25001043771269</v>
      </c>
      <c r="E11" s="145">
        <f t="shared" ca="1" si="0"/>
        <v>205.25001043771269</v>
      </c>
      <c r="F11" s="145">
        <f t="shared" ca="1" si="1"/>
        <v>67.983729457220946</v>
      </c>
      <c r="G11" s="145">
        <f ca="1">F11*(100%-'Données projet'!$C$24)*(100%-'Données projet'!$C$25)*(100%-'Données projet'!$C$26)*(100%-'Données projet'!$C$27)</f>
        <v>61.185356511498853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2.9194423082379779</v>
      </c>
      <c r="K11" s="149">
        <f>J11*(100%-'Données projet'!$C$24)*(100%-'Données projet'!$C$25)*(100%-'Données projet'!$C$26)*(100%-'Données projet'!$C$27)</f>
        <v>2.6274980774141801</v>
      </c>
      <c r="L11" s="150">
        <f t="shared" ca="1" si="2"/>
        <v>63.812854588913034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Erable champêtre</v>
      </c>
      <c r="B12" s="152">
        <f>'Données projet'!D15</f>
        <v>0.19176000000000001</v>
      </c>
      <c r="C12" s="145">
        <f ca="1">IF(OR('Données projet'!B15="",'Données projet'!C15="",'Données projet'!C15=0%),0,Calculateur!EO3)</f>
        <v>205.83135724908942</v>
      </c>
      <c r="D12" s="145">
        <f>IF(OR('Données projet'!B15="",'Données projet'!C15="",'Données projet'!C15=0%),0,Calculateur!EP3)</f>
        <v>193.60053377311405</v>
      </c>
      <c r="E12" s="145">
        <f t="shared" ca="1" si="0"/>
        <v>193.60053377311405</v>
      </c>
      <c r="F12" s="145">
        <f t="shared" ca="1" si="1"/>
        <v>37.124838356332354</v>
      </c>
      <c r="G12" s="145">
        <f ca="1">F12*(100%-'Données projet'!$C$24)*(100%-'Données projet'!$C$25)*(100%-'Données projet'!$C$26)*(100%-'Données projet'!$C$27)</f>
        <v>33.412354520699118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1.48614</v>
      </c>
      <c r="K12" s="149">
        <f>J12*(100%-'Données projet'!$C$24)*(100%-'Données projet'!$C$25)*(100%-'Données projet'!$C$26)*(100%-'Données projet'!$C$27)</f>
        <v>1.337526</v>
      </c>
      <c r="L12" s="150">
        <f t="shared" ca="1" si="2"/>
        <v>34.749880520699115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Aulne à feuilles en cœur</v>
      </c>
      <c r="B13" s="152">
        <f>'Données projet'!D16</f>
        <v>0.139464</v>
      </c>
      <c r="C13" s="145">
        <f ca="1">IF(OR('Données projet'!B16="",'Données projet'!C16="",'Données projet'!C16=0%),0,Calculateur!FJ3)</f>
        <v>242.76791261317206</v>
      </c>
      <c r="D13" s="145">
        <f>IF(OR('Données projet'!B16="",'Données projet'!C16="",'Données projet'!C16=0%),0,Calculateur!FK3)</f>
        <v>244.28580264867682</v>
      </c>
      <c r="E13" s="145">
        <f t="shared" ca="1" si="0"/>
        <v>242.76791261317206</v>
      </c>
      <c r="F13" s="145">
        <f t="shared" ca="1" si="1"/>
        <v>33.857384164683431</v>
      </c>
      <c r="G13" s="145">
        <f ca="1">F13*(100%-'Données projet'!$C$24)*(100%-'Données projet'!$C$25)*(100%-'Données projet'!$C$26)*(100%-'Données projet'!$C$27)</f>
        <v>30.471645748215089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1.7781660000000001</v>
      </c>
      <c r="K13" s="149">
        <f>J13*(100%-'Données projet'!$C$24)*(100%-'Données projet'!$C$25)*(100%-'Données projet'!$C$26)*(100%-'Données projet'!$C$27)</f>
        <v>1.6003494000000003</v>
      </c>
      <c r="L13" s="150">
        <f t="shared" ca="1" si="2"/>
        <v>32.071995148215088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Charme</v>
      </c>
      <c r="B14" s="152">
        <f>'Données projet'!D17</f>
        <v>0.139464</v>
      </c>
      <c r="C14" s="145">
        <f ca="1">IF(OR('Données projet'!B17="",'Données projet'!C17="",'Données projet'!C17=0%),0,Calculateur!GE3)</f>
        <v>512.71941256120977</v>
      </c>
      <c r="D14" s="145">
        <f>IF(OR('Données projet'!B17="",'Données projet'!C17="",'Données projet'!C17=0%),0,Calculateur!GF3)</f>
        <v>230.65031527019354</v>
      </c>
      <c r="E14" s="145">
        <f t="shared" ca="1" si="0"/>
        <v>230.65031527019354</v>
      </c>
      <c r="F14" s="145">
        <f t="shared" ca="1" si="1"/>
        <v>32.167415568842273</v>
      </c>
      <c r="G14" s="145">
        <f ca="1">F14*(100%-'Données projet'!$C$24)*(100%-'Données projet'!$C$25)*(100%-'Données projet'!$C$26)*(100%-'Données projet'!$C$27)</f>
        <v>28.950674011958046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ca="1" si="2"/>
        <v>28.950674011958046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>Peuplier I-214</v>
      </c>
      <c r="B15" s="155">
        <f>'Données projet'!D18</f>
        <v>1.450002</v>
      </c>
      <c r="C15" s="156">
        <f ca="1">IF(OR('Données projet'!B18="",'Données projet'!C18="",'Données projet'!C18=0%),0,Calculateur!GZ3)</f>
        <v>180.68917161146683</v>
      </c>
      <c r="D15" s="156">
        <f>IF(OR('Données projet'!B18="",'Données projet'!C18="",'Données projet'!C18=0%),0,Calculateur!HA3)</f>
        <v>344.42126252322419</v>
      </c>
      <c r="E15" s="156">
        <f t="shared" ca="1" si="0"/>
        <v>180.68917161146683</v>
      </c>
      <c r="F15" s="157">
        <f t="shared" ca="1" si="1"/>
        <v>261.99966021497011</v>
      </c>
      <c r="G15" s="157">
        <f ca="1">F15*(100%-'Données projet'!$C$24)*(100%-'Données projet'!$C$25)*(100%-'Données projet'!$C$26)*(100%-'Données projet'!$C$27)</f>
        <v>235.7996941934731</v>
      </c>
      <c r="H15" s="158">
        <f>IF(OR('Données projet'!B18="",'Données projet'!C18="",'Données projet'!C18=0%),0,AVERAGE(Calculateur!$HJ$3:$HJ$33)*B15)</f>
        <v>28.13871218959725</v>
      </c>
      <c r="I15" s="159">
        <f>H15*(100%-'Données projet'!$C$24)*(100%-'Données projet'!$C$25)*(100%-'Données projet'!$C$26)*(100%-'Données projet'!$C$27)</f>
        <v>25.324840970637524</v>
      </c>
      <c r="J15" s="160">
        <f>IF(OR('Données projet'!B18="",'Données projet'!C18="",'Données projet'!C18=0%),0,SUM(Calculateur!$HC$3:$HC$33)*VLOOKUP('Données projet'!$B$18,Paramètres!$A$1:$I$89,9,0)*B15)</f>
        <v>478.68655767316017</v>
      </c>
      <c r="K15" s="161">
        <f>J15*(100%-'Données projet'!$C$24)*(100%-'Données projet'!$C$25)*(100%-'Données projet'!$C$26)*(100%-'Données projet'!$C$27)</f>
        <v>430.81790190584417</v>
      </c>
      <c r="L15" s="162">
        <f t="shared" ca="1" si="2"/>
        <v>691.94243706995485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1323.6958913984697</v>
      </c>
      <c r="G16" s="164">
        <f t="shared" ca="1" si="3"/>
        <v>1191.3263022586225</v>
      </c>
      <c r="H16" s="165">
        <f t="shared" si="3"/>
        <v>28.13871218959725</v>
      </c>
      <c r="I16" s="165">
        <f t="shared" si="3"/>
        <v>25.324840970637524</v>
      </c>
      <c r="J16" s="166">
        <f t="shared" si="3"/>
        <v>523.6237644813981</v>
      </c>
      <c r="K16" s="166">
        <f t="shared" si="3"/>
        <v>471.26138803325836</v>
      </c>
      <c r="L16" s="167">
        <f t="shared" ca="1" si="3"/>
        <v>1687.9125312625188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Tilleul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Hêtre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Erable champêtre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Aulne à feuilles en cœur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Charme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>Peuplier I-214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70" zoomScaleNormal="70" workbookViewId="0">
      <selection activeCell="C55" sqref="C5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2953.3756517502816</v>
      </c>
      <c r="U10" s="176">
        <f>'Données projet'!D9</f>
        <v>0.99367800000000006</v>
      </c>
      <c r="V10" s="175">
        <f>U10*T10</f>
        <v>2934.7044108799164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Tilleul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-3065.2933507696644</v>
      </c>
      <c r="U11" s="176">
        <f>'Données projet'!D10</f>
        <v>0.76705200000000007</v>
      </c>
      <c r="V11" s="175">
        <f t="shared" ref="V11" si="0">U11*T11</f>
        <v>-2351.2393952945727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rouge d'Amérique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-1293.5357518954129</v>
      </c>
      <c r="U12" s="176">
        <f>'Données projet'!D11</f>
        <v>0.66245399999999999</v>
      </c>
      <c r="V12" s="175">
        <f t="shared" ref="V12:V19" si="1">U12*T12</f>
        <v>-856.9079329861238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plane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-1547.6240370585749</v>
      </c>
      <c r="U13" s="176">
        <f>'Données projet'!D12</f>
        <v>0.99367800000000006</v>
      </c>
      <c r="V13" s="175">
        <f t="shared" si="1"/>
        <v>-1537.8399578962908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Hêtre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-655.38154433479997</v>
      </c>
      <c r="U14" s="176">
        <f>'Données projet'!D13</f>
        <v>0.33122400000000002</v>
      </c>
      <c r="V14" s="175">
        <f t="shared" si="1"/>
        <v>-217.07809664074981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Merisier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-2145.3526758069697</v>
      </c>
      <c r="U15" s="176">
        <f>'Données projet'!D14</f>
        <v>0.33122400000000002</v>
      </c>
      <c r="V15" s="175">
        <f t="shared" si="1"/>
        <v>-710.59229469148784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Erable champêtre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-2037.8091599236755</v>
      </c>
      <c r="U16" s="176">
        <f>'Données projet'!D15</f>
        <v>0.19176000000000001</v>
      </c>
      <c r="V16" s="175">
        <f t="shared" si="1"/>
        <v>-390.77028450696406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3216.49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Aulne à feuilles en cœur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-840.7637939428796</v>
      </c>
      <c r="U17" s="176">
        <f>'Données projet'!D16</f>
        <v>0.139464</v>
      </c>
      <c r="V17" s="175">
        <f t="shared" si="1"/>
        <v>-117.25628175844976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>Charme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-1094.6788900158915</v>
      </c>
      <c r="U18" s="176">
        <f>'Données projet'!D17</f>
        <v>0.139464</v>
      </c>
      <c r="V18" s="175">
        <f t="shared" si="1"/>
        <v>-152.6682967171763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>Peuplier I-214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3992.2084178983123</v>
      </c>
      <c r="U19" s="176">
        <f>'Données projet'!D18</f>
        <v>1.450002</v>
      </c>
      <c r="V19" s="175">
        <f t="shared" si="1"/>
        <v>5788.7101903693883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4949.6499999999996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-27308.837939242509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44</v>
      </c>
      <c r="B24" s="179">
        <f>'Données projet'!D37</f>
        <v>74.010000000000005</v>
      </c>
      <c r="C24" s="191">
        <v>235</v>
      </c>
      <c r="D24" s="180">
        <f t="shared" ref="D24:D42" si="2">B24*C24</f>
        <v>17392.350000000002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13945.930529431273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51</v>
      </c>
      <c r="B25" s="179">
        <f>'Données projet'!D38</f>
        <v>46.13</v>
      </c>
      <c r="C25" s="191">
        <v>235</v>
      </c>
      <c r="D25" s="180">
        <f t="shared" si="2"/>
        <v>10840.550000000001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150</v>
      </c>
      <c r="Q25" s="232"/>
      <c r="R25" s="23"/>
      <c r="S25" s="184" t="s">
        <v>266</v>
      </c>
      <c r="T25" s="308">
        <f ca="1">T23-T24</f>
        <v>-41254.768468673778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59</v>
      </c>
      <c r="B26" s="179">
        <f>'Données projet'!D39</f>
        <v>48.96</v>
      </c>
      <c r="C26" s="191">
        <v>235</v>
      </c>
      <c r="D26" s="180">
        <f t="shared" si="2"/>
        <v>11505.6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67</v>
      </c>
      <c r="B27" s="179">
        <f>'Données projet'!D40</f>
        <v>40.630000000000003</v>
      </c>
      <c r="C27" s="191">
        <v>235</v>
      </c>
      <c r="D27" s="180">
        <f t="shared" si="2"/>
        <v>9548.0500000000011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75</v>
      </c>
      <c r="B28" s="179">
        <f>'Données projet'!D41</f>
        <v>39.54</v>
      </c>
      <c r="C28" s="191">
        <v>235</v>
      </c>
      <c r="D28" s="180">
        <f t="shared" si="2"/>
        <v>9291.9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84</v>
      </c>
      <c r="B29" s="179">
        <f>'Données projet'!D42</f>
        <v>44.89</v>
      </c>
      <c r="C29" s="191">
        <v>235</v>
      </c>
      <c r="D29" s="180">
        <f t="shared" si="2"/>
        <v>10549.15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93</v>
      </c>
      <c r="B30" s="179">
        <f>'Données projet'!D43</f>
        <v>38.57</v>
      </c>
      <c r="C30" s="191">
        <v>235</v>
      </c>
      <c r="D30" s="180">
        <f t="shared" si="2"/>
        <v>9063.9500000000007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2324.3217549052119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103</v>
      </c>
      <c r="B31" s="179">
        <f>'Données projet'!D44</f>
        <v>50.51</v>
      </c>
      <c r="C31" s="191">
        <v>235</v>
      </c>
      <c r="D31" s="180">
        <f t="shared" si="2"/>
        <v>11869.85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113</v>
      </c>
      <c r="B32" s="179">
        <f>'Données projet'!D45</f>
        <v>40.479999999999997</v>
      </c>
      <c r="C32" s="191">
        <v>235</v>
      </c>
      <c r="D32" s="180">
        <f t="shared" si="2"/>
        <v>9512.7999999999993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125</v>
      </c>
      <c r="B33" s="179">
        <f>'Données projet'!D46</f>
        <v>61.5</v>
      </c>
      <c r="C33" s="191">
        <v>235</v>
      </c>
      <c r="D33" s="180">
        <f t="shared" si="2"/>
        <v>14452.5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150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137</v>
      </c>
      <c r="B34" s="179">
        <f>'Données projet'!D47</f>
        <v>65.53</v>
      </c>
      <c r="C34" s="191">
        <v>235</v>
      </c>
      <c r="D34" s="180">
        <f t="shared" si="2"/>
        <v>15399.550000000001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143.54066985645935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149</v>
      </c>
      <c r="B35" s="179">
        <f>'Données projet'!D48</f>
        <v>153.56</v>
      </c>
      <c r="C35" s="191">
        <v>235</v>
      </c>
      <c r="D35" s="180">
        <f t="shared" si="2"/>
        <v>36086.6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137.35949268560705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153</v>
      </c>
      <c r="B36" s="179">
        <f>'Données projet'!D49</f>
        <v>89.29</v>
      </c>
      <c r="C36" s="191">
        <v>235</v>
      </c>
      <c r="D36" s="180">
        <f t="shared" si="2"/>
        <v>20983.15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131.44449060823641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157</v>
      </c>
      <c r="B37" s="179">
        <f>'Données projet'!D50</f>
        <v>57.95</v>
      </c>
      <c r="C37" s="191">
        <v>235</v>
      </c>
      <c r="D37" s="180">
        <f t="shared" si="2"/>
        <v>13618.25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125.78420153898223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161</v>
      </c>
      <c r="B38" s="179">
        <f>'Données projet'!D51</f>
        <v>115.43</v>
      </c>
      <c r="C38" s="191">
        <v>235</v>
      </c>
      <c r="D38" s="180">
        <f t="shared" si="2"/>
        <v>27126.050000000003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120.36765697510262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115.18436074172502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110.22426865236844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105.47776904532867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100.93566415820926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96.589152304506499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92.429810817709566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Tilleul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88.449579729865633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84.640746152981464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80.995929332996624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3373.83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77.508066347365187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74.170398418531306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70.976457816776374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67.920055327058748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64.995268255558614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62.196428952687683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59.518113830323131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60</v>
      </c>
      <c r="B55" s="179">
        <f>'Données projet'!D63</f>
        <v>69.84</v>
      </c>
      <c r="C55" s="189">
        <v>55</v>
      </c>
      <c r="D55" s="177">
        <f t="shared" ref="D55:D73" si="4">B55*C55</f>
        <v>3841.2000000000003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56.955132851983883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69</v>
      </c>
      <c r="B56" s="179">
        <f>'Données projet'!D64</f>
        <v>39.35</v>
      </c>
      <c r="C56" s="189">
        <v>55</v>
      </c>
      <c r="D56" s="177">
        <f t="shared" si="4"/>
        <v>2164.25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54.502519475582659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77</v>
      </c>
      <c r="B57" s="179">
        <f>'Données projet'!D65</f>
        <v>31.56</v>
      </c>
      <c r="C57" s="189">
        <v>55</v>
      </c>
      <c r="D57" s="177">
        <f t="shared" si="4"/>
        <v>1735.8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52.155521029265714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86</v>
      </c>
      <c r="B58" s="179">
        <f>'Données projet'!D66</f>
        <v>34.46</v>
      </c>
      <c r="C58" s="189">
        <v>55</v>
      </c>
      <c r="D58" s="177">
        <f t="shared" si="4"/>
        <v>1895.3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str">
        <f>IF(O57+1&lt;=MIN('Données projet'!$E$9:$E$18),O57+1,"STOP")</f>
        <v>STOP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95</v>
      </c>
      <c r="B59" s="179">
        <f>'Données projet'!D67</f>
        <v>38.770000000000003</v>
      </c>
      <c r="C59" s="189">
        <v>55</v>
      </c>
      <c r="D59" s="177">
        <f t="shared" si="4"/>
        <v>2132.3500000000004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104</v>
      </c>
      <c r="B60" s="179">
        <f>'Données projet'!D68</f>
        <v>35.979999999999997</v>
      </c>
      <c r="C60" s="189">
        <v>55</v>
      </c>
      <c r="D60" s="177">
        <f t="shared" si="4"/>
        <v>1978.8999999999999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113</v>
      </c>
      <c r="B61" s="179">
        <f>'Données projet'!D69</f>
        <v>37.82</v>
      </c>
      <c r="C61" s="189">
        <v>55</v>
      </c>
      <c r="D61" s="177">
        <f t="shared" si="4"/>
        <v>2080.1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122</v>
      </c>
      <c r="B62" s="179">
        <f>'Données projet'!D70</f>
        <v>41.63</v>
      </c>
      <c r="C62" s="189">
        <v>55</v>
      </c>
      <c r="D62" s="177">
        <f t="shared" si="4"/>
        <v>2289.65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132</v>
      </c>
      <c r="B63" s="179">
        <f>'Données projet'!D71</f>
        <v>44.19</v>
      </c>
      <c r="C63" s="189">
        <v>55</v>
      </c>
      <c r="D63" s="177">
        <f t="shared" si="4"/>
        <v>2430.4499999999998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144</v>
      </c>
      <c r="B64" s="179">
        <f>'Données projet'!D72</f>
        <v>55.05</v>
      </c>
      <c r="C64" s="189">
        <v>55</v>
      </c>
      <c r="D64" s="177">
        <f t="shared" si="4"/>
        <v>3027.75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156</v>
      </c>
      <c r="B65" s="179">
        <f>'Données projet'!D73</f>
        <v>59.1</v>
      </c>
      <c r="C65" s="189">
        <v>55</v>
      </c>
      <c r="D65" s="177">
        <f t="shared" si="4"/>
        <v>3250.5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168</v>
      </c>
      <c r="B66" s="179">
        <f>'Données projet'!D74</f>
        <v>63.91</v>
      </c>
      <c r="C66" s="189">
        <v>55</v>
      </c>
      <c r="D66" s="177">
        <f t="shared" si="4"/>
        <v>3515.0499999999997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180</v>
      </c>
      <c r="B67" s="179">
        <f>'Données projet'!D75</f>
        <v>154.91999999999999</v>
      </c>
      <c r="C67" s="189">
        <v>55</v>
      </c>
      <c r="D67" s="177">
        <f t="shared" si="4"/>
        <v>8520.5999999999985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184</v>
      </c>
      <c r="B68" s="179">
        <f>'Données projet'!D76</f>
        <v>88.94</v>
      </c>
      <c r="C68" s="189">
        <v>55</v>
      </c>
      <c r="D68" s="177">
        <f t="shared" si="4"/>
        <v>4891.7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188</v>
      </c>
      <c r="B69" s="179">
        <f>'Données projet'!D77</f>
        <v>63.4</v>
      </c>
      <c r="C69" s="189">
        <v>55</v>
      </c>
      <c r="D69" s="177">
        <f t="shared" si="4"/>
        <v>3487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191</v>
      </c>
      <c r="B70" s="179">
        <f>'Données projet'!D78</f>
        <v>126.3</v>
      </c>
      <c r="C70" s="189">
        <v>55</v>
      </c>
      <c r="D70" s="177">
        <f t="shared" si="4"/>
        <v>6946.5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rouge d'Amérique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2756.55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29</v>
      </c>
      <c r="C87" s="189">
        <v>20</v>
      </c>
      <c r="D87" s="177">
        <f t="shared" si="6"/>
        <v>580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19</v>
      </c>
      <c r="C88" s="189">
        <v>20</v>
      </c>
      <c r="D88" s="177">
        <f t="shared" si="6"/>
        <v>380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20</v>
      </c>
      <c r="C89" s="189">
        <v>20</v>
      </c>
      <c r="D89" s="177">
        <f t="shared" si="6"/>
        <v>400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20</v>
      </c>
      <c r="C90" s="189">
        <v>55</v>
      </c>
      <c r="D90" s="177">
        <f t="shared" si="6"/>
        <v>1100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20</v>
      </c>
      <c r="C91" s="189">
        <v>55</v>
      </c>
      <c r="D91" s="177">
        <f t="shared" si="6"/>
        <v>1100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19</v>
      </c>
      <c r="C92" s="189">
        <v>55</v>
      </c>
      <c r="D92" s="177">
        <f t="shared" si="6"/>
        <v>1045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18</v>
      </c>
      <c r="C93" s="189">
        <v>55</v>
      </c>
      <c r="D93" s="177">
        <f t="shared" si="6"/>
        <v>990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17</v>
      </c>
      <c r="C94" s="189">
        <v>55</v>
      </c>
      <c r="D94" s="177">
        <f t="shared" si="6"/>
        <v>935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16</v>
      </c>
      <c r="C95" s="189">
        <v>55</v>
      </c>
      <c r="D95" s="177">
        <f t="shared" si="6"/>
        <v>880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15</v>
      </c>
      <c r="C96" s="189">
        <v>55</v>
      </c>
      <c r="D96" s="177">
        <f t="shared" si="6"/>
        <v>825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14</v>
      </c>
      <c r="C97" s="189">
        <v>55</v>
      </c>
      <c r="D97" s="177">
        <f t="shared" si="6"/>
        <v>770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12</v>
      </c>
      <c r="C98" s="189">
        <v>55</v>
      </c>
      <c r="D98" s="177">
        <f t="shared" si="6"/>
        <v>660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11</v>
      </c>
      <c r="C99" s="189">
        <v>55</v>
      </c>
      <c r="D99" s="177">
        <f t="shared" si="6"/>
        <v>605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85</v>
      </c>
      <c r="B100" s="179">
        <f>'Données projet'!D103</f>
        <v>10</v>
      </c>
      <c r="C100" s="189">
        <v>55</v>
      </c>
      <c r="D100" s="177">
        <f t="shared" si="6"/>
        <v>550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90</v>
      </c>
      <c r="B101" s="179">
        <f>'Données projet'!D104</f>
        <v>10</v>
      </c>
      <c r="C101" s="189">
        <v>55</v>
      </c>
      <c r="D101" s="177">
        <f t="shared" si="6"/>
        <v>550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95</v>
      </c>
      <c r="B102" s="179">
        <f>'Données projet'!D105</f>
        <v>11</v>
      </c>
      <c r="C102" s="189">
        <v>55</v>
      </c>
      <c r="D102" s="177">
        <f t="shared" si="6"/>
        <v>605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100</v>
      </c>
      <c r="B103" s="179">
        <f>'Données projet'!D106</f>
        <v>11</v>
      </c>
      <c r="C103" s="189">
        <v>55</v>
      </c>
      <c r="D103" s="177">
        <f t="shared" si="6"/>
        <v>605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plane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3337.53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15</v>
      </c>
      <c r="C116" s="189">
        <v>20</v>
      </c>
      <c r="D116" s="177">
        <f>B116*C116</f>
        <v>300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28</v>
      </c>
      <c r="C117" s="189">
        <v>20</v>
      </c>
      <c r="D117" s="177">
        <f t="shared" ref="D117:D135" si="8">B117*C117</f>
        <v>560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28</v>
      </c>
      <c r="C118" s="189">
        <v>20</v>
      </c>
      <c r="D118" s="177">
        <f t="shared" si="8"/>
        <v>560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28</v>
      </c>
      <c r="C119" s="189">
        <v>20</v>
      </c>
      <c r="D119" s="177">
        <f t="shared" si="8"/>
        <v>560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28</v>
      </c>
      <c r="C120" s="189">
        <v>55</v>
      </c>
      <c r="D120" s="177">
        <f t="shared" si="8"/>
        <v>1540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28</v>
      </c>
      <c r="C121" s="189">
        <v>55</v>
      </c>
      <c r="D121" s="177">
        <f t="shared" si="8"/>
        <v>1540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22</v>
      </c>
      <c r="C122" s="189">
        <v>55</v>
      </c>
      <c r="D122" s="177">
        <f t="shared" si="8"/>
        <v>1210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17</v>
      </c>
      <c r="C123" s="189">
        <v>55</v>
      </c>
      <c r="D123" s="177">
        <f t="shared" si="8"/>
        <v>935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13</v>
      </c>
      <c r="C124" s="189">
        <v>55</v>
      </c>
      <c r="D124" s="177">
        <f t="shared" si="8"/>
        <v>715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12</v>
      </c>
      <c r="C125" s="189">
        <v>55</v>
      </c>
      <c r="D125" s="177">
        <f t="shared" si="8"/>
        <v>660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11</v>
      </c>
      <c r="C126" s="189">
        <v>55</v>
      </c>
      <c r="D126" s="177">
        <f t="shared" si="8"/>
        <v>605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10</v>
      </c>
      <c r="C127" s="189">
        <v>55</v>
      </c>
      <c r="D127" s="177">
        <f t="shared" si="8"/>
        <v>550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9</v>
      </c>
      <c r="C128" s="189">
        <v>55</v>
      </c>
      <c r="D128" s="177">
        <f t="shared" si="8"/>
        <v>495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8</v>
      </c>
      <c r="C129" s="189">
        <v>55</v>
      </c>
      <c r="D129" s="177">
        <f t="shared" si="8"/>
        <v>440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Hêtre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2466.08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3">
        <f>'Données projet'!D141</f>
        <v>7</v>
      </c>
      <c r="C148" s="189">
        <v>20</v>
      </c>
      <c r="D148" s="180">
        <f t="shared" ref="D148:D166" si="10">B148*C148</f>
        <v>140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3">
        <f>'Données projet'!D142</f>
        <v>28</v>
      </c>
      <c r="C149" s="189">
        <v>20</v>
      </c>
      <c r="D149" s="180">
        <f t="shared" si="10"/>
        <v>560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3">
        <f>'Données projet'!D143</f>
        <v>28</v>
      </c>
      <c r="C150" s="189">
        <v>55</v>
      </c>
      <c r="D150" s="180">
        <f t="shared" si="10"/>
        <v>1540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3">
        <f>'Données projet'!D144</f>
        <v>28</v>
      </c>
      <c r="C151" s="189">
        <v>55</v>
      </c>
      <c r="D151" s="180">
        <f t="shared" si="10"/>
        <v>1540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3">
        <f>'Données projet'!D145</f>
        <v>28</v>
      </c>
      <c r="C152" s="189">
        <v>55</v>
      </c>
      <c r="D152" s="180">
        <f t="shared" si="10"/>
        <v>1540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3">
        <f>'Données projet'!D146</f>
        <v>28</v>
      </c>
      <c r="C153" s="189">
        <v>55</v>
      </c>
      <c r="D153" s="180">
        <f t="shared" si="10"/>
        <v>1540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3">
        <f>'Données projet'!D147</f>
        <v>28</v>
      </c>
      <c r="C154" s="189">
        <v>55</v>
      </c>
      <c r="D154" s="180">
        <f t="shared" si="10"/>
        <v>1540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3">
        <f>'Données projet'!D148</f>
        <v>28</v>
      </c>
      <c r="C155" s="189">
        <v>55</v>
      </c>
      <c r="D155" s="180">
        <f t="shared" si="10"/>
        <v>1540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3">
        <f>'Données projet'!D149</f>
        <v>28</v>
      </c>
      <c r="C156" s="189">
        <v>55</v>
      </c>
      <c r="D156" s="180">
        <f t="shared" si="10"/>
        <v>1540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3">
        <f>'Données projet'!D150</f>
        <v>28</v>
      </c>
      <c r="C157" s="189">
        <v>55</v>
      </c>
      <c r="D157" s="180">
        <f t="shared" si="10"/>
        <v>1540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3">
        <f>'Données projet'!D151</f>
        <v>28</v>
      </c>
      <c r="C158" s="189">
        <v>55</v>
      </c>
      <c r="D158" s="180">
        <f t="shared" si="10"/>
        <v>1540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3">
        <f>'Données projet'!D152</f>
        <v>28</v>
      </c>
      <c r="C159" s="189">
        <v>55</v>
      </c>
      <c r="D159" s="180">
        <f t="shared" si="10"/>
        <v>1540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85</v>
      </c>
      <c r="B160" s="173">
        <f>'Données projet'!D153</f>
        <v>27</v>
      </c>
      <c r="C160" s="189">
        <v>55</v>
      </c>
      <c r="D160" s="180">
        <f t="shared" si="10"/>
        <v>1485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90</v>
      </c>
      <c r="B161" s="173">
        <f>'Données projet'!D154</f>
        <v>26</v>
      </c>
      <c r="C161" s="189">
        <v>55</v>
      </c>
      <c r="D161" s="180">
        <f t="shared" si="10"/>
        <v>1430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95</v>
      </c>
      <c r="B162" s="173">
        <f>'Données projet'!D155</f>
        <v>25</v>
      </c>
      <c r="C162" s="189">
        <v>55</v>
      </c>
      <c r="D162" s="180">
        <f t="shared" si="10"/>
        <v>1375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100</v>
      </c>
      <c r="B163" s="173">
        <f>'Données projet'!D156</f>
        <v>24</v>
      </c>
      <c r="C163" s="189">
        <v>55</v>
      </c>
      <c r="D163" s="180">
        <f t="shared" si="10"/>
        <v>1320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105</v>
      </c>
      <c r="B164" s="173">
        <f>'Données projet'!D157</f>
        <v>23</v>
      </c>
      <c r="C164" s="189">
        <v>55</v>
      </c>
      <c r="D164" s="180">
        <f t="shared" si="10"/>
        <v>1265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110</v>
      </c>
      <c r="B165" s="173">
        <f>'Données projet'!D158</f>
        <v>22</v>
      </c>
      <c r="C165" s="189">
        <v>55</v>
      </c>
      <c r="D165" s="180">
        <f t="shared" si="10"/>
        <v>1210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115</v>
      </c>
      <c r="B166" s="173">
        <f>'Données projet'!D159</f>
        <v>22</v>
      </c>
      <c r="C166" s="189">
        <v>55</v>
      </c>
      <c r="D166" s="180">
        <f t="shared" si="10"/>
        <v>1210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Merisier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3494.88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15</v>
      </c>
      <c r="B178" s="179">
        <f>'Données projet'!D166</f>
        <v>1.923076923</v>
      </c>
      <c r="C178" s="191">
        <v>20</v>
      </c>
      <c r="D178" s="177">
        <f>B178*C178</f>
        <v>38.46153846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20</v>
      </c>
      <c r="B179" s="179">
        <f>'Données projet'!D167</f>
        <v>16.025641029999999</v>
      </c>
      <c r="C179" s="191">
        <v>20</v>
      </c>
      <c r="D179" s="177">
        <f t="shared" ref="D179:D197" si="11">B179*C179</f>
        <v>320.5128206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25</v>
      </c>
      <c r="B180" s="179">
        <f>'Données projet'!D168</f>
        <v>17.30769231</v>
      </c>
      <c r="C180" s="191">
        <v>20</v>
      </c>
      <c r="D180" s="177">
        <f t="shared" si="11"/>
        <v>346.15384619999998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31</v>
      </c>
      <c r="B181" s="179">
        <f>'Données projet'!D169</f>
        <v>23.07692308</v>
      </c>
      <c r="C181" s="191">
        <v>55</v>
      </c>
      <c r="D181" s="177">
        <f t="shared" si="11"/>
        <v>1269.2307694000001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37</v>
      </c>
      <c r="B182" s="179">
        <f>'Données projet'!D170</f>
        <v>23.07692308</v>
      </c>
      <c r="C182" s="191">
        <v>55</v>
      </c>
      <c r="D182" s="177">
        <f t="shared" si="11"/>
        <v>1269.2307694000001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44</v>
      </c>
      <c r="B183" s="179">
        <f>'Données projet'!D171</f>
        <v>27.564102559999998</v>
      </c>
      <c r="C183" s="191">
        <v>55</v>
      </c>
      <c r="D183" s="177">
        <f t="shared" si="11"/>
        <v>1516.0256408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52</v>
      </c>
      <c r="B184" s="179">
        <f>'Données projet'!D172</f>
        <v>30.76923077</v>
      </c>
      <c r="C184" s="191">
        <v>55</v>
      </c>
      <c r="D184" s="177">
        <f t="shared" si="11"/>
        <v>1692.30769235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60</v>
      </c>
      <c r="B185" s="179">
        <f>'Données projet'!D173</f>
        <v>30.128205130000001</v>
      </c>
      <c r="C185" s="191">
        <v>55</v>
      </c>
      <c r="D185" s="177">
        <f t="shared" si="11"/>
        <v>1657.0512821500001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69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Erable champêtre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2817.09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20</v>
      </c>
      <c r="B209" s="179">
        <f>'Données projet'!D192</f>
        <v>3</v>
      </c>
      <c r="C209" s="191">
        <v>20</v>
      </c>
      <c r="D209" s="177">
        <f>B209*C209</f>
        <v>60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25</v>
      </c>
      <c r="B210" s="179">
        <f>'Données projet'!D193</f>
        <v>14</v>
      </c>
      <c r="C210" s="191">
        <v>20</v>
      </c>
      <c r="D210" s="177">
        <f t="shared" ref="D210:D228" si="12">B210*C210</f>
        <v>280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30</v>
      </c>
      <c r="B211" s="179">
        <f>'Données projet'!D194</f>
        <v>14</v>
      </c>
      <c r="C211" s="191">
        <v>20</v>
      </c>
      <c r="D211" s="177">
        <f t="shared" si="12"/>
        <v>280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35</v>
      </c>
      <c r="B212" s="179">
        <f>'Données projet'!D195</f>
        <v>14</v>
      </c>
      <c r="C212" s="191">
        <v>55</v>
      </c>
      <c r="D212" s="177">
        <f t="shared" si="12"/>
        <v>770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40</v>
      </c>
      <c r="B213" s="179">
        <f>'Données projet'!D196</f>
        <v>14</v>
      </c>
      <c r="C213" s="191">
        <v>55</v>
      </c>
      <c r="D213" s="177">
        <f t="shared" si="12"/>
        <v>770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45</v>
      </c>
      <c r="B214" s="179">
        <f>'Données projet'!D197</f>
        <v>14</v>
      </c>
      <c r="C214" s="191">
        <v>55</v>
      </c>
      <c r="D214" s="177">
        <f t="shared" si="12"/>
        <v>770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50</v>
      </c>
      <c r="B215" s="179">
        <f>'Données projet'!D198</f>
        <v>11</v>
      </c>
      <c r="C215" s="191">
        <v>55</v>
      </c>
      <c r="D215" s="177">
        <f t="shared" si="12"/>
        <v>605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55</v>
      </c>
      <c r="B216" s="179">
        <f>'Données projet'!D199</f>
        <v>9</v>
      </c>
      <c r="C216" s="191">
        <v>55</v>
      </c>
      <c r="D216" s="177">
        <f t="shared" si="12"/>
        <v>495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60</v>
      </c>
      <c r="B217" s="179">
        <f>'Données projet'!D200</f>
        <v>7</v>
      </c>
      <c r="C217" s="191">
        <v>55</v>
      </c>
      <c r="D217" s="177">
        <f t="shared" si="12"/>
        <v>385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65</v>
      </c>
      <c r="B218" s="179">
        <f>'Données projet'!D201</f>
        <v>6</v>
      </c>
      <c r="C218" s="191">
        <v>55</v>
      </c>
      <c r="D218" s="177">
        <f t="shared" si="12"/>
        <v>330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70</v>
      </c>
      <c r="B219" s="179">
        <f>'Données projet'!D202</f>
        <v>5</v>
      </c>
      <c r="C219" s="191">
        <v>55</v>
      </c>
      <c r="D219" s="177">
        <f t="shared" si="12"/>
        <v>275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75</v>
      </c>
      <c r="B220" s="179">
        <f>'Données projet'!D203</f>
        <v>4</v>
      </c>
      <c r="C220" s="191">
        <v>55</v>
      </c>
      <c r="D220" s="177">
        <f t="shared" si="12"/>
        <v>220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80</v>
      </c>
      <c r="B221" s="179">
        <f>'Données projet'!D204</f>
        <v>3</v>
      </c>
      <c r="C221" s="191">
        <v>55</v>
      </c>
      <c r="D221" s="177">
        <f t="shared" si="12"/>
        <v>165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Aulne à feuilles en cœur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2296.62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10</v>
      </c>
      <c r="B240" s="179">
        <f>'Données projet'!D218</f>
        <v>1</v>
      </c>
      <c r="C240" s="191">
        <v>20</v>
      </c>
      <c r="D240" s="177">
        <f>B240*C240</f>
        <v>20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15</v>
      </c>
      <c r="B241" s="179">
        <f>'Données projet'!D219</f>
        <v>3</v>
      </c>
      <c r="C241" s="191">
        <v>20</v>
      </c>
      <c r="D241" s="177">
        <f t="shared" ref="D241:D259" si="13">B241*C241</f>
        <v>60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20</v>
      </c>
      <c r="B242" s="179">
        <f>'Données projet'!D220</f>
        <v>9</v>
      </c>
      <c r="C242" s="191">
        <v>20</v>
      </c>
      <c r="D242" s="177">
        <f t="shared" si="13"/>
        <v>180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25</v>
      </c>
      <c r="B243" s="179">
        <f>'Données projet'!D221</f>
        <v>18</v>
      </c>
      <c r="C243" s="191">
        <v>20</v>
      </c>
      <c r="D243" s="177">
        <f t="shared" si="13"/>
        <v>360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30</v>
      </c>
      <c r="B244" s="179">
        <f>'Données projet'!D222</f>
        <v>20</v>
      </c>
      <c r="C244" s="191">
        <v>20</v>
      </c>
      <c r="D244" s="177">
        <f t="shared" si="13"/>
        <v>400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35</v>
      </c>
      <c r="B245" s="179">
        <f>'Données projet'!D223</f>
        <v>21</v>
      </c>
      <c r="C245" s="191">
        <v>55</v>
      </c>
      <c r="D245" s="177">
        <f t="shared" si="13"/>
        <v>1155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40</v>
      </c>
      <c r="B246" s="179">
        <f>'Données projet'!D224</f>
        <v>22</v>
      </c>
      <c r="C246" s="191">
        <v>55</v>
      </c>
      <c r="D246" s="177">
        <f t="shared" si="13"/>
        <v>1210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45</v>
      </c>
      <c r="B247" s="179">
        <f>'Données projet'!D225</f>
        <v>22</v>
      </c>
      <c r="C247" s="191">
        <v>55</v>
      </c>
      <c r="D247" s="177">
        <f t="shared" si="13"/>
        <v>1210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50</v>
      </c>
      <c r="B248" s="179">
        <f>'Données projet'!D226</f>
        <v>21</v>
      </c>
      <c r="C248" s="191">
        <v>55</v>
      </c>
      <c r="D248" s="177">
        <f t="shared" si="13"/>
        <v>1155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55</v>
      </c>
      <c r="B249" s="179">
        <f>'Données projet'!D227</f>
        <v>20</v>
      </c>
      <c r="C249" s="191">
        <v>55</v>
      </c>
      <c r="D249" s="177">
        <f t="shared" si="13"/>
        <v>1100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60</v>
      </c>
      <c r="B250" s="179">
        <f>'Données projet'!D228</f>
        <v>19</v>
      </c>
      <c r="C250" s="191">
        <v>55</v>
      </c>
      <c r="D250" s="177">
        <f t="shared" si="13"/>
        <v>1045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65</v>
      </c>
      <c r="B251" s="179">
        <f>'Données projet'!D229</f>
        <v>18</v>
      </c>
      <c r="C251" s="191">
        <v>55</v>
      </c>
      <c r="D251" s="177">
        <f t="shared" si="13"/>
        <v>990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70</v>
      </c>
      <c r="B252" s="179">
        <f>'Données projet'!D230</f>
        <v>17</v>
      </c>
      <c r="C252" s="191">
        <v>55</v>
      </c>
      <c r="D252" s="177">
        <f t="shared" si="13"/>
        <v>935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75</v>
      </c>
      <c r="B253" s="179">
        <f>'Données projet'!D231</f>
        <v>16</v>
      </c>
      <c r="C253" s="191">
        <v>55</v>
      </c>
      <c r="D253" s="177">
        <f t="shared" si="13"/>
        <v>880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80</v>
      </c>
      <c r="B254" s="179">
        <f>'Données projet'!D232</f>
        <v>15</v>
      </c>
      <c r="C254" s="191">
        <v>55</v>
      </c>
      <c r="D254" s="177">
        <f t="shared" si="13"/>
        <v>825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85</v>
      </c>
      <c r="B255" s="179">
        <f>'Données projet'!D233</f>
        <v>14</v>
      </c>
      <c r="C255" s="191">
        <v>55</v>
      </c>
      <c r="D255" s="177">
        <f t="shared" si="13"/>
        <v>770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90</v>
      </c>
      <c r="B256" s="179">
        <f>'Données projet'!D234</f>
        <v>13</v>
      </c>
      <c r="C256" s="191">
        <v>55</v>
      </c>
      <c r="D256" s="177">
        <f t="shared" si="13"/>
        <v>715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Charme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2538.69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30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44</v>
      </c>
      <c r="B272" s="179">
        <f>'Données projet'!D245</f>
        <v>74.010000000000005</v>
      </c>
      <c r="C272" s="191">
        <v>55</v>
      </c>
      <c r="D272" s="177">
        <f t="shared" ref="D272:D290" si="14">B272*C272</f>
        <v>4070.55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51</v>
      </c>
      <c r="B273" s="179">
        <f>'Données projet'!D246</f>
        <v>46.13</v>
      </c>
      <c r="C273" s="191">
        <v>55</v>
      </c>
      <c r="D273" s="177">
        <f t="shared" si="14"/>
        <v>2537.15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59</v>
      </c>
      <c r="B274" s="179">
        <f>'Données projet'!D247</f>
        <v>48.96</v>
      </c>
      <c r="C274" s="191">
        <v>55</v>
      </c>
      <c r="D274" s="177">
        <f t="shared" si="14"/>
        <v>2692.8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67</v>
      </c>
      <c r="B275" s="179">
        <f>'Données projet'!D248</f>
        <v>40.630000000000003</v>
      </c>
      <c r="C275" s="191">
        <v>55</v>
      </c>
      <c r="D275" s="177">
        <f t="shared" si="14"/>
        <v>2234.65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75</v>
      </c>
      <c r="B276" s="179">
        <f>'Données projet'!D249</f>
        <v>39.54</v>
      </c>
      <c r="C276" s="191">
        <v>55</v>
      </c>
      <c r="D276" s="177">
        <f t="shared" si="14"/>
        <v>2174.6999999999998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84</v>
      </c>
      <c r="B277" s="179">
        <f>'Données projet'!D250</f>
        <v>44.89</v>
      </c>
      <c r="C277" s="191">
        <v>55</v>
      </c>
      <c r="D277" s="177">
        <f t="shared" si="14"/>
        <v>2468.9499999999998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93</v>
      </c>
      <c r="B278" s="179">
        <f>'Données projet'!D251</f>
        <v>38.57</v>
      </c>
      <c r="C278" s="191">
        <v>55</v>
      </c>
      <c r="D278" s="177">
        <f t="shared" si="14"/>
        <v>2121.35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103</v>
      </c>
      <c r="B279" s="179">
        <f>'Données projet'!D252</f>
        <v>50.51</v>
      </c>
      <c r="C279" s="191">
        <v>55</v>
      </c>
      <c r="D279" s="177">
        <f t="shared" si="14"/>
        <v>2778.0499999999997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113</v>
      </c>
      <c r="B280" s="179">
        <f>'Données projet'!D253</f>
        <v>40.479999999999997</v>
      </c>
      <c r="C280" s="191">
        <v>55</v>
      </c>
      <c r="D280" s="177">
        <f t="shared" si="14"/>
        <v>2226.3999999999996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125</v>
      </c>
      <c r="B281" s="179">
        <f>'Données projet'!D254</f>
        <v>61.5</v>
      </c>
      <c r="C281" s="191">
        <v>55</v>
      </c>
      <c r="D281" s="177">
        <f t="shared" si="14"/>
        <v>3382.5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137</v>
      </c>
      <c r="B282" s="179">
        <f>'Données projet'!D255</f>
        <v>65.53</v>
      </c>
      <c r="C282" s="191">
        <v>55</v>
      </c>
      <c r="D282" s="177">
        <f t="shared" si="14"/>
        <v>3604.15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149</v>
      </c>
      <c r="B283" s="179">
        <f>'Données projet'!D256</f>
        <v>153.56</v>
      </c>
      <c r="C283" s="191">
        <v>55</v>
      </c>
      <c r="D283" s="177">
        <f t="shared" si="14"/>
        <v>8445.7999999999993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153</v>
      </c>
      <c r="B284" s="179">
        <f>'Données projet'!D257</f>
        <v>89.29</v>
      </c>
      <c r="C284" s="191">
        <v>55</v>
      </c>
      <c r="D284" s="177">
        <f t="shared" si="14"/>
        <v>4910.9500000000007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157</v>
      </c>
      <c r="B285" s="179">
        <f>'Données projet'!D258</f>
        <v>57.95</v>
      </c>
      <c r="C285" s="191">
        <v>55</v>
      </c>
      <c r="D285" s="177">
        <f t="shared" si="14"/>
        <v>3187.25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161</v>
      </c>
      <c r="B286" s="179">
        <f>'Données projet'!D259</f>
        <v>115.43</v>
      </c>
      <c r="C286" s="191">
        <v>55</v>
      </c>
      <c r="D286" s="177">
        <f t="shared" si="14"/>
        <v>6348.6500000000005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Peuplier I-214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2471.5100000000002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9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14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19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24</v>
      </c>
      <c r="B305" s="179">
        <f>'Données projet'!D273</f>
        <v>320.51282049999998</v>
      </c>
      <c r="C305" s="189">
        <v>58</v>
      </c>
      <c r="D305" s="180">
        <f t="shared" si="15"/>
        <v>18589.743588999998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2025-01-09T10:41:40Z</dcterms:modified>
</cp:coreProperties>
</file>